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BOBERIL (Saint Saturnin) - 21453284 LE/"/>
    </mc:Choice>
  </mc:AlternateContent>
  <xr:revisionPtr revIDLastSave="4" documentId="8_{FA3C625E-EA54-4008-B7BC-35BA13829208}" xr6:coauthVersionLast="47" xr6:coauthVersionMax="47" xr10:uidLastSave="{3CCEE7B6-6FA1-4921-B4CF-63EC45E3131E}"/>
  <bookViews>
    <workbookView xWindow="-28920" yWindow="7515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I22" i="6"/>
  <c r="I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114" i="2" a="1"/>
  <c r="BC114" i="2" s="1"/>
  <c r="BC65" i="2" a="1"/>
  <c r="BC65" i="2" s="1"/>
  <c r="BC181" i="2" a="1"/>
  <c r="BC181" i="2" s="1"/>
  <c r="GT102" i="2" a="1"/>
  <c r="GT102" i="2" s="1"/>
  <c r="GT11" i="2" a="1"/>
  <c r="GT11" i="2" s="1"/>
  <c r="EI166" i="2" a="1"/>
  <c r="EI16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BC130" i="2" a="1"/>
  <c r="BC130" i="2" s="1"/>
  <c r="BC55" i="2" a="1"/>
  <c r="BC55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BC126" i="2" l="1" a="1"/>
  <c r="BC126" i="2" s="1"/>
  <c r="BC82" i="2" a="1"/>
  <c r="BC82" i="2" s="1"/>
  <c r="BC47" i="2" a="1"/>
  <c r="BC47" i="2" s="1"/>
  <c r="BC18" i="2" a="1"/>
  <c r="BC18" i="2" s="1"/>
  <c r="BC38" i="2" a="1"/>
  <c r="BC38" i="2" s="1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9" i="4" s="1"/>
  <c r="E9" i="4" s="1"/>
  <c r="F9" i="4" s="1"/>
  <c r="G9" i="4" s="1"/>
  <c r="L9" i="4" s="1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C7" i="4" s="1"/>
  <c r="E7" i="4" s="1"/>
  <c r="F7" i="4" s="1"/>
  <c r="G7" i="4" s="1"/>
  <c r="L7" i="4" s="1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C8" i="4" s="1"/>
  <c r="E8" i="4" s="1"/>
  <c r="F8" i="4" s="1"/>
  <c r="G8" i="4" s="1"/>
  <c r="L8" i="4" s="1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<sst xmlns="http://schemas.openxmlformats.org/spreadsheetml/2006/main" count="1174" uniqueCount="326">
  <si>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</si>
  <si>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</si>
  <si>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</si>
  <si>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</si>
  <si>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</si>
  <si>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</si>
  <si>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</si>
  <si>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</si>
  <si>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</si>
  <si>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</si>
  <si>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</si>
  <si>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</si>
  <si>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</si>
  <si>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</si>
  <si>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</si>
  <si>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</si>
  <si>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</si>
  <si>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</si>
  <si>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</si>
  <si>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</si>
  <si>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</si>
  <si>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</si>
  <si>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</si>
  <si>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</si>
  <si>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</si>
  <si>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</si>
  <si>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</si>
  <si>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</si>
  <si>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</si>
  <si>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</si>
  <si>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</si>
  <si>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</si>
  <si>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</si>
  <si>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</si>
  <si>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</si>
  <si>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</si>
  <si>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</si>
  <si>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</si>
  <si>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</si>
  <si>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</si>
  <si>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</si>
  <si>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</si>
  <si>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</si>
  <si>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</si>
  <si>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</si>
  <si>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</si>
  <si>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</si>
  <si>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</si>
  <si>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</si>
  <si>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</si>
  <si>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</si>
  <si>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</si>
  <si>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</si>
  <si>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</si>
  <si>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</si>
  <si>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</si>
  <si>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</si>
  <si>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</si>
  <si>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</si>
  <si>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</si>
  <si>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</si>
  <si>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</si>
  <si>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</si>
  <si>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</si>
  <si>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</si>
  <si>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</si>
  <si>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</si>
  <si>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</si>
  <si>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</si>
  <si>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</si>
  <si>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</si>
  <si>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</si>
  <si>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</si>
  <si>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</si>
  <si>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</si>
  <si>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</si>
  <si>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</si>
  <si>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</si>
  <si>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</si>
  <si>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</si>
  <si>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</si>
  <si>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</si>
  <si>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</si>
  <si>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</si>
  <si>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</si>
  <si>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</si>
  <si>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</si>
  <si>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</si>
  <si>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</si>
  <si>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</si>
  <si>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</si>
  <si>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</si>
  <si>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</si>
  <si>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</si>
  <si>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</si>
  <si>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</si>
  <si>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</si>
  <si>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</si>
  <si>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</si>
  <si>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</si>
  <si>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</si>
  <si>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</si>
  <si>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</si>
  <si>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</si>
  <si>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</si>
  <si>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</si>
  <si>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</si>
  <si>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</si>
  <si>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</si>
  <si>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</si>
  <si>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</si>
  <si>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</si>
  <si>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</si>
  <si>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</si>
  <si>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</si>
  <si>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</si>
  <si>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</si>
  <si>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</si>
  <si>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</si>
  <si>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</si>
  <si>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</si>
  <si>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</si>
  <si>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</si>
  <si>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</si>
  <si>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</si>
  <si>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</si>
  <si>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</si>
  <si>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</si>
  <si>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</si>
  <si>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</si>
  <si>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</si>
  <si>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</si>
  <si>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</si>
  <si>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</si>
  <si>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</si>
  <si>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</si>
  <si>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</si>
  <si>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</si>
  <si>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</si>
  <si>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</si>
  <si>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</si>
  <si>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</si>
  <si>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</si>
  <si>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</si>
  <si>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</si>
  <si>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</si>
  <si>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</si>
  <si>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</si>
  <si>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</si>
  <si>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</si>
  <si>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</si>
  <si>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</si>
  <si>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</si>
  <si>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</si>
  <si>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</si>
  <si>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</si>
  <si>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</si>
  <si>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</si>
  <si>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</si>
  <si>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</si>
  <si>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</si>
  <si>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</si>
  <si>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</si>
  <si>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</si>
  <si>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</si>
  <si>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</si>
  <si>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</si>
  <si>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</si>
  <si>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</si>
  <si>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</si>
  <si>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</si>
  <si>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</si>
  <si>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</si>
  <si>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</si>
  <si>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</si>
  <si>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</si>
  <si>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</si>
  <si>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</si>
  <si>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</si>
  <si>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</si>
  <si>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</si>
  <si>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</si>
  <si>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</si>
  <si>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</si>
  <si>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</si>
  <si>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</si>
  <si>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</si>
  <si>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</si>
  <si>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</si>
  <si>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</si>
  <si>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</si>
  <si>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</si>
  <si>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</si>
  <si>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</si>
  <si>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</si>
  <si>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</si>
  <si>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</si>
  <si>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</si>
  <si>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</si>
  <si>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</si>
  <si>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</si>
  <si>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</si>
  <si>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</si>
  <si>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</si>
  <si>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</si>
  <si>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</si>
  <si>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</si>
  <si>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</si>
  <si>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</si>
  <si>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</si>
  <si>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</si>
  <si>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</si>
  <si>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</si>
  <si>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</si>
  <si>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</si>
  <si>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</si>
  <si>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</si>
  <si>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</si>
  <si>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</si>
  <si>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</si>
  <si>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</si>
  <si>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</si>
  <si>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</si>
  <si>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</si>
  <si>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</si>
  <si>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</si>
  <si>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</si>
  <si>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</si>
  <si>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</si>
  <si>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</si>
  <si>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</si>
  <si>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</si>
  <si>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</si>
  <si>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</si>
  <si>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</si>
  <si>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</si>
  <si>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</si>
  <si>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</si>
  <si>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</si>
  <si>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</si>
  <si>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</si>
  <si>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</si>
  <si>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</si>
  <si>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</si>
  <si>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</si>
  <si>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</si>
  <si>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</si>
  <si>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</si>
  <si>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</si>
  <si>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</si>
  <si>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</si>
  <si>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</si>
  <si>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</si>
  <si>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</si>
  <si>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</si>
  <si>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</si>
  <si>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</si>
  <si>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</si>
  <si>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</si>
  <si>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</si>
  <si>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</si>
  <si>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</si>
  <si>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</si>
  <si>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</si>
  <si>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</si>
  <si>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</si>
  <si>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</si>
  <si>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</si>
  <si>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</si>
  <si>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</si>
  <si>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</si>
  <si>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</si>
  <si>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</si>
  <si>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</si>
  <si>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</si>
  <si>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</si>
  <si>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</si>
  <si>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</si>
  <si>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</si>
  <si>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</si>
  <si>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</si>
  <si>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</si>
  <si>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</si>
  <si>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</si>
  <si>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</si>
  <si>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</si>
  <si>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</si>
  <si>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</si>
  <si>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</si>
  <si>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</si>
  <si>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</si>
  <si>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</si>
  <si>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</si>
  <si>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</si>
  <si>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</si>
  <si>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</si>
  <si>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</si>
  <si>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</si>
  <si>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</si>
  <si>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</si>
  <si>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</si>
  <si>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</si>
  <si>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</si>
  <si>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</si>
  <si>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</si>
  <si>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</si>
  <si>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</si>
  <si>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</si>
  <si>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</si>
  <si>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</si>
  <si>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</si>
  <si>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</si>
  <si>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</si>
  <si>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</si>
  <si>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</si>
  <si>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</si>
  <si>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</si>
  <si>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</si>
  <si>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</si>
  <si>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</si>
  <si>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</si>
  <si>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</si>
  <si>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</si>
  <si>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</si>
  <si>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CHP_ONF_F2</t>
  </si>
  <si>
    <t>UK For Com_F10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</si>
</sst>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0" sqref="C10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4.8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0.75</v>
      </c>
      <c r="D9" s="33">
        <f t="shared" ref="D9:D18" si="0">C9*$C$5</f>
        <v>3.5999999999999996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6</v>
      </c>
      <c r="C10" s="32">
        <v>0.125</v>
      </c>
      <c r="D10" s="33">
        <f t="shared" si="0"/>
        <v>0.6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21</v>
      </c>
      <c r="C11" s="32">
        <v>0.125</v>
      </c>
      <c r="D11" s="33">
        <f t="shared" si="0"/>
        <v>0.6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4.7999999999999989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34</v>
      </c>
      <c r="B36" s="60">
        <v>173.04</v>
      </c>
      <c r="C36" s="60">
        <v>1</v>
      </c>
      <c r="D36" s="60">
        <v>36.679999999999978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42</v>
      </c>
      <c r="B37" s="60">
        <v>248.01</v>
      </c>
      <c r="C37" s="60">
        <v>2</v>
      </c>
      <c r="D37" s="60">
        <v>58.099999999999994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50</v>
      </c>
      <c r="B38" s="60">
        <v>304.72000000000003</v>
      </c>
      <c r="C38" s="60">
        <v>3</v>
      </c>
      <c r="D38" s="60">
        <v>70.730000000000018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58</v>
      </c>
      <c r="B39" s="60">
        <v>346.58</v>
      </c>
      <c r="C39" s="60">
        <v>4</v>
      </c>
      <c r="D39" s="60">
        <v>65.819999999999993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66</v>
      </c>
      <c r="B40" s="60">
        <v>388.92</v>
      </c>
      <c r="C40" s="60">
        <v>5</v>
      </c>
      <c r="D40" s="60">
        <v>76.480000000000018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74</v>
      </c>
      <c r="B41" s="60">
        <v>414.8</v>
      </c>
      <c r="C41" s="60">
        <v>6</v>
      </c>
      <c r="D41" s="60">
        <v>75.29000000000002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82</v>
      </c>
      <c r="B42" s="60">
        <v>436.17</v>
      </c>
      <c r="C42" s="60">
        <v>7</v>
      </c>
      <c r="D42" s="60">
        <v>58.140000000000043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90</v>
      </c>
      <c r="B43" s="60">
        <v>471.37</v>
      </c>
      <c r="C43" s="60">
        <v>8</v>
      </c>
      <c r="D43" s="60">
        <v>68.54000000000002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100</v>
      </c>
      <c r="B44" s="60">
        <v>515.66999999999996</v>
      </c>
      <c r="C44" s="60">
        <v>9</v>
      </c>
      <c r="D44" s="60">
        <v>93.039999999999964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110</v>
      </c>
      <c r="B45" s="60">
        <v>531.04</v>
      </c>
      <c r="C45" s="60">
        <v>10</v>
      </c>
      <c r="D45" s="60">
        <v>73.299999999999955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120</v>
      </c>
      <c r="B46" s="60">
        <v>565</v>
      </c>
      <c r="C46" s="60">
        <v>11</v>
      </c>
      <c r="D46" s="60">
        <v>66.050000000000011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130</v>
      </c>
      <c r="B47" s="60">
        <v>606.41</v>
      </c>
      <c r="C47" s="60">
        <v>12</v>
      </c>
      <c r="D47" s="60">
        <v>75.799999999999955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140</v>
      </c>
      <c r="B48" s="60">
        <v>639.04999999999995</v>
      </c>
      <c r="C48" s="60">
        <v>13</v>
      </c>
      <c r="D48" s="60">
        <v>74.669999999999959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150</v>
      </c>
      <c r="B49" s="60">
        <v>673.13</v>
      </c>
      <c r="C49" s="60">
        <v>14</v>
      </c>
      <c r="D49" s="60">
        <v>259.52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153</v>
      </c>
      <c r="B50" s="50">
        <v>434.97</v>
      </c>
      <c r="C50" s="50">
        <v>15</v>
      </c>
      <c r="D50" s="50">
        <v>156.29000000000002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38</v>
      </c>
      <c r="B62" s="60">
        <v>152.63</v>
      </c>
      <c r="C62" s="60">
        <v>1</v>
      </c>
      <c r="D62" s="60">
        <v>71.569999999999993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4.016578947368421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45</v>
      </c>
      <c r="B63" s="60">
        <v>149.75</v>
      </c>
      <c r="C63" s="60">
        <v>2</v>
      </c>
      <c r="D63" s="60">
        <v>41.69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9.8128571428571423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52</v>
      </c>
      <c r="B64" s="60">
        <v>178.07</v>
      </c>
      <c r="C64" s="60">
        <v>3</v>
      </c>
      <c r="D64" s="60">
        <v>44.400000000000006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10.001428571428571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59</v>
      </c>
      <c r="B65" s="60">
        <v>202.85</v>
      </c>
      <c r="C65" s="60">
        <v>4</v>
      </c>
      <c r="D65" s="60">
        <v>41.81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9.8828571428571443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67</v>
      </c>
      <c r="B66" s="60">
        <v>239.06</v>
      </c>
      <c r="C66" s="60">
        <v>5</v>
      </c>
      <c r="D66" s="60">
        <v>42.550000000000011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9.7525000000000013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75</v>
      </c>
      <c r="B67" s="60">
        <v>273.76</v>
      </c>
      <c r="C67" s="60">
        <v>6</v>
      </c>
      <c r="D67" s="60">
        <v>43.519999999999982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9.65625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83</v>
      </c>
      <c r="B68" s="60">
        <v>306.11</v>
      </c>
      <c r="C68" s="60">
        <v>7</v>
      </c>
      <c r="D68" s="60">
        <v>49.980000000000018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9.4837500000000006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93</v>
      </c>
      <c r="B69" s="50">
        <v>348.87</v>
      </c>
      <c r="C69" s="50">
        <v>8</v>
      </c>
      <c r="D69" s="50">
        <v>67.45999999999998</v>
      </c>
      <c r="E69" s="51">
        <v>0.5</v>
      </c>
      <c r="F69" s="51">
        <v>0.2</v>
      </c>
      <c r="G69" s="51">
        <v>0</v>
      </c>
      <c r="H69" s="51">
        <v>0.3</v>
      </c>
      <c r="I69" s="49">
        <f t="shared" si="2"/>
        <v>9.2740000000000009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103</v>
      </c>
      <c r="B70" s="50">
        <v>371.4</v>
      </c>
      <c r="C70" s="50">
        <v>9</v>
      </c>
      <c r="D70" s="50">
        <v>67.759999999999991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8.9989999999999952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113</v>
      </c>
      <c r="B71" s="50">
        <v>391.18</v>
      </c>
      <c r="C71" s="50">
        <v>10</v>
      </c>
      <c r="D71" s="50">
        <v>68.670000000000016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8.7540000000000013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123</v>
      </c>
      <c r="B72" s="50">
        <v>409.53</v>
      </c>
      <c r="C72" s="50">
        <v>11</v>
      </c>
      <c r="D72" s="50">
        <v>203.78999999999996</v>
      </c>
      <c r="E72" s="51">
        <v>0.45</v>
      </c>
      <c r="F72" s="51">
        <v>0.05</v>
      </c>
      <c r="G72" s="51">
        <v>0.05</v>
      </c>
      <c r="H72" s="51">
        <v>0.45</v>
      </c>
      <c r="I72" s="49">
        <f t="shared" si="2"/>
        <v>8.7019999999999982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125</v>
      </c>
      <c r="B73" s="50">
        <v>215.44</v>
      </c>
      <c r="C73" s="50">
        <v>12</v>
      </c>
      <c r="D73" s="50">
        <v>70.609999999999985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4.8499999999999943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127</v>
      </c>
      <c r="B74" s="50">
        <v>151.47999999999999</v>
      </c>
      <c r="C74" s="50">
        <v>13</v>
      </c>
      <c r="D74" s="50">
        <v>46.039999999999992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3.3249999999999886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130</v>
      </c>
      <c r="B75" s="50">
        <v>112.75</v>
      </c>
      <c r="C75" s="50">
        <v>14</v>
      </c>
      <c r="D75" s="50">
        <v>112.75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2.4366666666666674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15</v>
      </c>
      <c r="B88" s="60">
        <v>65</v>
      </c>
      <c r="C88" s="60">
        <v>1</v>
      </c>
      <c r="D88" s="60">
        <v>32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20</v>
      </c>
      <c r="B89" s="60">
        <v>102</v>
      </c>
      <c r="C89" s="60">
        <v>2</v>
      </c>
      <c r="D89" s="60">
        <v>35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25</v>
      </c>
      <c r="B90" s="60">
        <v>141</v>
      </c>
      <c r="C90" s="60">
        <v>3</v>
      </c>
      <c r="D90" s="60">
        <v>35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177</v>
      </c>
      <c r="C91" s="60">
        <v>4</v>
      </c>
      <c r="D91" s="60">
        <v>35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35</v>
      </c>
      <c r="B92" s="60">
        <v>206</v>
      </c>
      <c r="C92" s="60">
        <v>5</v>
      </c>
      <c r="D92" s="60">
        <v>35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40</v>
      </c>
      <c r="B93" s="60">
        <v>228</v>
      </c>
      <c r="C93" s="60">
        <v>6</v>
      </c>
      <c r="D93" s="60">
        <v>35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45</v>
      </c>
      <c r="B94" s="60">
        <v>242</v>
      </c>
      <c r="C94" s="60">
        <v>7</v>
      </c>
      <c r="D94" s="60">
        <v>24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50</v>
      </c>
      <c r="B95" s="60">
        <v>261</v>
      </c>
      <c r="C95" s="60">
        <v>8</v>
      </c>
      <c r="D95" s="60">
        <v>19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55</v>
      </c>
      <c r="B96" s="60">
        <v>279</v>
      </c>
      <c r="C96" s="60">
        <v>9</v>
      </c>
      <c r="D96" s="60">
        <v>16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60</v>
      </c>
      <c r="B97" s="60">
        <v>294</v>
      </c>
      <c r="C97" s="60">
        <v>10</v>
      </c>
      <c r="D97" s="60">
        <v>14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65</v>
      </c>
      <c r="B98" s="60">
        <v>306</v>
      </c>
      <c r="C98" s="60">
        <v>11</v>
      </c>
      <c r="D98" s="60">
        <v>13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70</v>
      </c>
      <c r="B99" s="60">
        <v>316</v>
      </c>
      <c r="C99" s="60">
        <v>12</v>
      </c>
      <c r="D99" s="60">
        <v>13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75</v>
      </c>
      <c r="B100" s="60">
        <v>324</v>
      </c>
      <c r="C100" s="60">
        <v>13</v>
      </c>
      <c r="D100" s="60">
        <v>12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80</v>
      </c>
      <c r="B101" s="60">
        <v>330</v>
      </c>
      <c r="C101" s="60">
        <v>14</v>
      </c>
      <c r="D101" s="60">
        <v>330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G22" sqref="G22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Charme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Erable champêtre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737.40414421611001</v>
      </c>
      <c r="T3" s="59">
        <f>IF('Données projet'!E9&gt;30,$R$33-$H$33,LOOKUP('Données projet'!$E$9,$A$3:$A$203,R3:R203)-LOOKUP('Données projet'!$E$9,$A$3:$A$203,$H$3:$H$203))</f>
        <v>245.32893490531674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486.36097333679697</v>
      </c>
      <c r="AO3" s="59">
        <f>IF('Données projet'!E10&gt;30,$AM$33-$H$33,LOOKUP('Données projet'!$E$10,$A$3:$A$203,AM3:AM203)-LOOKUP('Données projet'!$E$10,$A$3:$A$203,$H$3:$H$203))</f>
        <v>308.47736602748159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408.246209980743</v>
      </c>
      <c r="BJ3" s="59">
        <f>IF('Données projet'!E11&gt;30,$BH$33-$H$33,LOOKUP('Données projet'!$E$11,$A$3:$A$203,BH3:BH203)-LOOKUP('Données projet'!$E$11,$A$3:$A$203,$H$3:$H$203))</f>
        <v>394.10236303013903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170.48623198335619</v>
      </c>
      <c r="S4" s="59">
        <f ca="1">AVERAGE(OFFSET($R$3,0,0,'Données projet'!$E$9+1,1))-AVERAGE(OFFSET($H$3,0,0,'Données projet'!$E$9+1,1))</f>
        <v>737.40414421611001</v>
      </c>
      <c r="T4" s="59">
        <f>$T$3</f>
        <v>245.32893490531674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4.016578947368421</v>
      </c>
      <c r="AI4" s="13">
        <f>IF('Données projet'!$A$62&gt;35,AI3+AH4-AQ3,IF(A4&lt;'Données projet'!$A$62,$AF$205^A4,IF(A4='Données projet'!$A$62,'Données projet'!$B$62,AI3+AH4-AQ3)))</f>
        <v>4.016578947368421</v>
      </c>
      <c r="AJ4" s="13">
        <f>AI4*VLOOKUP('Données projet'!$B$10,Paramètres!$A$1:$I$89,3,0)*VLOOKUP('Données projet'!$B$10,Paramètres!$A$1:$I$89,5,0)</f>
        <v>3.8221765263157894</v>
      </c>
      <c r="AK4" s="13">
        <f>EXP(-1.0587+0.8836*LN(AJ4)+0.284)</f>
        <v>1.5068909880440347</v>
      </c>
      <c r="AL4" s="20">
        <f t="shared" ref="AL4:AL67" si="4">(AJ4+AK4)*0.475*44/12</f>
        <v>9.2814592541766938</v>
      </c>
      <c r="AM4" s="59">
        <f t="shared" ref="AM4:AM67" si="5">AL4+(AD4+AE4)*44/12</f>
        <v>177.09389320710054</v>
      </c>
      <c r="AN4" s="59">
        <f ca="1">AVERAGE(OFFSET($AM$3,0,0,'Données projet'!$E$10+1,1))-AVERAGE(OFFSET($H$3,0,0,'Données projet'!$E$10+1,1))</f>
        <v>486.36097333679697</v>
      </c>
      <c r="AO4" s="59">
        <f>$AO$3</f>
        <v>308.47736602748159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1.1539141947301486</v>
      </c>
      <c r="BF4" s="13">
        <f>EXP(-1.0587+0.8836*LN(BE4)+0.284)</f>
        <v>0.52298421799329042</v>
      </c>
      <c r="BG4" s="20">
        <f t="shared" ref="BG4:BG67" si="7">(BE4+BF4)*0.475*44/12</f>
        <v>2.9205980688266564</v>
      </c>
      <c r="BH4" s="59">
        <f t="shared" ref="BH4:BH67" si="8">BG4+(AY4+AZ4)*44/12</f>
        <v>170.73303202175049</v>
      </c>
      <c r="BI4" s="59">
        <f ca="1">AVERAGE(OFFSET($BH$3,0,0,'Données projet'!$E$11+1,1))-AVERAGE(OFFSET($H$3,0,0,'Données projet'!$E$11+1,1))</f>
        <v>408.246209980743</v>
      </c>
      <c r="BJ4" s="59">
        <f>$BJ$3</f>
        <v>394.10236303013903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173.6915903614638</v>
      </c>
      <c r="S5" s="59">
        <f ca="1">AVERAGE(OFFSET($R$3,0,0,'Données projet'!$E$9+1,1))-AVERAGE(OFFSET($H$3,0,0,'Données projet'!$E$9+1,1))</f>
        <v>737.40414421611001</v>
      </c>
      <c r="T5" s="59">
        <f t="shared" ref="T5:T68" si="34">$T$3</f>
        <v>245.32893490531674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4.016578947368421</v>
      </c>
      <c r="AI5" s="13">
        <f>IF('Données projet'!$A$62&gt;35,AI4+AH5-AQ4,IF(A5&lt;'Données projet'!$A$62,$AF$205^A5,IF(A5='Données projet'!$A$62,'Données projet'!$B$62,AI4+AH5-AQ4)))</f>
        <v>8.0331578947368421</v>
      </c>
      <c r="AJ5" s="13">
        <f>AI5*VLOOKUP('Données projet'!$B$10,Paramètres!$A$1:$I$89,3,0)*VLOOKUP('Données projet'!$B$10,Paramètres!$A$1:$I$89,5,0)</f>
        <v>7.6443530526315788</v>
      </c>
      <c r="AK5" s="13">
        <f t="shared" ref="AK5:AK68" si="35">EXP(-1.0587+0.8836*LN(AJ5)+0.284)</f>
        <v>2.7801737582204993</v>
      </c>
      <c r="AL5" s="20">
        <f t="shared" si="4"/>
        <v>18.156050862234036</v>
      </c>
      <c r="AM5" s="59">
        <f t="shared" si="5"/>
        <v>188.75333214973486</v>
      </c>
      <c r="AN5" s="59">
        <f ca="1">AVERAGE(OFFSET($AM$3,0,0,'Données projet'!$E$10+1,1))-AVERAGE(OFFSET($H$3,0,0,'Données projet'!$E$10+1,1))</f>
        <v>486.36097333679697</v>
      </c>
      <c r="AO5" s="59">
        <f t="shared" ref="AO5:AO68" si="36">$AO$3</f>
        <v>308.47736602748159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1.5241734990839366</v>
      </c>
      <c r="BF5" s="13">
        <f t="shared" ref="BF5:BF68" si="37">EXP(-1.0587+0.8836*LN(BE5)+0.284)</f>
        <v>0.66877690363385434</v>
      </c>
      <c r="BG5" s="20">
        <f t="shared" si="7"/>
        <v>3.8193886180668186</v>
      </c>
      <c r="BH5" s="59">
        <f t="shared" si="8"/>
        <v>174.41666990556766</v>
      </c>
      <c r="BI5" s="59">
        <f ca="1">AVERAGE(OFFSET($BH$3,0,0,'Données projet'!$E$11+1,1))-AVERAGE(OFFSET($H$3,0,0,'Données projet'!$E$11+1,1))</f>
        <v>408.246209980743</v>
      </c>
      <c r="BJ5" s="59">
        <f t="shared" ref="BJ5:BJ68" si="38">$BJ$3</f>
        <v>394.10236303013903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176.93621350384143</v>
      </c>
      <c r="S6" s="59">
        <f ca="1">AVERAGE(OFFSET($R$3,0,0,'Données projet'!$E$9+1,1))-AVERAGE(OFFSET($H$3,0,0,'Données projet'!$E$9+1,1))</f>
        <v>737.40414421611001</v>
      </c>
      <c r="T6" s="59">
        <f t="shared" si="34"/>
        <v>245.32893490531674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4.016578947368421</v>
      </c>
      <c r="AI6" s="13">
        <f>IF('Données projet'!$A$62&gt;35,AI5+AH6-AQ5,IF(A6&lt;'Données projet'!$A$62,$AF$205^A6,IF(A6='Données projet'!$A$62,'Données projet'!$B$62,AI5+AH6-AQ5)))</f>
        <v>12.049736842105263</v>
      </c>
      <c r="AJ6" s="13">
        <f>AI6*VLOOKUP('Données projet'!$B$10,Paramètres!$A$1:$I$89,3,0)*VLOOKUP('Données projet'!$B$10,Paramètres!$A$1:$I$89,5,0)</f>
        <v>11.466529578947368</v>
      </c>
      <c r="AK6" s="13">
        <f t="shared" si="35"/>
        <v>3.9780128004247182</v>
      </c>
      <c r="AL6" s="20">
        <f t="shared" si="4"/>
        <v>26.89924464407305</v>
      </c>
      <c r="AM6" s="59">
        <f t="shared" si="5"/>
        <v>200.25426521395792</v>
      </c>
      <c r="AN6" s="59">
        <f ca="1">AVERAGE(OFFSET($AM$3,0,0,'Données projet'!$E$10+1,1))-AVERAGE(OFFSET($H$3,0,0,'Données projet'!$E$10+1,1))</f>
        <v>486.36097333679697</v>
      </c>
      <c r="AO6" s="59">
        <f t="shared" si="36"/>
        <v>308.47736602748159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2.01323882305915</v>
      </c>
      <c r="BF6" s="13">
        <f t="shared" si="37"/>
        <v>0.85521232084258414</v>
      </c>
      <c r="BG6" s="20">
        <f t="shared" si="7"/>
        <v>4.9958857422955205</v>
      </c>
      <c r="BH6" s="59">
        <f t="shared" si="8"/>
        <v>178.3509063121804</v>
      </c>
      <c r="BI6" s="59">
        <f ca="1">AVERAGE(OFFSET($BH$3,0,0,'Données projet'!$E$11+1,1))-AVERAGE(OFFSET($H$3,0,0,'Données projet'!$E$11+1,1))</f>
        <v>408.246209980743</v>
      </c>
      <c r="BJ6" s="59">
        <f t="shared" si="38"/>
        <v>394.10236303013903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180.2310834426938</v>
      </c>
      <c r="S7" s="59">
        <f ca="1">AVERAGE(OFFSET($R$3,0,0,'Données projet'!$E$9+1,1))-AVERAGE(OFFSET($H$3,0,0,'Données projet'!$E$9+1,1))</f>
        <v>737.40414421611001</v>
      </c>
      <c r="T7" s="59">
        <f t="shared" si="34"/>
        <v>245.32893490531674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4.016578947368421</v>
      </c>
      <c r="AI7" s="13">
        <f>IF('Données projet'!$A$62&gt;35,AI6+AH7-AQ6,IF(A7&lt;'Données projet'!$A$62,$AF$205^A7,IF(A7='Données projet'!$A$62,'Données projet'!$B$62,AI6+AH7-AQ6)))</f>
        <v>16.066315789473684</v>
      </c>
      <c r="AJ7" s="13">
        <f>AI7*VLOOKUP('Données projet'!$B$10,Paramètres!$A$1:$I$89,3,0)*VLOOKUP('Données projet'!$B$10,Paramètres!$A$1:$I$89,5,0)</f>
        <v>15.288706105263158</v>
      </c>
      <c r="AK7" s="13">
        <f t="shared" si="35"/>
        <v>5.1293465733249333</v>
      </c>
      <c r="AL7" s="20">
        <f t="shared" si="4"/>
        <v>35.561441748540922</v>
      </c>
      <c r="AM7" s="59">
        <f t="shared" si="5"/>
        <v>211.64756381271786</v>
      </c>
      <c r="AN7" s="59">
        <f ca="1">AVERAGE(OFFSET($AM$3,0,0,'Données projet'!$E$10+1,1))-AVERAGE(OFFSET($H$3,0,0,'Données projet'!$E$10+1,1))</f>
        <v>486.36097333679697</v>
      </c>
      <c r="AO7" s="59">
        <f t="shared" si="36"/>
        <v>308.47736602748159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2.6592317482941512</v>
      </c>
      <c r="BF7" s="13">
        <f t="shared" si="37"/>
        <v>1.0936204730559642</v>
      </c>
      <c r="BG7" s="20">
        <f t="shared" si="7"/>
        <v>6.5362176188514516</v>
      </c>
      <c r="BH7" s="59">
        <f t="shared" si="8"/>
        <v>182.6223396830284</v>
      </c>
      <c r="BI7" s="59">
        <f ca="1">AVERAGE(OFFSET($BH$3,0,0,'Données projet'!$E$11+1,1))-AVERAGE(OFFSET($H$3,0,0,'Données projet'!$E$11+1,1))</f>
        <v>408.246209980743</v>
      </c>
      <c r="BJ7" s="59">
        <f t="shared" si="38"/>
        <v>394.10236303013903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183.5888441372831</v>
      </c>
      <c r="S8" s="59">
        <f ca="1">AVERAGE(OFFSET($R$3,0,0,'Données projet'!$E$9+1,1))-AVERAGE(OFFSET($H$3,0,0,'Données projet'!$E$9+1,1))</f>
        <v>737.40414421611001</v>
      </c>
      <c r="T8" s="59">
        <f t="shared" si="34"/>
        <v>245.32893490531674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4.016578947368421</v>
      </c>
      <c r="AI8" s="13">
        <f>IF('Données projet'!$A$62&gt;35,AI7+AH8-AQ7,IF(A8&lt;'Données projet'!$A$62,$AF$205^A8,IF(A8='Données projet'!$A$62,'Données projet'!$B$62,AI7+AH8-AQ7)))</f>
        <v>20.082894736842107</v>
      </c>
      <c r="AJ8" s="13">
        <f>AI8*VLOOKUP('Données projet'!$B$10,Paramètres!$A$1:$I$89,3,0)*VLOOKUP('Données projet'!$B$10,Paramètres!$A$1:$I$89,5,0)</f>
        <v>19.110882631578949</v>
      </c>
      <c r="AK8" s="13">
        <f t="shared" si="35"/>
        <v>6.2472909350549983</v>
      </c>
      <c r="AL8" s="20">
        <f t="shared" si="4"/>
        <v>44.16548562855413</v>
      </c>
      <c r="AM8" s="59">
        <f t="shared" si="5"/>
        <v>222.95653350500149</v>
      </c>
      <c r="AN8" s="59">
        <f ca="1">AVERAGE(OFFSET($AM$3,0,0,'Données projet'!$E$10+1,1))-AVERAGE(OFFSET($H$3,0,0,'Données projet'!$E$10+1,1))</f>
        <v>486.36097333679697</v>
      </c>
      <c r="AO8" s="59">
        <f t="shared" si="36"/>
        <v>308.47736602748159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3.5125060227033997</v>
      </c>
      <c r="BF8" s="13">
        <f t="shared" si="37"/>
        <v>1.3984898368966503</v>
      </c>
      <c r="BG8" s="20">
        <f t="shared" si="7"/>
        <v>8.5533177888034189</v>
      </c>
      <c r="BH8" s="59">
        <f t="shared" si="8"/>
        <v>187.34436566525076</v>
      </c>
      <c r="BI8" s="59">
        <f ca="1">AVERAGE(OFFSET($BH$3,0,0,'Données projet'!$E$11+1,1))-AVERAGE(OFFSET($H$3,0,0,'Données projet'!$E$11+1,1))</f>
        <v>408.246209980743</v>
      </c>
      <c r="BJ8" s="59">
        <f t="shared" si="38"/>
        <v>394.10236303013903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187.02406773782226</v>
      </c>
      <c r="S9" s="59">
        <f ca="1">AVERAGE(OFFSET($R$3,0,0,'Données projet'!$E$9+1,1))-AVERAGE(OFFSET($H$3,0,0,'Données projet'!$E$9+1,1))</f>
        <v>737.40414421611001</v>
      </c>
      <c r="T9" s="59">
        <f t="shared" si="34"/>
        <v>245.32893490531674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4.016578947368421</v>
      </c>
      <c r="AI9" s="13">
        <f>IF('Données projet'!$A$62&gt;35,AI8+AH9-AQ8,IF(A9&lt;'Données projet'!$A$62,$AF$205^A9,IF(A9='Données projet'!$A$62,'Données projet'!$B$62,AI8+AH9-AQ8)))</f>
        <v>24.09947368421053</v>
      </c>
      <c r="AJ9" s="13">
        <f>AI9*VLOOKUP('Données projet'!$B$10,Paramètres!$A$1:$I$89,3,0)*VLOOKUP('Données projet'!$B$10,Paramètres!$A$1:$I$89,5,0)</f>
        <v>22.933059157894743</v>
      </c>
      <c r="AK9" s="13">
        <f t="shared" si="35"/>
        <v>7.3393277186968353</v>
      </c>
      <c r="AL9" s="20">
        <f t="shared" si="4"/>
        <v>52.724407143396995</v>
      </c>
      <c r="AM9" s="59">
        <f t="shared" si="5"/>
        <v>234.19465923965598</v>
      </c>
      <c r="AN9" s="59">
        <f ca="1">AVERAGE(OFFSET($AM$3,0,0,'Données projet'!$E$10+1,1))-AVERAGE(OFFSET($H$3,0,0,'Données projet'!$E$10+1,1))</f>
        <v>486.36097333679697</v>
      </c>
      <c r="AO9" s="59">
        <f t="shared" si="36"/>
        <v>308.47736602748159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4.6395725259530565</v>
      </c>
      <c r="BF9" s="13">
        <f t="shared" si="37"/>
        <v>1.7883478520094751</v>
      </c>
      <c r="BG9" s="20">
        <f t="shared" si="7"/>
        <v>11.195294658284743</v>
      </c>
      <c r="BH9" s="59">
        <f t="shared" si="8"/>
        <v>192.66554675454373</v>
      </c>
      <c r="BI9" s="59">
        <f ca="1">AVERAGE(OFFSET($BH$3,0,0,'Données projet'!$E$11+1,1))-AVERAGE(OFFSET($H$3,0,0,'Données projet'!$E$11+1,1))</f>
        <v>408.246209980743</v>
      </c>
      <c r="BJ9" s="59">
        <f t="shared" si="38"/>
        <v>394.10236303013903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190.55356336822675</v>
      </c>
      <c r="S10" s="59">
        <f ca="1">AVERAGE(OFFSET($R$3,0,0,'Données projet'!$E$9+1,1))-AVERAGE(OFFSET($H$3,0,0,'Données projet'!$E$9+1,1))</f>
        <v>737.40414421611001</v>
      </c>
      <c r="T10" s="59">
        <f t="shared" si="34"/>
        <v>245.32893490531674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4.016578947368421</v>
      </c>
      <c r="AI10" s="13">
        <f>IF('Données projet'!$A$62&gt;35,AI9+AH10-AQ9,IF(A10&lt;'Données projet'!$A$62,$AF$205^A10,IF(A10='Données projet'!$A$62,'Données projet'!$B$62,AI9+AH10-AQ9)))</f>
        <v>28.116052631578953</v>
      </c>
      <c r="AJ10" s="13">
        <f>AI10*VLOOKUP('Données projet'!$B$10,Paramètres!$A$1:$I$89,3,0)*VLOOKUP('Données projet'!$B$10,Paramètres!$A$1:$I$89,5,0)</f>
        <v>26.755235684210533</v>
      </c>
      <c r="AK10" s="13">
        <f t="shared" si="35"/>
        <v>8.4102801727490544</v>
      </c>
      <c r="AL10" s="20">
        <f t="shared" si="4"/>
        <v>61.246606784204609</v>
      </c>
      <c r="AM10" s="59">
        <f t="shared" si="5"/>
        <v>245.37078771994084</v>
      </c>
      <c r="AN10" s="59">
        <f ca="1">AVERAGE(OFFSET($AM$3,0,0,'Données projet'!$E$10+1,1))-AVERAGE(OFFSET($H$3,0,0,'Données projet'!$E$10+1,1))</f>
        <v>486.36097333679697</v>
      </c>
      <c r="AO10" s="59">
        <f t="shared" si="36"/>
        <v>308.47736602748159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6.1282836483255982</v>
      </c>
      <c r="BF10" s="13">
        <f t="shared" si="37"/>
        <v>2.2868868656807066</v>
      </c>
      <c r="BG10" s="20">
        <f t="shared" si="7"/>
        <v>14.656421978560983</v>
      </c>
      <c r="BH10" s="59">
        <f t="shared" si="8"/>
        <v>198.78060291429722</v>
      </c>
      <c r="BI10" s="59">
        <f ca="1">AVERAGE(OFFSET($BH$3,0,0,'Données projet'!$E$11+1,1))-AVERAGE(OFFSET($H$3,0,0,'Données projet'!$E$11+1,1))</f>
        <v>408.246209980743</v>
      </c>
      <c r="BJ10" s="59">
        <f t="shared" si="38"/>
        <v>394.10236303013903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194.19673523888554</v>
      </c>
      <c r="S11" s="59">
        <f ca="1">AVERAGE(OFFSET($R$3,0,0,'Données projet'!$E$9+1,1))-AVERAGE(OFFSET($H$3,0,0,'Données projet'!$E$9+1,1))</f>
        <v>737.40414421611001</v>
      </c>
      <c r="T11" s="59">
        <f t="shared" si="34"/>
        <v>245.32893490531674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4.016578947368421</v>
      </c>
      <c r="AI11" s="13">
        <f>IF('Données projet'!$A$62&gt;35,AI10+AH11-AQ10,IF(A11&lt;'Données projet'!$A$62,$AF$205^A11,IF(A11='Données projet'!$A$62,'Données projet'!$B$62,AI10+AH11-AQ10)))</f>
        <v>32.132631578947375</v>
      </c>
      <c r="AJ11" s="13">
        <f>AI11*VLOOKUP('Données projet'!$B$10,Paramètres!$A$1:$I$89,3,0)*VLOOKUP('Données projet'!$B$10,Paramètres!$A$1:$I$89,5,0)</f>
        <v>30.577412210526322</v>
      </c>
      <c r="AK11" s="13">
        <f t="shared" si="35"/>
        <v>9.4635078802126973</v>
      </c>
      <c r="AL11" s="20">
        <f t="shared" si="4"/>
        <v>69.737935824703797</v>
      </c>
      <c r="AM11" s="59">
        <f t="shared" si="5"/>
        <v>256.49120869092434</v>
      </c>
      <c r="AN11" s="59">
        <f ca="1">AVERAGE(OFFSET($AM$3,0,0,'Données projet'!$E$10+1,1))-AVERAGE(OFFSET($H$3,0,0,'Données projet'!$E$10+1,1))</f>
        <v>486.36097333679697</v>
      </c>
      <c r="AO11" s="59">
        <f t="shared" si="36"/>
        <v>308.47736602748159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8.0946811940654388</v>
      </c>
      <c r="BF11" s="13">
        <f t="shared" si="37"/>
        <v>2.924403957846573</v>
      </c>
      <c r="BG11" s="20">
        <f t="shared" si="7"/>
        <v>19.191573306246756</v>
      </c>
      <c r="BH11" s="59">
        <f t="shared" si="8"/>
        <v>205.94484617246732</v>
      </c>
      <c r="BI11" s="59">
        <f ca="1">AVERAGE(OFFSET($BH$3,0,0,'Données projet'!$E$11+1,1))-AVERAGE(OFFSET($H$3,0,0,'Données projet'!$E$11+1,1))</f>
        <v>408.246209980743</v>
      </c>
      <c r="BJ11" s="59">
        <f t="shared" si="38"/>
        <v>394.10236303013903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197.97599799412612</v>
      </c>
      <c r="S12" s="59">
        <f ca="1">AVERAGE(OFFSET($R$3,0,0,'Données projet'!$E$9+1,1))-AVERAGE(OFFSET($H$3,0,0,'Données projet'!$E$9+1,1))</f>
        <v>737.40414421611001</v>
      </c>
      <c r="T12" s="59">
        <f t="shared" si="34"/>
        <v>245.32893490531674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4.016578947368421</v>
      </c>
      <c r="AI12" s="13">
        <f>IF('Données projet'!$A$62&gt;35,AI11+AH12-AQ11,IF(A12&lt;'Données projet'!$A$62,$AF$205^A12,IF(A12='Données projet'!$A$62,'Données projet'!$B$62,AI11+AH12-AQ11)))</f>
        <v>36.149210526315798</v>
      </c>
      <c r="AJ12" s="13">
        <f>AI12*VLOOKUP('Données projet'!$B$10,Paramètres!$A$1:$I$89,3,0)*VLOOKUP('Données projet'!$B$10,Paramètres!$A$1:$I$89,5,0)</f>
        <v>34.399588736842112</v>
      </c>
      <c r="AK12" s="13">
        <f t="shared" si="35"/>
        <v>10.501480177330832</v>
      </c>
      <c r="AL12" s="20">
        <f t="shared" si="4"/>
        <v>78.202695025517883</v>
      </c>
      <c r="AM12" s="59">
        <f t="shared" si="5"/>
        <v>267.56065377807397</v>
      </c>
      <c r="AN12" s="59">
        <f ca="1">AVERAGE(OFFSET($AM$3,0,0,'Données projet'!$E$10+1,1))-AVERAGE(OFFSET($H$3,0,0,'Données projet'!$E$10+1,1))</f>
        <v>486.36097333679697</v>
      </c>
      <c r="AO12" s="59">
        <f t="shared" si="36"/>
        <v>308.47736602748159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10.692041588424106</v>
      </c>
      <c r="BF12" s="13">
        <f t="shared" si="37"/>
        <v>3.739642147152348</v>
      </c>
      <c r="BG12" s="20">
        <f t="shared" si="7"/>
        <v>25.135182506128984</v>
      </c>
      <c r="BH12" s="59">
        <f t="shared" si="8"/>
        <v>214.49314125868506</v>
      </c>
      <c r="BI12" s="59">
        <f ca="1">AVERAGE(OFFSET($BH$3,0,0,'Données projet'!$E$11+1,1))-AVERAGE(OFFSET($H$3,0,0,'Données projet'!$E$11+1,1))</f>
        <v>408.246209980743</v>
      </c>
      <c r="BJ12" s="59">
        <f t="shared" si="38"/>
        <v>394.10236303013903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201.91725846848402</v>
      </c>
      <c r="S13" s="59">
        <f ca="1">AVERAGE(OFFSET($R$3,0,0,'Données projet'!$E$9+1,1))-AVERAGE(OFFSET($H$3,0,0,'Données projet'!$E$9+1,1))</f>
        <v>737.40414421611001</v>
      </c>
      <c r="T13" s="59">
        <f t="shared" si="34"/>
        <v>245.32893490531674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4.016578947368421</v>
      </c>
      <c r="AI13" s="13">
        <f>IF('Données projet'!$A$62&gt;35,AI12+AH13-AQ12,IF(A13&lt;'Données projet'!$A$62,$AF$205^A13,IF(A13='Données projet'!$A$62,'Données projet'!$B$62,AI12+AH13-AQ12)))</f>
        <v>40.165789473684221</v>
      </c>
      <c r="AJ13" s="13">
        <f>AI13*VLOOKUP('Données projet'!$B$10,Paramètres!$A$1:$I$89,3,0)*VLOOKUP('Données projet'!$B$10,Paramètres!$A$1:$I$89,5,0)</f>
        <v>38.221765263157906</v>
      </c>
      <c r="AK13" s="13">
        <f t="shared" si="35"/>
        <v>11.52608546697418</v>
      </c>
      <c r="AL13" s="20">
        <f t="shared" si="4"/>
        <v>86.644173354980055</v>
      </c>
      <c r="AM13" s="59">
        <f t="shared" si="5"/>
        <v>278.58283534002493</v>
      </c>
      <c r="AN13" s="59">
        <f ca="1">AVERAGE(OFFSET($AM$3,0,0,'Données projet'!$E$10+1,1))-AVERAGE(OFFSET($H$3,0,0,'Données projet'!$E$10+1,1))</f>
        <v>486.36097333679697</v>
      </c>
      <c r="AO13" s="59">
        <f t="shared" si="36"/>
        <v>308.47736602748159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14.122823442682758</v>
      </c>
      <c r="BF13" s="13">
        <f t="shared" si="37"/>
        <v>4.7821448713454142</v>
      </c>
      <c r="BG13" s="20">
        <f t="shared" si="7"/>
        <v>32.9261531469324</v>
      </c>
      <c r="BH13" s="59">
        <f t="shared" si="8"/>
        <v>224.86481513197728</v>
      </c>
      <c r="BI13" s="59">
        <f ca="1">AVERAGE(OFFSET($BH$3,0,0,'Données projet'!$E$11+1,1))-AVERAGE(OFFSET($H$3,0,0,'Données projet'!$E$11+1,1))</f>
        <v>408.246209980743</v>
      </c>
      <c r="BJ13" s="59">
        <f t="shared" si="38"/>
        <v>394.10236303013903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206.05047449961361</v>
      </c>
      <c r="S14" s="59">
        <f ca="1">AVERAGE(OFFSET($R$3,0,0,'Données projet'!$E$9+1,1))-AVERAGE(OFFSET($H$3,0,0,'Données projet'!$E$9+1,1))</f>
        <v>737.40414421611001</v>
      </c>
      <c r="T14" s="59">
        <f t="shared" si="34"/>
        <v>245.32893490531674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4.016578947368421</v>
      </c>
      <c r="AI14" s="13">
        <f>IF('Données projet'!$A$62&gt;35,AI13+AH14-AQ13,IF(A14&lt;'Données projet'!$A$62,$AF$205^A14,IF(A14='Données projet'!$A$62,'Données projet'!$B$62,AI13+AH14-AQ13)))</f>
        <v>44.182368421052644</v>
      </c>
      <c r="AJ14" s="13">
        <f>AI14*VLOOKUP('Données projet'!$B$10,Paramètres!$A$1:$I$89,3,0)*VLOOKUP('Données projet'!$B$10,Paramètres!$A$1:$I$89,5,0)</f>
        <v>42.043941789473699</v>
      </c>
      <c r="AK14" s="13">
        <f t="shared" si="35"/>
        <v>12.538812616073887</v>
      </c>
      <c r="AL14" s="20">
        <f t="shared" si="4"/>
        <v>95.064963922995389</v>
      </c>
      <c r="AM14" s="59">
        <f t="shared" si="5"/>
        <v>289.56076253210949</v>
      </c>
      <c r="AN14" s="59">
        <f ca="1">AVERAGE(OFFSET($AM$3,0,0,'Données projet'!$E$10+1,1))-AVERAGE(OFFSET($H$3,0,0,'Données projet'!$E$10+1,1))</f>
        <v>486.36097333679697</v>
      </c>
      <c r="AO14" s="59">
        <f t="shared" si="36"/>
        <v>308.47736602748159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18.654448763941549</v>
      </c>
      <c r="BF14" s="13">
        <f t="shared" si="37"/>
        <v>6.1152668278566198</v>
      </c>
      <c r="BG14" s="20">
        <f t="shared" si="7"/>
        <v>43.140587989048477</v>
      </c>
      <c r="BH14" s="59">
        <f t="shared" si="8"/>
        <v>237.6363865981626</v>
      </c>
      <c r="BI14" s="59">
        <f ca="1">AVERAGE(OFFSET($BH$3,0,0,'Données projet'!$E$11+1,1))-AVERAGE(OFFSET($H$3,0,0,'Données projet'!$E$11+1,1))</f>
        <v>408.246209980743</v>
      </c>
      <c r="BJ14" s="59">
        <f t="shared" si="38"/>
        <v>394.10236303013903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210.41030315661675</v>
      </c>
      <c r="S15" s="59">
        <f ca="1">AVERAGE(OFFSET($R$3,0,0,'Données projet'!$E$9+1,1))-AVERAGE(OFFSET($H$3,0,0,'Données projet'!$E$9+1,1))</f>
        <v>737.40414421611001</v>
      </c>
      <c r="T15" s="59">
        <f t="shared" si="34"/>
        <v>245.32893490531674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4.016578947368421</v>
      </c>
      <c r="AI15" s="13">
        <f>IF('Données projet'!$A$62&gt;35,AI14+AH15-AQ14,IF(A15&lt;'Données projet'!$A$62,$AF$205^A15,IF(A15='Données projet'!$A$62,'Données projet'!$B$62,AI14+AH15-AQ14)))</f>
        <v>48.198947368421067</v>
      </c>
      <c r="AJ15" s="13">
        <f>AI15*VLOOKUP('Données projet'!$B$10,Paramètres!$A$1:$I$89,3,0)*VLOOKUP('Données projet'!$B$10,Paramètres!$A$1:$I$89,5,0)</f>
        <v>45.866118315789485</v>
      </c>
      <c r="AK15" s="13">
        <f t="shared" si="35"/>
        <v>13.540864261844654</v>
      </c>
      <c r="AL15" s="20">
        <f t="shared" si="4"/>
        <v>103.4671613227128</v>
      </c>
      <c r="AM15" s="59">
        <f t="shared" si="5"/>
        <v>300.49693877544564</v>
      </c>
      <c r="AN15" s="59">
        <f ca="1">AVERAGE(OFFSET($AM$3,0,0,'Données projet'!$E$10+1,1))-AVERAGE(OFFSET($H$3,0,0,'Données projet'!$E$10+1,1))</f>
        <v>486.36097333679697</v>
      </c>
      <c r="AO15" s="59">
        <f t="shared" si="36"/>
        <v>308.47736602748159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24.640147920762846</v>
      </c>
      <c r="BF15" s="13">
        <f t="shared" si="37"/>
        <v>7.8200241485704662</v>
      </c>
      <c r="BG15" s="20">
        <f t="shared" si="7"/>
        <v>56.534799687422179</v>
      </c>
      <c r="BH15" s="59">
        <f t="shared" si="8"/>
        <v>253.56457714015505</v>
      </c>
      <c r="BI15" s="59">
        <f ca="1">AVERAGE(OFFSET($BH$3,0,0,'Données projet'!$E$11+1,1))-AVERAGE(OFFSET($H$3,0,0,'Données projet'!$E$11+1,1))</f>
        <v>408.246209980743</v>
      </c>
      <c r="BJ15" s="59">
        <f t="shared" si="38"/>
        <v>394.10236303013903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215.036852728985</v>
      </c>
      <c r="S16" s="59">
        <f ca="1">AVERAGE(OFFSET($R$3,0,0,'Données projet'!$E$9+1,1))-AVERAGE(OFFSET($H$3,0,0,'Données projet'!$E$9+1,1))</f>
        <v>737.40414421611001</v>
      </c>
      <c r="T16" s="59">
        <f t="shared" si="34"/>
        <v>245.32893490531674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4.016578947368421</v>
      </c>
      <c r="AI16" s="13">
        <f>IF('Données projet'!$A$62&gt;35,AI15+AH16-AQ15,IF(A16&lt;'Données projet'!$A$62,$AF$205^A16,IF(A16='Données projet'!$A$62,'Données projet'!$B$62,AI15+AH16-AQ15)))</f>
        <v>52.215526315789489</v>
      </c>
      <c r="AJ16" s="13">
        <f>AI16*VLOOKUP('Données projet'!$B$10,Paramètres!$A$1:$I$89,3,0)*VLOOKUP('Données projet'!$B$10,Paramètres!$A$1:$I$89,5,0)</f>
        <v>49.688294842105279</v>
      </c>
      <c r="AK16" s="13">
        <f t="shared" si="35"/>
        <v>14.533231172057361</v>
      </c>
      <c r="AL16" s="20">
        <f t="shared" si="4"/>
        <v>111.85249114133325</v>
      </c>
      <c r="AM16" s="59">
        <f t="shared" si="5"/>
        <v>311.39349139295206</v>
      </c>
      <c r="AN16" s="59">
        <f ca="1">AVERAGE(OFFSET($AM$3,0,0,'Données projet'!$E$10+1,1))-AVERAGE(OFFSET($H$3,0,0,'Données projet'!$E$10+1,1))</f>
        <v>486.36097333679697</v>
      </c>
      <c r="AO16" s="59">
        <f t="shared" si="36"/>
        <v>308.47736602748159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32.546493184545326</v>
      </c>
      <c r="BF16" s="13">
        <f t="shared" si="37"/>
        <v>10.000017890578144</v>
      </c>
      <c r="BG16" s="20">
        <f t="shared" si="7"/>
        <v>74.101840122506715</v>
      </c>
      <c r="BH16" s="59">
        <f t="shared" si="8"/>
        <v>273.64284037412551</v>
      </c>
      <c r="BI16" s="59">
        <f ca="1">AVERAGE(OFFSET($BH$3,0,0,'Données projet'!$E$11+1,1))-AVERAGE(OFFSET($H$3,0,0,'Données projet'!$E$11+1,1))</f>
        <v>408.246209980743</v>
      </c>
      <c r="BJ16" s="59">
        <f t="shared" si="38"/>
        <v>394.10236303013903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219.97655512767665</v>
      </c>
      <c r="S17" s="59">
        <f ca="1">AVERAGE(OFFSET($R$3,0,0,'Données projet'!$E$9+1,1))-AVERAGE(OFFSET($H$3,0,0,'Données projet'!$E$9+1,1))</f>
        <v>737.40414421611001</v>
      </c>
      <c r="T17" s="59">
        <f t="shared" si="34"/>
        <v>245.32893490531674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4.016578947368421</v>
      </c>
      <c r="AI17" s="13">
        <f>IF('Données projet'!$A$62&gt;35,AI16+AH17-AQ16,IF(A17&lt;'Données projet'!$A$62,$AF$205^A17,IF(A17='Données projet'!$A$62,'Données projet'!$B$62,AI16+AH17-AQ16)))</f>
        <v>56.232105263157912</v>
      </c>
      <c r="AJ17" s="13">
        <f>AI17*VLOOKUP('Données projet'!$B$10,Paramètres!$A$1:$I$89,3,0)*VLOOKUP('Données projet'!$B$10,Paramètres!$A$1:$I$89,5,0)</f>
        <v>53.510471368421072</v>
      </c>
      <c r="AK17" s="13">
        <f t="shared" si="35"/>
        <v>15.516743029905101</v>
      </c>
      <c r="AL17" s="20">
        <f t="shared" si="4"/>
        <v>120.22239841041811</v>
      </c>
      <c r="AM17" s="59">
        <f t="shared" si="5"/>
        <v>322.25226018269132</v>
      </c>
      <c r="AN17" s="59">
        <f ca="1">AVERAGE(OFFSET($AM$3,0,0,'Données projet'!$E$10+1,1))-AVERAGE(OFFSET($H$3,0,0,'Données projet'!$E$10+1,1))</f>
        <v>486.36097333679697</v>
      </c>
      <c r="AO17" s="59">
        <f t="shared" si="36"/>
        <v>308.47736602748159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42.989767026482248</v>
      </c>
      <c r="BF17" s="13">
        <f t="shared" si="37"/>
        <v>12.78773005197989</v>
      </c>
      <c r="BG17" s="20">
        <f t="shared" si="7"/>
        <v>97.145807411654872</v>
      </c>
      <c r="BH17" s="59">
        <f t="shared" si="8"/>
        <v>299.17566918392805</v>
      </c>
      <c r="BI17" s="59">
        <f ca="1">AVERAGE(OFFSET($BH$3,0,0,'Données projet'!$E$11+1,1))-AVERAGE(OFFSET($H$3,0,0,'Données projet'!$E$11+1,1))</f>
        <v>408.246209980743</v>
      </c>
      <c r="BJ17" s="59">
        <f t="shared" si="38"/>
        <v>394.10236303013903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225.28317802769584</v>
      </c>
      <c r="S18" s="59">
        <f ca="1">AVERAGE(OFFSET($R$3,0,0,'Données projet'!$E$9+1,1))-AVERAGE(OFFSET($H$3,0,0,'Données projet'!$E$9+1,1))</f>
        <v>737.40414421611001</v>
      </c>
      <c r="T18" s="59">
        <f t="shared" si="34"/>
        <v>245.32893490531674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4.016578947368421</v>
      </c>
      <c r="AI18" s="13">
        <f>IF('Données projet'!$A$62&gt;35,AI17+AH18-AQ17,IF(A18&lt;'Données projet'!$A$62,$AF$205^A18,IF(A18='Données projet'!$A$62,'Données projet'!$B$62,AI17+AH18-AQ17)))</f>
        <v>60.248684210526335</v>
      </c>
      <c r="AJ18" s="13">
        <f>AI18*VLOOKUP('Données projet'!$B$10,Paramètres!$A$1:$I$89,3,0)*VLOOKUP('Données projet'!$B$10,Paramètres!$A$1:$I$89,5,0)</f>
        <v>57.332647894736859</v>
      </c>
      <c r="AK18" s="13">
        <f t="shared" si="35"/>
        <v>16.492104276158738</v>
      </c>
      <c r="AL18" s="20">
        <f t="shared" si="4"/>
        <v>128.57811003097649</v>
      </c>
      <c r="AM18" s="59">
        <f t="shared" si="5"/>
        <v>333.07485996385753</v>
      </c>
      <c r="AN18" s="59">
        <f ca="1">AVERAGE(OFFSET($AM$3,0,0,'Données projet'!$E$10+1,1))-AVERAGE(OFFSET($H$3,0,0,'Données projet'!$E$10+1,1))</f>
        <v>486.36097333679697</v>
      </c>
      <c r="AO18" s="59">
        <f t="shared" si="36"/>
        <v>308.47736602748159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56.784000000000013</v>
      </c>
      <c r="BF18" s="13">
        <f t="shared" si="37"/>
        <v>16.352574732529362</v>
      </c>
      <c r="BG18" s="20">
        <f t="shared" si="7"/>
        <v>127.37953432582198</v>
      </c>
      <c r="BH18" s="59">
        <f t="shared" si="8"/>
        <v>331.87628425870304</v>
      </c>
      <c r="BI18" s="59">
        <f ca="1">AVERAGE(OFFSET($BH$3,0,0,'Données projet'!$E$11+1,1))-AVERAGE(OFFSET($H$3,0,0,'Données projet'!$E$11+1,1))</f>
        <v>408.246209980743</v>
      </c>
      <c r="BJ18" s="59">
        <f t="shared" si="38"/>
        <v>394.10236303013903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4.0786105117164171</v>
      </c>
      <c r="BR18" s="21">
        <f>EXP(-LN(2)/2)*BR17+(1-EXP(-LN(2)/2))/(LN(2)/2)*BL18*BO18*VLOOKUP('Données projet'!$B$11,Paramètres!$A$1:$I$89,3,0)*0.475*44/12</f>
        <v>6.5941209007941382</v>
      </c>
      <c r="BS18" s="22">
        <f t="shared" si="9"/>
        <v>10.672731412510554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231.01899919086236</v>
      </c>
      <c r="S19" s="59">
        <f ca="1">AVERAGE(OFFSET($R$3,0,0,'Données projet'!$E$9+1,1))-AVERAGE(OFFSET($H$3,0,0,'Données projet'!$E$9+1,1))</f>
        <v>737.40414421611001</v>
      </c>
      <c r="T19" s="59">
        <f t="shared" si="34"/>
        <v>245.32893490531674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4.016578947368421</v>
      </c>
      <c r="AI19" s="13">
        <f>IF('Données projet'!$A$62&gt;35,AI18+AH19-AQ18,IF(A19&lt;'Données projet'!$A$62,$AF$205^A19,IF(A19='Données projet'!$A$62,'Données projet'!$B$62,AI18+AH19-AQ18)))</f>
        <v>64.265263157894751</v>
      </c>
      <c r="AJ19" s="13">
        <f>AI19*VLOOKUP('Données projet'!$B$10,Paramètres!$A$1:$I$89,3,0)*VLOOKUP('Données projet'!$B$10,Paramètres!$A$1:$I$89,5,0)</f>
        <v>61.154824421052645</v>
      </c>
      <c r="AK19" s="13">
        <f t="shared" si="35"/>
        <v>17.459920112357459</v>
      </c>
      <c r="AL19" s="20">
        <f t="shared" si="4"/>
        <v>136.92068006235593</v>
      </c>
      <c r="AM19" s="59">
        <f t="shared" si="5"/>
        <v>343.86272598446999</v>
      </c>
      <c r="AN19" s="59">
        <f ca="1">AVERAGE(OFFSET($AM$3,0,0,'Données projet'!$E$10+1,1))-AVERAGE(OFFSET($H$3,0,0,'Données projet'!$E$10+1,1))</f>
        <v>486.36097333679697</v>
      </c>
      <c r="AO19" s="59">
        <f t="shared" si="36"/>
        <v>308.47736602748159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40.884480000000003</v>
      </c>
      <c r="BF19" s="13">
        <f t="shared" si="37"/>
        <v>12.23277918777527</v>
      </c>
      <c r="BG19" s="20">
        <f t="shared" si="7"/>
        <v>92.512559752041952</v>
      </c>
      <c r="BH19" s="59">
        <f t="shared" si="8"/>
        <v>299.45460567415603</v>
      </c>
      <c r="BI19" s="59">
        <f ca="1">AVERAGE(OFFSET($BH$3,0,0,'Données projet'!$E$11+1,1))-AVERAGE(OFFSET($H$3,0,0,'Données projet'!$E$11+1,1))</f>
        <v>408.246209980743</v>
      </c>
      <c r="BJ19" s="59">
        <f t="shared" si="38"/>
        <v>394.10236303013903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3.9670806927887265</v>
      </c>
      <c r="BR19" s="21">
        <f>EXP(-LN(2)/2)*BR18+(1-EXP(-LN(2)/2))/(LN(2)/2)*BL19*BO19*VLOOKUP('Données projet'!$B$11,Paramètres!$A$1:$I$89,3,0)*0.475*44/12</f>
        <v>4.6627476049154808</v>
      </c>
      <c r="BS19" s="22">
        <f t="shared" si="9"/>
        <v>8.6298282977042078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237.25616901789971</v>
      </c>
      <c r="S20" s="59">
        <f ca="1">AVERAGE(OFFSET($R$3,0,0,'Données projet'!$E$9+1,1))-AVERAGE(OFFSET($H$3,0,0,'Données projet'!$E$9+1,1))</f>
        <v>737.40414421611001</v>
      </c>
      <c r="T20" s="59">
        <f t="shared" si="34"/>
        <v>245.32893490531674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4.016578947368421</v>
      </c>
      <c r="AI20" s="13">
        <f>IF('Données projet'!$A$62&gt;35,AI19+AH20-AQ19,IF(A20&lt;'Données projet'!$A$62,$AF$205^A20,IF(A20='Données projet'!$A$62,'Données projet'!$B$62,AI19+AH20-AQ19)))</f>
        <v>68.281842105263166</v>
      </c>
      <c r="AJ20" s="13">
        <f>AI20*VLOOKUP('Données projet'!$B$10,Paramètres!$A$1:$I$89,3,0)*VLOOKUP('Données projet'!$B$10,Paramètres!$A$1:$I$89,5,0)</f>
        <v>64.977000947368424</v>
      </c>
      <c r="AK20" s="13">
        <f t="shared" si="35"/>
        <v>18.420715814085391</v>
      </c>
      <c r="AL20" s="20">
        <f t="shared" si="4"/>
        <v>145.25102335953207</v>
      </c>
      <c r="AM20" s="59">
        <f t="shared" si="5"/>
        <v>354.61714767540479</v>
      </c>
      <c r="AN20" s="59">
        <f ca="1">AVERAGE(OFFSET($AM$3,0,0,'Données projet'!$E$10+1,1))-AVERAGE(OFFSET($H$3,0,0,'Données projet'!$E$10+1,1))</f>
        <v>486.36097333679697</v>
      </c>
      <c r="AO20" s="59">
        <f t="shared" si="36"/>
        <v>308.47736602748159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52.940159999999999</v>
      </c>
      <c r="BF20" s="13">
        <f t="shared" si="37"/>
        <v>15.37052534377243</v>
      </c>
      <c r="BG20" s="20">
        <f t="shared" si="7"/>
        <v>118.97444364040366</v>
      </c>
      <c r="BH20" s="59">
        <f t="shared" si="8"/>
        <v>328.3405679562764</v>
      </c>
      <c r="BI20" s="59">
        <f ca="1">AVERAGE(OFFSET($BH$3,0,0,'Données projet'!$E$11+1,1))-AVERAGE(OFFSET($H$3,0,0,'Données projet'!$E$11+1,1))</f>
        <v>408.246209980743</v>
      </c>
      <c r="BJ20" s="59">
        <f t="shared" si="38"/>
        <v>394.10236303013903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3.858600662624712</v>
      </c>
      <c r="BR20" s="21">
        <f>EXP(-LN(2)/2)*BR19+(1-EXP(-LN(2)/2))/(LN(2)/2)*BL20*BO20*VLOOKUP('Données projet'!$B$11,Paramètres!$A$1:$I$89,3,0)*0.475*44/12</f>
        <v>3.2970604503970695</v>
      </c>
      <c r="BS20" s="22">
        <f t="shared" si="9"/>
        <v>7.1556611130217815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244.07829157142623</v>
      </c>
      <c r="S21" s="59">
        <f ca="1">AVERAGE(OFFSET($R$3,0,0,'Données projet'!$E$9+1,1))-AVERAGE(OFFSET($H$3,0,0,'Données projet'!$E$9+1,1))</f>
        <v>737.40414421611001</v>
      </c>
      <c r="T21" s="59">
        <f t="shared" si="34"/>
        <v>245.32893490531674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4.016578947368421</v>
      </c>
      <c r="AI21" s="13">
        <f>IF('Données projet'!$A$62&gt;35,AI20+AH21-AQ20,IF(A21&lt;'Données projet'!$A$62,$AF$205^A21,IF(A21='Données projet'!$A$62,'Données projet'!$B$62,AI20+AH21-AQ20)))</f>
        <v>72.298421052631582</v>
      </c>
      <c r="AJ21" s="13">
        <f>AI21*VLOOKUP('Données projet'!$B$10,Paramètres!$A$1:$I$89,3,0)*VLOOKUP('Données projet'!$B$10,Paramètres!$A$1:$I$89,5,0)</f>
        <v>68.79917747368421</v>
      </c>
      <c r="AK21" s="13">
        <f t="shared" si="35"/>
        <v>19.37495136883436</v>
      </c>
      <c r="AL21" s="20">
        <f t="shared" si="4"/>
        <v>153.56994106738651</v>
      </c>
      <c r="AM21" s="59">
        <f t="shared" si="5"/>
        <v>365.33929425938959</v>
      </c>
      <c r="AN21" s="59">
        <f ca="1">AVERAGE(OFFSET($AM$3,0,0,'Données projet'!$E$10+1,1))-AVERAGE(OFFSET($H$3,0,0,'Données projet'!$E$10+1,1))</f>
        <v>486.36097333679697</v>
      </c>
      <c r="AO21" s="59">
        <f t="shared" si="36"/>
        <v>308.47736602748159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64.995840000000001</v>
      </c>
      <c r="BF21" s="13">
        <f t="shared" si="37"/>
        <v>18.425434860828894</v>
      </c>
      <c r="BG21" s="20">
        <f t="shared" si="7"/>
        <v>145.29205371594367</v>
      </c>
      <c r="BH21" s="59">
        <f t="shared" si="8"/>
        <v>357.06140690794678</v>
      </c>
      <c r="BI21" s="59">
        <f ca="1">AVERAGE(OFFSET($BH$3,0,0,'Données projet'!$E$11+1,1))-AVERAGE(OFFSET($H$3,0,0,'Données projet'!$E$11+1,1))</f>
        <v>408.246209980743</v>
      </c>
      <c r="BJ21" s="59">
        <f t="shared" si="38"/>
        <v>394.10236303013903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3.7530870245902492</v>
      </c>
      <c r="BR21" s="21">
        <f>EXP(-LN(2)/2)*BR20+(1-EXP(-LN(2)/2))/(LN(2)/2)*BL21*BO21*VLOOKUP('Données projet'!$B$11,Paramètres!$A$1:$I$89,3,0)*0.475*44/12</f>
        <v>2.3313738024577408</v>
      </c>
      <c r="BS21" s="22">
        <f t="shared" si="9"/>
        <v>6.0844608270479901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251.58225917989486</v>
      </c>
      <c r="S22" s="59">
        <f ca="1">AVERAGE(OFFSET($R$3,0,0,'Données projet'!$E$9+1,1))-AVERAGE(OFFSET($H$3,0,0,'Données projet'!$E$9+1,1))</f>
        <v>737.40414421611001</v>
      </c>
      <c r="T22" s="59">
        <f t="shared" si="34"/>
        <v>245.32893490531674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4.016578947368421</v>
      </c>
      <c r="AI22" s="13">
        <f>IF('Données projet'!$A$62&gt;35,AI21+AH22-AQ21,IF(A22&lt;'Données projet'!$A$62,$AF$205^A22,IF(A22='Données projet'!$A$62,'Données projet'!$B$62,AI21+AH22-AQ21)))</f>
        <v>76.314999999999998</v>
      </c>
      <c r="AJ22" s="13">
        <f>AI22*VLOOKUP('Données projet'!$B$10,Paramètres!$A$1:$I$89,3,0)*VLOOKUP('Données projet'!$B$10,Paramètres!$A$1:$I$89,5,0)</f>
        <v>72.621353999999997</v>
      </c>
      <c r="AK22" s="13">
        <f t="shared" si="35"/>
        <v>20.323032767751659</v>
      </c>
      <c r="AL22" s="20">
        <f t="shared" si="4"/>
        <v>161.87814028716744</v>
      </c>
      <c r="AM22" s="59">
        <f t="shared" si="5"/>
        <v>376.03023453019097</v>
      </c>
      <c r="AN22" s="59">
        <f ca="1">AVERAGE(OFFSET($AM$3,0,0,'Données projet'!$E$10+1,1))-AVERAGE(OFFSET($H$3,0,0,'Données projet'!$E$10+1,1))</f>
        <v>486.36097333679697</v>
      </c>
      <c r="AO22" s="59">
        <f t="shared" si="36"/>
        <v>308.47736602748159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77.051519999999996</v>
      </c>
      <c r="BF22" s="13">
        <f t="shared" si="37"/>
        <v>21.414697423431697</v>
      </c>
      <c r="BG22" s="20">
        <f t="shared" si="7"/>
        <v>171.49532867914351</v>
      </c>
      <c r="BH22" s="59">
        <f t="shared" si="8"/>
        <v>385.64742292216704</v>
      </c>
      <c r="BI22" s="59">
        <f ca="1">AVERAGE(OFFSET($BH$3,0,0,'Données projet'!$E$11+1,1))-AVERAGE(OFFSET($H$3,0,0,'Données projet'!$E$11+1,1))</f>
        <v>408.246209980743</v>
      </c>
      <c r="BJ22" s="59">
        <f t="shared" si="38"/>
        <v>394.10236303013903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3.6504586625365603</v>
      </c>
      <c r="BR22" s="21">
        <f>EXP(-LN(2)/2)*BR21+(1-EXP(-LN(2)/2))/(LN(2)/2)*BL22*BO22*VLOOKUP('Données projet'!$B$11,Paramètres!$A$1:$I$89,3,0)*0.475*44/12</f>
        <v>1.6485302251985352</v>
      </c>
      <c r="BS22" s="22">
        <f t="shared" si="9"/>
        <v>5.2989888877350957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259.88038138617196</v>
      </c>
      <c r="S23" s="59">
        <f ca="1">AVERAGE(OFFSET($R$3,0,0,'Données projet'!$E$9+1,1))-AVERAGE(OFFSET($H$3,0,0,'Données projet'!$E$9+1,1))</f>
        <v>737.40414421611001</v>
      </c>
      <c r="T23" s="59">
        <f t="shared" si="34"/>
        <v>245.32893490531674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4.016578947368421</v>
      </c>
      <c r="AI23" s="13">
        <f>IF('Données projet'!$A$62&gt;35,AI22+AH23-AQ22,IF(A23&lt;'Données projet'!$A$62,$AF$205^A23,IF(A23='Données projet'!$A$62,'Données projet'!$B$62,AI22+AH23-AQ22)))</f>
        <v>80.331578947368413</v>
      </c>
      <c r="AJ23" s="13">
        <f>AI23*VLOOKUP('Données projet'!$B$10,Paramètres!$A$1:$I$89,3,0)*VLOOKUP('Données projet'!$B$10,Paramètres!$A$1:$I$89,5,0)</f>
        <v>76.443530526315783</v>
      </c>
      <c r="AK23" s="13">
        <f t="shared" si="35"/>
        <v>21.265320852361398</v>
      </c>
      <c r="AL23" s="20">
        <f t="shared" si="4"/>
        <v>170.17624948452939</v>
      </c>
      <c r="AM23" s="59">
        <f t="shared" si="5"/>
        <v>386.69095237142511</v>
      </c>
      <c r="AN23" s="59">
        <f ca="1">AVERAGE(OFFSET($AM$3,0,0,'Données projet'!$E$10+1,1))-AVERAGE(OFFSET($H$3,0,0,'Données projet'!$E$10+1,1))</f>
        <v>486.36097333679697</v>
      </c>
      <c r="AO23" s="59">
        <f t="shared" si="36"/>
        <v>308.47736602748159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89.107200000000006</v>
      </c>
      <c r="BF23" s="13">
        <f t="shared" si="37"/>
        <v>24.349778356363352</v>
      </c>
      <c r="BG23" s="20">
        <f t="shared" si="7"/>
        <v>197.6042373039995</v>
      </c>
      <c r="BH23" s="59">
        <f t="shared" si="8"/>
        <v>414.11894019089522</v>
      </c>
      <c r="BI23" s="59">
        <f ca="1">AVERAGE(OFFSET($BH$3,0,0,'Données projet'!$E$11+1,1))-AVERAGE(OFFSET($H$3,0,0,'Données projet'!$E$11+1,1))</f>
        <v>408.246209980743</v>
      </c>
      <c r="BJ23" s="59">
        <f t="shared" si="38"/>
        <v>394.10236303013903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8.0116169256300509</v>
      </c>
      <c r="BR23" s="21">
        <f>EXP(-LN(2)/2)*BR22+(1-EXP(-LN(2)/2))/(LN(2)/2)*BL23*BO23*VLOOKUP('Données projet'!$B$11,Paramètres!$A$1:$I$89,3,0)*0.475*44/12</f>
        <v>8.3780066364724597</v>
      </c>
      <c r="BS23" s="22">
        <f t="shared" si="9"/>
        <v>16.389623562102511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269.10285557012014</v>
      </c>
      <c r="S24" s="59">
        <f ca="1">AVERAGE(OFFSET($R$3,0,0,'Données projet'!$E$9+1,1))-AVERAGE(OFFSET($H$3,0,0,'Données projet'!$E$9+1,1))</f>
        <v>737.40414421611001</v>
      </c>
      <c r="T24" s="59">
        <f t="shared" si="34"/>
        <v>245.32893490531674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4.016578947368421</v>
      </c>
      <c r="AI24" s="13">
        <f>IF('Données projet'!$A$62&gt;35,AI23+AH24-AQ23,IF(A24&lt;'Données projet'!$A$62,$AF$205^A24,IF(A24='Données projet'!$A$62,'Données projet'!$B$62,AI23+AH24-AQ23)))</f>
        <v>84.348157894736829</v>
      </c>
      <c r="AJ24" s="13">
        <f>AI24*VLOOKUP('Données projet'!$B$10,Paramètres!$A$1:$I$89,3,0)*VLOOKUP('Données projet'!$B$10,Paramètres!$A$1:$I$89,5,0)</f>
        <v>80.265707052631569</v>
      </c>
      <c r="AK24" s="13">
        <f t="shared" si="35"/>
        <v>22.202138341659698</v>
      </c>
      <c r="AL24" s="20">
        <f t="shared" si="4"/>
        <v>178.46483072839058</v>
      </c>
      <c r="AM24" s="59">
        <f t="shared" si="5"/>
        <v>397.32235910426493</v>
      </c>
      <c r="AN24" s="59">
        <f ca="1">AVERAGE(OFFSET($AM$3,0,0,'Données projet'!$E$10+1,1))-AVERAGE(OFFSET($H$3,0,0,'Données projet'!$E$10+1,1))</f>
        <v>486.36097333679697</v>
      </c>
      <c r="AO24" s="59">
        <f t="shared" si="36"/>
        <v>308.47736602748159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71.46047999999999</v>
      </c>
      <c r="BF24" s="13">
        <f t="shared" si="37"/>
        <v>20.035709203981977</v>
      </c>
      <c r="BG24" s="20">
        <f t="shared" si="7"/>
        <v>159.35586286360191</v>
      </c>
      <c r="BH24" s="59">
        <f t="shared" si="8"/>
        <v>378.21339123947632</v>
      </c>
      <c r="BI24" s="59">
        <f ca="1">AVERAGE(OFFSET($BH$3,0,0,'Données projet'!$E$11+1,1))-AVERAGE(OFFSET($H$3,0,0,'Données projet'!$E$11+1,1))</f>
        <v>408.246209980743</v>
      </c>
      <c r="BJ24" s="59">
        <f t="shared" si="38"/>
        <v>394.10236303013903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7.792538839486074</v>
      </c>
      <c r="BR24" s="21">
        <f>EXP(-LN(2)/2)*BR23+(1-EXP(-LN(2)/2))/(LN(2)/2)*BL24*BO24*VLOOKUP('Données projet'!$B$11,Paramètres!$A$1:$I$89,3,0)*0.475*44/12</f>
        <v>5.9241453054755748</v>
      </c>
      <c r="BS24" s="22">
        <f t="shared" si="9"/>
        <v>13.716684144961649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279.40063419961359</v>
      </c>
      <c r="S25" s="59">
        <f ca="1">AVERAGE(OFFSET($R$3,0,0,'Données projet'!$E$9+1,1))-AVERAGE(OFFSET($H$3,0,0,'Données projet'!$E$9+1,1))</f>
        <v>737.40414421611001</v>
      </c>
      <c r="T25" s="59">
        <f t="shared" si="34"/>
        <v>245.32893490531674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4.016578947368421</v>
      </c>
      <c r="AI25" s="13">
        <f>IF('Données projet'!$A$62&gt;35,AI24+AH25-AQ24,IF(A25&lt;'Données projet'!$A$62,$AF$205^A25,IF(A25='Données projet'!$A$62,'Données projet'!$B$62,AI24+AH25-AQ24)))</f>
        <v>88.364736842105245</v>
      </c>
      <c r="AJ25" s="13">
        <f>AI25*VLOOKUP('Données projet'!$B$10,Paramètres!$A$1:$I$89,3,0)*VLOOKUP('Données projet'!$B$10,Paramètres!$A$1:$I$89,5,0)</f>
        <v>84.087883578947356</v>
      </c>
      <c r="AK25" s="13">
        <f t="shared" si="35"/>
        <v>23.133775482791631</v>
      </c>
      <c r="AL25" s="20">
        <f t="shared" si="4"/>
        <v>186.74438953252874</v>
      </c>
      <c r="AM25" s="59">
        <f t="shared" si="5"/>
        <v>407.92530343599714</v>
      </c>
      <c r="AN25" s="59">
        <f ca="1">AVERAGE(OFFSET($AM$3,0,0,'Données projet'!$E$10+1,1))-AVERAGE(OFFSET($H$3,0,0,'Données projet'!$E$10+1,1))</f>
        <v>486.36097333679697</v>
      </c>
      <c r="AO25" s="59">
        <f t="shared" si="36"/>
        <v>308.47736602748159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84.389759999999995</v>
      </c>
      <c r="BF25" s="13">
        <f t="shared" si="37"/>
        <v>23.207143598424498</v>
      </c>
      <c r="BG25" s="20">
        <f t="shared" si="7"/>
        <v>187.39794043392263</v>
      </c>
      <c r="BH25" s="59">
        <f t="shared" si="8"/>
        <v>408.57885433739102</v>
      </c>
      <c r="BI25" s="59">
        <f ca="1">AVERAGE(OFFSET($BH$3,0,0,'Données projet'!$E$11+1,1))-AVERAGE(OFFSET($H$3,0,0,'Données projet'!$E$11+1,1))</f>
        <v>408.246209980743</v>
      </c>
      <c r="BJ25" s="59">
        <f t="shared" si="38"/>
        <v>394.10236303013903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7.5794514551285195</v>
      </c>
      <c r="BR25" s="21">
        <f>EXP(-LN(2)/2)*BR24+(1-EXP(-LN(2)/2))/(LN(2)/2)*BL25*BO25*VLOOKUP('Données projet'!$B$11,Paramètres!$A$1:$I$89,3,0)*0.475*44/12</f>
        <v>4.1890033182362307</v>
      </c>
      <c r="BS25" s="22">
        <f t="shared" si="9"/>
        <v>11.76845477336475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290.94875252008558</v>
      </c>
      <c r="S26" s="59">
        <f ca="1">AVERAGE(OFFSET($R$3,0,0,'Données projet'!$E$9+1,1))-AVERAGE(OFFSET($H$3,0,0,'Données projet'!$E$9+1,1))</f>
        <v>737.40414421611001</v>
      </c>
      <c r="T26" s="59">
        <f t="shared" si="34"/>
        <v>245.32893490531674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4.016578947368421</v>
      </c>
      <c r="AI26" s="13">
        <f>IF('Données projet'!$A$62&gt;35,AI25+AH26-AQ25,IF(A26&lt;'Données projet'!$A$62,$AF$205^A26,IF(A26='Données projet'!$A$62,'Données projet'!$B$62,AI25+AH26-AQ25)))</f>
        <v>92.381315789473661</v>
      </c>
      <c r="AJ26" s="13">
        <f>AI26*VLOOKUP('Données projet'!$B$10,Paramètres!$A$1:$I$89,3,0)*VLOOKUP('Données projet'!$B$10,Paramètres!$A$1:$I$89,5,0)</f>
        <v>87.910060105263142</v>
      </c>
      <c r="AK26" s="13">
        <f t="shared" si="35"/>
        <v>24.060494645289975</v>
      </c>
      <c r="AL26" s="20">
        <f t="shared" si="4"/>
        <v>195.01538285721335</v>
      </c>
      <c r="AM26" s="59">
        <f t="shared" si="5"/>
        <v>418.50057956675982</v>
      </c>
      <c r="AN26" s="59">
        <f ca="1">AVERAGE(OFFSET($AM$3,0,0,'Données projet'!$E$10+1,1))-AVERAGE(OFFSET($H$3,0,0,'Données projet'!$E$10+1,1))</f>
        <v>486.36097333679697</v>
      </c>
      <c r="AO26" s="59">
        <f t="shared" si="36"/>
        <v>308.47736602748159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97.319039999999987</v>
      </c>
      <c r="BF26" s="13">
        <f t="shared" si="37"/>
        <v>26.322289133542785</v>
      </c>
      <c r="BG26" s="20">
        <f t="shared" si="7"/>
        <v>215.34198157425362</v>
      </c>
      <c r="BH26" s="59">
        <f t="shared" si="8"/>
        <v>438.82717828380009</v>
      </c>
      <c r="BI26" s="59">
        <f ca="1">AVERAGE(OFFSET($BH$3,0,0,'Données projet'!$E$11+1,1))-AVERAGE(OFFSET($H$3,0,0,'Données projet'!$E$11+1,1))</f>
        <v>408.246209980743</v>
      </c>
      <c r="BJ26" s="59">
        <f t="shared" si="38"/>
        <v>394.10236303013903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7.372190956502001</v>
      </c>
      <c r="BR26" s="21">
        <f>EXP(-LN(2)/2)*BR25+(1-EXP(-LN(2)/2))/(LN(2)/2)*BL26*BO26*VLOOKUP('Données projet'!$B$11,Paramètres!$A$1:$I$89,3,0)*0.475*44/12</f>
        <v>2.9620726527377883</v>
      </c>
      <c r="BS26" s="22">
        <f t="shared" si="9"/>
        <v>10.334263609239789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303.95019077789522</v>
      </c>
      <c r="S27" s="59">
        <f ca="1">AVERAGE(OFFSET($R$3,0,0,'Données projet'!$E$9+1,1))-AVERAGE(OFFSET($H$3,0,0,'Données projet'!$E$9+1,1))</f>
        <v>737.40414421611001</v>
      </c>
      <c r="T27" s="59">
        <f t="shared" si="34"/>
        <v>245.32893490531674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4.016578947368421</v>
      </c>
      <c r="AI27" s="13">
        <f>IF('Données projet'!$A$62&gt;35,AI26+AH27-AQ26,IF(A27&lt;'Données projet'!$A$62,$AF$205^A27,IF(A27='Données projet'!$A$62,'Données projet'!$B$62,AI26+AH27-AQ26)))</f>
        <v>96.397894736842076</v>
      </c>
      <c r="AJ27" s="13">
        <f>AI27*VLOOKUP('Données projet'!$B$10,Paramètres!$A$1:$I$89,3,0)*VLOOKUP('Données projet'!$B$10,Paramètres!$A$1:$I$89,5,0)</f>
        <v>91.732236631578928</v>
      </c>
      <c r="AK27" s="13">
        <f t="shared" si="35"/>
        <v>24.982534093770941</v>
      </c>
      <c r="AL27" s="20">
        <f t="shared" si="4"/>
        <v>203.27822567998433</v>
      </c>
      <c r="AM27" s="59">
        <f t="shared" si="5"/>
        <v>429.04893386360413</v>
      </c>
      <c r="AN27" s="59">
        <f ca="1">AVERAGE(OFFSET($AM$3,0,0,'Données projet'!$E$10+1,1))-AVERAGE(OFFSET($H$3,0,0,'Données projet'!$E$10+1,1))</f>
        <v>486.36097333679697</v>
      </c>
      <c r="AO27" s="59">
        <f t="shared" si="36"/>
        <v>308.47736602748159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110.24831999999999</v>
      </c>
      <c r="BF27" s="13">
        <f t="shared" si="37"/>
        <v>29.389483021072536</v>
      </c>
      <c r="BG27" s="20">
        <f t="shared" si="7"/>
        <v>243.20250692836802</v>
      </c>
      <c r="BH27" s="59">
        <f t="shared" si="8"/>
        <v>468.97321511198783</v>
      </c>
      <c r="BI27" s="59">
        <f ca="1">AVERAGE(OFFSET($BH$3,0,0,'Données projet'!$E$11+1,1))-AVERAGE(OFFSET($H$3,0,0,'Données projet'!$E$11+1,1))</f>
        <v>408.246209980743</v>
      </c>
      <c r="BJ27" s="59">
        <f t="shared" si="38"/>
        <v>394.10236303013903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7.1705980071097803</v>
      </c>
      <c r="BR27" s="21">
        <f>EXP(-LN(2)/2)*BR26+(1-EXP(-LN(2)/2))/(LN(2)/2)*BL27*BO27*VLOOKUP('Données projet'!$B$11,Paramètres!$A$1:$I$89,3,0)*0.475*44/12</f>
        <v>2.0945016591181158</v>
      </c>
      <c r="BS27" s="22">
        <f t="shared" si="9"/>
        <v>9.265099666227897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318.64035701863293</v>
      </c>
      <c r="S28" s="59">
        <f ca="1">AVERAGE(OFFSET($R$3,0,0,'Données projet'!$E$9+1,1))-AVERAGE(OFFSET($H$3,0,0,'Données projet'!$E$9+1,1))</f>
        <v>737.40414421611001</v>
      </c>
      <c r="T28" s="59">
        <f t="shared" si="34"/>
        <v>245.32893490531674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4.016578947368421</v>
      </c>
      <c r="AI28" s="13">
        <f>IF('Données projet'!$A$62&gt;35,AI27+AH28-AQ27,IF(A28&lt;'Données projet'!$A$62,$AF$205^A28,IF(A28='Données projet'!$A$62,'Données projet'!$B$62,AI27+AH28-AQ27)))</f>
        <v>100.41447368421049</v>
      </c>
      <c r="AJ28" s="13">
        <f>AI28*VLOOKUP('Données projet'!$B$10,Paramètres!$A$1:$I$89,3,0)*VLOOKUP('Données projet'!$B$10,Paramètres!$A$1:$I$89,5,0)</f>
        <v>95.5544131578947</v>
      </c>
      <c r="AK28" s="13">
        <f t="shared" si="35"/>
        <v>25.900111114129121</v>
      </c>
      <c r="AL28" s="20">
        <f t="shared" si="4"/>
        <v>211.53329644044149</v>
      </c>
      <c r="AM28" s="59">
        <f t="shared" si="5"/>
        <v>439.57107040677363</v>
      </c>
      <c r="AN28" s="59">
        <f ca="1">AVERAGE(OFFSET($AM$3,0,0,'Données projet'!$E$10+1,1))-AVERAGE(OFFSET($H$3,0,0,'Données projet'!$E$10+1,1))</f>
        <v>486.36097333679697</v>
      </c>
      <c r="AO28" s="59">
        <f t="shared" si="36"/>
        <v>308.47736602748159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123.1776</v>
      </c>
      <c r="BF28" s="13">
        <f t="shared" si="37"/>
        <v>32.414991240570416</v>
      </c>
      <c r="BG28" s="20">
        <f t="shared" si="7"/>
        <v>270.99042974399345</v>
      </c>
      <c r="BH28" s="59">
        <f t="shared" si="8"/>
        <v>499.02820371032556</v>
      </c>
      <c r="BI28" s="59">
        <f ca="1">AVERAGE(OFFSET($BH$3,0,0,'Données projet'!$E$11+1,1))-AVERAGE(OFFSET($H$3,0,0,'Données projet'!$E$11+1,1))</f>
        <v>408.246209980743</v>
      </c>
      <c r="BJ28" s="59">
        <f t="shared" si="38"/>
        <v>394.10236303013903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11.435497874709831</v>
      </c>
      <c r="BR28" s="21">
        <f>EXP(-LN(2)/2)*BR27+(1-EXP(-LN(2)/2))/(LN(2)/2)*BL28*BO28*VLOOKUP('Données projet'!$B$11,Paramètres!$A$1:$I$89,3,0)*0.475*44/12</f>
        <v>8.6933560616124836</v>
      </c>
      <c r="BS28" s="22">
        <f t="shared" si="9"/>
        <v>20.128853936322315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335.29229037649617</v>
      </c>
      <c r="S29" s="59">
        <f ca="1">AVERAGE(OFFSET($R$3,0,0,'Données projet'!$E$9+1,1))-AVERAGE(OFFSET($H$3,0,0,'Données projet'!$E$9+1,1))</f>
        <v>737.40414421611001</v>
      </c>
      <c r="T29" s="59">
        <f t="shared" si="34"/>
        <v>245.32893490531674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4.016578947368421</v>
      </c>
      <c r="AI29" s="13">
        <f>IF('Données projet'!$A$62&gt;35,AI28+AH29-AQ28,IF(A29&lt;'Données projet'!$A$62,$AF$205^A29,IF(A29='Données projet'!$A$62,'Données projet'!$B$62,AI28+AH29-AQ28)))</f>
        <v>104.43105263157891</v>
      </c>
      <c r="AJ29" s="13">
        <f>AI29*VLOOKUP('Données projet'!$B$10,Paramètres!$A$1:$I$89,3,0)*VLOOKUP('Données projet'!$B$10,Paramètres!$A$1:$I$89,5,0)</f>
        <v>99.376589684210487</v>
      </c>
      <c r="AK29" s="13">
        <f t="shared" si="35"/>
        <v>26.813424625461547</v>
      </c>
      <c r="AL29" s="20">
        <f t="shared" si="4"/>
        <v>219.78094158934547</v>
      </c>
      <c r="AM29" s="59">
        <f t="shared" si="5"/>
        <v>450.06765563853565</v>
      </c>
      <c r="AN29" s="59">
        <f ca="1">AVERAGE(OFFSET($AM$3,0,0,'Données projet'!$E$10+1,1))-AVERAGE(OFFSET($H$3,0,0,'Données projet'!$E$10+1,1))</f>
        <v>486.36097333679697</v>
      </c>
      <c r="AO29" s="59">
        <f t="shared" si="36"/>
        <v>308.47736602748159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105.00671999999997</v>
      </c>
      <c r="BF29" s="13">
        <f t="shared" si="37"/>
        <v>28.151366980410856</v>
      </c>
      <c r="BG29" s="20">
        <f t="shared" si="7"/>
        <v>231.91700149088217</v>
      </c>
      <c r="BH29" s="59">
        <f t="shared" si="8"/>
        <v>462.20371554007238</v>
      </c>
      <c r="BI29" s="59">
        <f ca="1">AVERAGE(OFFSET($BH$3,0,0,'Données projet'!$E$11+1,1))-AVERAGE(OFFSET($H$3,0,0,'Données projet'!$E$11+1,1))</f>
        <v>408.246209980743</v>
      </c>
      <c r="BJ29" s="59">
        <f t="shared" si="38"/>
        <v>394.10236303013903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11.122793583959194</v>
      </c>
      <c r="BR29" s="21">
        <f>EXP(-LN(2)/2)*BR28+(1-EXP(-LN(2)/2))/(LN(2)/2)*BL29*BO29*VLOOKUP('Données projet'!$B$11,Paramètres!$A$1:$I$89,3,0)*0.475*44/12</f>
        <v>6.1471310224353655</v>
      </c>
      <c r="BS29" s="22">
        <f t="shared" si="9"/>
        <v>17.269924606394561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354.22270088707421</v>
      </c>
      <c r="S30" s="59">
        <f ca="1">AVERAGE(OFFSET($R$3,0,0,'Données projet'!$E$9+1,1))-AVERAGE(OFFSET($H$3,0,0,'Données projet'!$E$9+1,1))</f>
        <v>737.40414421611001</v>
      </c>
      <c r="T30" s="59">
        <f t="shared" si="34"/>
        <v>245.32893490531674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4.016578947368421</v>
      </c>
      <c r="AI30" s="13">
        <f>IF('Données projet'!$A$62&gt;35,AI29+AH30-AQ29,IF(A30&lt;'Données projet'!$A$62,$AF$205^A30,IF(A30='Données projet'!$A$62,'Données projet'!$B$62,AI29+AH30-AQ29)))</f>
        <v>108.44763157894732</v>
      </c>
      <c r="AJ30" s="13">
        <f>AI30*VLOOKUP('Données projet'!$B$10,Paramètres!$A$1:$I$89,3,0)*VLOOKUP('Données projet'!$B$10,Paramètres!$A$1:$I$89,5,0)</f>
        <v>103.19876621052627</v>
      </c>
      <c r="AK30" s="13">
        <f t="shared" si="35"/>
        <v>27.722657378854588</v>
      </c>
      <c r="AL30" s="20">
        <f t="shared" si="4"/>
        <v>228.02147941817165</v>
      </c>
      <c r="AM30" s="59">
        <f t="shared" si="5"/>
        <v>460.53932229073519</v>
      </c>
      <c r="AN30" s="59">
        <f ca="1">AVERAGE(OFFSET($AM$3,0,0,'Données projet'!$E$10+1,1))-AVERAGE(OFFSET($H$3,0,0,'Données projet'!$E$10+1,1))</f>
        <v>486.36097333679697</v>
      </c>
      <c r="AO30" s="59">
        <f t="shared" si="36"/>
        <v>308.47736602748159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117.41183999999997</v>
      </c>
      <c r="BF30" s="13">
        <f t="shared" si="37"/>
        <v>31.070589593507044</v>
      </c>
      <c r="BG30" s="20">
        <f t="shared" si="7"/>
        <v>258.60689820869135</v>
      </c>
      <c r="BH30" s="59">
        <f t="shared" si="8"/>
        <v>491.12474108125485</v>
      </c>
      <c r="BI30" s="59">
        <f ca="1">AVERAGE(OFFSET($BH$3,0,0,'Données projet'!$E$11+1,1))-AVERAGE(OFFSET($H$3,0,0,'Données projet'!$E$11+1,1))</f>
        <v>408.246209980743</v>
      </c>
      <c r="BJ30" s="59">
        <f t="shared" si="38"/>
        <v>394.10236303013903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10.818640208483536</v>
      </c>
      <c r="BR30" s="21">
        <f>EXP(-LN(2)/2)*BR29+(1-EXP(-LN(2)/2))/(LN(2)/2)*BL30*BO30*VLOOKUP('Données projet'!$B$11,Paramètres!$A$1:$I$89,3,0)*0.475*44/12</f>
        <v>4.3466780308062427</v>
      </c>
      <c r="BS30" s="22">
        <f t="shared" si="9"/>
        <v>15.165318239289778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375.79898057585251</v>
      </c>
      <c r="S31" s="59">
        <f ca="1">AVERAGE(OFFSET($R$3,0,0,'Données projet'!$E$9+1,1))-AVERAGE(OFFSET($H$3,0,0,'Données projet'!$E$9+1,1))</f>
        <v>737.40414421611001</v>
      </c>
      <c r="T31" s="59">
        <f t="shared" si="34"/>
        <v>245.32893490531674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4.016578947368421</v>
      </c>
      <c r="AI31" s="13">
        <f>IF('Données projet'!$A$62&gt;35,AI30+AH31-AQ30,IF(A31&lt;'Données projet'!$A$62,$AF$205^A31,IF(A31='Données projet'!$A$62,'Données projet'!$B$62,AI30+AH31-AQ30)))</f>
        <v>112.46421052631574</v>
      </c>
      <c r="AJ31" s="13">
        <f>AI31*VLOOKUP('Données projet'!$B$10,Paramètres!$A$1:$I$89,3,0)*VLOOKUP('Données projet'!$B$10,Paramètres!$A$1:$I$89,5,0)</f>
        <v>107.02094273684206</v>
      </c>
      <c r="AK31" s="13">
        <f t="shared" si="35"/>
        <v>28.627977821267809</v>
      </c>
      <c r="AL31" s="20">
        <f t="shared" si="4"/>
        <v>236.25520330537464</v>
      </c>
      <c r="AM31" s="59">
        <f t="shared" si="5"/>
        <v>470.98667272735872</v>
      </c>
      <c r="AN31" s="59">
        <f ca="1">AVERAGE(OFFSET($AM$3,0,0,'Données projet'!$E$10+1,1))-AVERAGE(OFFSET($H$3,0,0,'Données projet'!$E$10+1,1))</f>
        <v>486.36097333679697</v>
      </c>
      <c r="AO31" s="59">
        <f t="shared" si="36"/>
        <v>308.47736602748159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129.81695999999997</v>
      </c>
      <c r="BF31" s="13">
        <f t="shared" si="37"/>
        <v>33.954060694815986</v>
      </c>
      <c r="BG31" s="20">
        <f t="shared" si="7"/>
        <v>285.23452771013774</v>
      </c>
      <c r="BH31" s="59">
        <f t="shared" si="8"/>
        <v>519.96599713212186</v>
      </c>
      <c r="BI31" s="59">
        <f ca="1">AVERAGE(OFFSET($BH$3,0,0,'Données projet'!$E$11+1,1))-AVERAGE(OFFSET($H$3,0,0,'Données projet'!$E$11+1,1))</f>
        <v>408.246209980743</v>
      </c>
      <c r="BJ31" s="59">
        <f t="shared" si="38"/>
        <v>394.10236303013903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10.522803923054992</v>
      </c>
      <c r="BR31" s="21">
        <f>EXP(-LN(2)/2)*BR30+(1-EXP(-LN(2)/2))/(LN(2)/2)*BL31*BO31*VLOOKUP('Données projet'!$B$11,Paramètres!$A$1:$I$89,3,0)*0.475*44/12</f>
        <v>3.0735655112176832</v>
      </c>
      <c r="BS31" s="22">
        <f t="shared" si="9"/>
        <v>13.596369434272676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400.4473423197573</v>
      </c>
      <c r="S32" s="59">
        <f ca="1">AVERAGE(OFFSET($R$3,0,0,'Données projet'!$E$9+1,1))-AVERAGE(OFFSET($H$3,0,0,'Données projet'!$E$9+1,1))</f>
        <v>737.40414421611001</v>
      </c>
      <c r="T32" s="59">
        <f t="shared" si="34"/>
        <v>245.32893490531674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4.016578947368421</v>
      </c>
      <c r="AI32" s="13">
        <f>IF('Données projet'!$A$62&gt;35,AI31+AH32-AQ31,IF(A32&lt;'Données projet'!$A$62,$AF$205^A32,IF(A32='Données projet'!$A$62,'Données projet'!$B$62,AI31+AH32-AQ31)))</f>
        <v>116.48078947368415</v>
      </c>
      <c r="AJ32" s="13">
        <f>AI32*VLOOKUP('Données projet'!$B$10,Paramètres!$A$1:$I$89,3,0)*VLOOKUP('Données projet'!$B$10,Paramètres!$A$1:$I$89,5,0)</f>
        <v>110.84311926315785</v>
      </c>
      <c r="AK32" s="13">
        <f t="shared" si="35"/>
        <v>29.529541685665656</v>
      </c>
      <c r="AL32" s="20">
        <f t="shared" si="4"/>
        <v>244.48238448586758</v>
      </c>
      <c r="AM32" s="59">
        <f t="shared" si="5"/>
        <v>481.41028180864339</v>
      </c>
      <c r="AN32" s="59">
        <f ca="1">AVERAGE(OFFSET($AM$3,0,0,'Données projet'!$E$10+1,1))-AVERAGE(OFFSET($H$3,0,0,'Données projet'!$E$10+1,1))</f>
        <v>486.36097333679697</v>
      </c>
      <c r="AO32" s="59">
        <f t="shared" si="36"/>
        <v>308.47736602748159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142.22207999999995</v>
      </c>
      <c r="BF32" s="13">
        <f t="shared" si="37"/>
        <v>36.805585341198615</v>
      </c>
      <c r="BG32" s="20">
        <f t="shared" si="7"/>
        <v>311.80651713592084</v>
      </c>
      <c r="BH32" s="59">
        <f t="shared" si="8"/>
        <v>548.73441445869662</v>
      </c>
      <c r="BI32" s="59">
        <f ca="1">AVERAGE(OFFSET($BH$3,0,0,'Données projet'!$E$11+1,1))-AVERAGE(OFFSET($H$3,0,0,'Données projet'!$E$11+1,1))</f>
        <v>408.246209980743</v>
      </c>
      <c r="BJ32" s="59">
        <f t="shared" si="38"/>
        <v>394.10236303013903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10.235057296408845</v>
      </c>
      <c r="BR32" s="21">
        <f>EXP(-LN(2)/2)*BR31+(1-EXP(-LN(2)/2))/(LN(2)/2)*BL32*BO32*VLOOKUP('Données projet'!$B$11,Paramètres!$A$1:$I$89,3,0)*0.475*44/12</f>
        <v>2.1733390154031214</v>
      </c>
      <c r="BS32" s="22">
        <f t="shared" si="9"/>
        <v>12.408396311811966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428.66226823865009</v>
      </c>
      <c r="S33" s="59">
        <f ca="1">AVERAGE(OFFSET($R$3,0,0,'Données projet'!$E$9+1,1))-AVERAGE(OFFSET($H$3,0,0,'Données projet'!$E$9+1,1))</f>
        <v>737.40414421611001</v>
      </c>
      <c r="T33" s="59">
        <f t="shared" si="34"/>
        <v>245.32893490531674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4.016578947368421</v>
      </c>
      <c r="AI33" s="13">
        <f>IF('Données projet'!$A$62&gt;35,AI32+AH33-AQ32,IF(A33&lt;'Données projet'!$A$62,$AF$205^A33,IF(A33='Données projet'!$A$62,'Données projet'!$B$62,AI32+AH33-AQ32)))</f>
        <v>120.49736842105257</v>
      </c>
      <c r="AJ33" s="13">
        <f>AI33*VLOOKUP('Données projet'!$B$10,Paramètres!$A$1:$I$89,3,0)*VLOOKUP('Données projet'!$B$10,Paramètres!$A$1:$I$89,5,0)</f>
        <v>114.66529578947363</v>
      </c>
      <c r="AK33" s="13">
        <f t="shared" si="35"/>
        <v>30.427493355659173</v>
      </c>
      <c r="AL33" s="20">
        <f t="shared" si="4"/>
        <v>252.70327442777295</v>
      </c>
      <c r="AM33" s="59">
        <f t="shared" si="5"/>
        <v>491.81069936081497</v>
      </c>
      <c r="AN33" s="59">
        <f ca="1">AVERAGE(OFFSET($AM$3,0,0,'Données projet'!$E$10+1,1))-AVERAGE(OFFSET($H$3,0,0,'Données projet'!$E$10+1,1))</f>
        <v>486.36097333679697</v>
      </c>
      <c r="AO33" s="59">
        <f t="shared" si="36"/>
        <v>308.47736602748159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154.62719999999996</v>
      </c>
      <c r="BF33" s="13">
        <f t="shared" si="37"/>
        <v>39.62826685000794</v>
      </c>
      <c r="BG33" s="20">
        <f t="shared" si="7"/>
        <v>338.32827143043039</v>
      </c>
      <c r="BH33" s="59">
        <f t="shared" si="8"/>
        <v>577.4356963634724</v>
      </c>
      <c r="BI33" s="59">
        <f ca="1">AVERAGE(OFFSET($BH$3,0,0,'Données projet'!$E$11+1,1))-AVERAGE(OFFSET($H$3,0,0,'Données projet'!$E$11+1,1))</f>
        <v>408.246209980743</v>
      </c>
      <c r="BJ33" s="59">
        <f t="shared" si="38"/>
        <v>394.10236303013903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0.13250000000000001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4.4786142580094328</v>
      </c>
      <c r="BQ33" s="21">
        <f>EXP(-LN(2)/25)*BQ32+(1-EXP(-LN(2)/25))/(LN(2)/25)*Calculateur!BL33*Calculateur!BN33*VLOOKUP('Données projet'!$B$11,Paramètres!$A$1:$I$89,3,0)*0.475*44/12</f>
        <v>14.416159363590104</v>
      </c>
      <c r="BR33" s="21">
        <f>EXP(-LN(2)/2)*BR32+(1-EXP(-LN(2)/2))/(LN(2)/2)*BL33*BO33*VLOOKUP('Données projet'!$B$11,Paramètres!$A$1:$I$89,3,0)*0.475*44/12</f>
        <v>8.7491024908524295</v>
      </c>
      <c r="BS33" s="22">
        <f t="shared" si="9"/>
        <v>27.643876112451967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459.7952564944988</v>
      </c>
      <c r="S34" s="59">
        <f ca="1">AVERAGE(OFFSET($R$3,0,0,'Données projet'!$E$9+1,1))-AVERAGE(OFFSET($H$3,0,0,'Données projet'!$E$9+1,1))</f>
        <v>737.40414421611001</v>
      </c>
      <c r="T34" s="59">
        <f t="shared" si="34"/>
        <v>245.32893490531674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4.016578947368421</v>
      </c>
      <c r="AI34" s="13">
        <f>IF('Données projet'!$A$62&gt;35,AI33+AH34-AQ33,IF(A34&lt;'Données projet'!$A$62,$AF$205^A34,IF(A34='Données projet'!$A$62,'Données projet'!$B$62,AI33+AH34-AQ33)))</f>
        <v>124.51394736842099</v>
      </c>
      <c r="AJ34" s="13">
        <f>AI34*VLOOKUP('Données projet'!$B$10,Paramètres!$A$1:$I$89,3,0)*VLOOKUP('Données projet'!$B$10,Paramètres!$A$1:$I$89,5,0)</f>
        <v>118.48747231578942</v>
      </c>
      <c r="AK34" s="13">
        <f t="shared" si="35"/>
        <v>31.321967043083987</v>
      </c>
      <c r="AL34" s="20">
        <f t="shared" si="4"/>
        <v>260.91810688337119</v>
      </c>
      <c r="AM34" s="59">
        <f t="shared" si="5"/>
        <v>500.96623009618872</v>
      </c>
      <c r="AN34" s="59">
        <f ca="1">AVERAGE(OFFSET($AM$3,0,0,'Données projet'!$E$10+1,1))-AVERAGE(OFFSET($H$3,0,0,'Données projet'!$E$10+1,1))</f>
        <v>486.36097333679697</v>
      </c>
      <c r="AO34" s="59">
        <f t="shared" si="36"/>
        <v>308.47736602748159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135.23327999999995</v>
      </c>
      <c r="BF34" s="13">
        <f t="shared" si="37"/>
        <v>35.202825080004438</v>
      </c>
      <c r="BG34" s="20">
        <f t="shared" si="7"/>
        <v>296.842883014341</v>
      </c>
      <c r="BH34" s="59">
        <f t="shared" si="8"/>
        <v>536.89100622715853</v>
      </c>
      <c r="BI34" s="59">
        <f ca="1">AVERAGE(OFFSET($BH$3,0,0,'Données projet'!$E$11+1,1))-AVERAGE(OFFSET($H$3,0,0,'Données projet'!$E$11+1,1))</f>
        <v>408.246209980743</v>
      </c>
      <c r="BJ34" s="59">
        <f t="shared" si="38"/>
        <v>394.10236303013903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4.3907913640948335</v>
      </c>
      <c r="BQ34" s="21">
        <f>EXP(-LN(2)/25)*BQ33+(1-EXP(-LN(2)/25))/(LN(2)/25)*Calculateur!BL34*Calculateur!BN34*VLOOKUP('Données projet'!$B$11,Paramètres!$A$1:$I$89,3,0)*0.475*44/12</f>
        <v>14.02194872767986</v>
      </c>
      <c r="BR34" s="21">
        <f>EXP(-LN(2)/2)*BR33+(1-EXP(-LN(2)/2))/(LN(2)/2)*BL34*BO34*VLOOKUP('Données projet'!$B$11,Paramètres!$A$1:$I$89,3,0)*0.475*44/12</f>
        <v>6.1865497005778671</v>
      </c>
      <c r="BS34" s="22">
        <f t="shared" si="9"/>
        <v>24.599289792352561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495.73422279681608</v>
      </c>
      <c r="S35" s="59">
        <f ca="1">AVERAGE(OFFSET($R$3,0,0,'Données projet'!$E$9+1,1))-AVERAGE(OFFSET($H$3,0,0,'Données projet'!$E$9+1,1))</f>
        <v>737.40414421611001</v>
      </c>
      <c r="T35" s="59">
        <f t="shared" si="34"/>
        <v>245.32893490531674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4.016578947368421</v>
      </c>
      <c r="AI35" s="13">
        <f>IF('Données projet'!$A$62&gt;35,AI34+AH35-AQ34,IF(A35&lt;'Données projet'!$A$62,$AF$205^A35,IF(A35='Données projet'!$A$62,'Données projet'!$B$62,AI34+AH35-AQ34)))</f>
        <v>128.53052631578942</v>
      </c>
      <c r="AJ35" s="13">
        <f>AI35*VLOOKUP('Données projet'!$B$10,Paramètres!$A$1:$I$89,3,0)*VLOOKUP('Données projet'!$B$10,Paramètres!$A$1:$I$89,5,0)</f>
        <v>122.3096488421052</v>
      </c>
      <c r="AK35" s="13">
        <f t="shared" si="35"/>
        <v>32.213087809364474</v>
      </c>
      <c r="AL35" s="20">
        <f t="shared" si="4"/>
        <v>269.12709966797632</v>
      </c>
      <c r="AM35" s="59">
        <f t="shared" si="5"/>
        <v>510.09960214850162</v>
      </c>
      <c r="AN35" s="59">
        <f ca="1">AVERAGE(OFFSET($AM$3,0,0,'Données projet'!$E$10+1,1))-AVERAGE(OFFSET($H$3,0,0,'Données projet'!$E$10+1,1))</f>
        <v>486.36097333679697</v>
      </c>
      <c r="AO35" s="59">
        <f t="shared" si="36"/>
        <v>308.47736602748159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146.41535999999996</v>
      </c>
      <c r="BF35" s="13">
        <f t="shared" si="37"/>
        <v>37.762820103024467</v>
      </c>
      <c r="BG35" s="20">
        <f t="shared" si="7"/>
        <v>320.77699701276748</v>
      </c>
      <c r="BH35" s="59">
        <f t="shared" si="8"/>
        <v>561.74949949329277</v>
      </c>
      <c r="BI35" s="59">
        <f ca="1">AVERAGE(OFFSET($BH$3,0,0,'Données projet'!$E$11+1,1))-AVERAGE(OFFSET($H$3,0,0,'Données projet'!$E$11+1,1))</f>
        <v>408.246209980743</v>
      </c>
      <c r="BJ35" s="59">
        <f t="shared" si="38"/>
        <v>394.10236303013903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4.3046906235632241</v>
      </c>
      <c r="BQ35" s="21">
        <f>EXP(-LN(2)/25)*BQ34+(1-EXP(-LN(2)/25))/(LN(2)/25)*Calculateur!BL35*Calculateur!BN35*VLOOKUP('Données projet'!$B$11,Paramètres!$A$1:$I$89,3,0)*0.475*44/12</f>
        <v>13.638517802339218</v>
      </c>
      <c r="BR35" s="21">
        <f>EXP(-LN(2)/2)*BR34+(1-EXP(-LN(2)/2))/(LN(2)/2)*BL35*BO35*VLOOKUP('Données projet'!$B$11,Paramètres!$A$1:$I$89,3,0)*0.475*44/12</f>
        <v>4.3745512454262157</v>
      </c>
      <c r="BS35" s="22">
        <f t="shared" si="9"/>
        <v>22.317759671328655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537.25161917986054</v>
      </c>
      <c r="S36" s="59">
        <f ca="1">AVERAGE(OFFSET($R$3,0,0,'Données projet'!$E$9+1,1))-AVERAGE(OFFSET($H$3,0,0,'Données projet'!$E$9+1,1))</f>
        <v>737.40414421611001</v>
      </c>
      <c r="T36" s="59">
        <f t="shared" si="34"/>
        <v>245.32893490531674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4.016578947368421</v>
      </c>
      <c r="AI36" s="13">
        <f>IF('Données projet'!$A$62&gt;35,AI35+AH36-AQ35,IF(A36&lt;'Données projet'!$A$62,$AF$205^A36,IF(A36='Données projet'!$A$62,'Données projet'!$B$62,AI35+AH36-AQ35)))</f>
        <v>132.54710526315785</v>
      </c>
      <c r="AJ36" s="13">
        <f>AI36*VLOOKUP('Données projet'!$B$10,Paramètres!$A$1:$I$89,3,0)*VLOOKUP('Données projet'!$B$10,Paramètres!$A$1:$I$89,5,0)</f>
        <v>126.131825368421</v>
      </c>
      <c r="AK36" s="13">
        <f t="shared" si="35"/>
        <v>33.100972455620806</v>
      </c>
      <c r="AL36" s="20">
        <f t="shared" si="4"/>
        <v>277.33045621020614</v>
      </c>
      <c r="AM36" s="59">
        <f t="shared" si="5"/>
        <v>519.21130204474684</v>
      </c>
      <c r="AN36" s="59">
        <f ca="1">AVERAGE(OFFSET($AM$3,0,0,'Données projet'!$E$10+1,1))-AVERAGE(OFFSET($H$3,0,0,'Données projet'!$E$10+1,1))</f>
        <v>486.36097333679697</v>
      </c>
      <c r="AO36" s="59">
        <f t="shared" si="36"/>
        <v>308.47736602748159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157.59743999999998</v>
      </c>
      <c r="BF36" s="13">
        <f t="shared" si="37"/>
        <v>40.300135037830529</v>
      </c>
      <c r="BG36" s="20">
        <f t="shared" si="7"/>
        <v>344.67160985755481</v>
      </c>
      <c r="BH36" s="59">
        <f t="shared" si="8"/>
        <v>586.55245569209558</v>
      </c>
      <c r="BI36" s="59">
        <f ca="1">AVERAGE(OFFSET($BH$3,0,0,'Données projet'!$E$11+1,1))-AVERAGE(OFFSET($H$3,0,0,'Données projet'!$E$11+1,1))</f>
        <v>408.246209980743</v>
      </c>
      <c r="BJ36" s="59">
        <f t="shared" si="38"/>
        <v>394.10236303013903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4.2202782660371732</v>
      </c>
      <c r="BQ36" s="21">
        <f>EXP(-LN(2)/25)*BQ35+(1-EXP(-LN(2)/25))/(LN(2)/25)*Calculateur!BL36*Calculateur!BN36*VLOOKUP('Données projet'!$B$11,Paramètres!$A$1:$I$89,3,0)*0.475*44/12</f>
        <v>13.265571815815772</v>
      </c>
      <c r="BR36" s="21">
        <f>EXP(-LN(2)/2)*BR35+(1-EXP(-LN(2)/2))/(LN(2)/2)*BL36*BO36*VLOOKUP('Données projet'!$B$11,Paramètres!$A$1:$I$89,3,0)*0.475*44/12</f>
        <v>3.0932748502889345</v>
      </c>
      <c r="BS36" s="22">
        <f t="shared" si="9"/>
        <v>20.57912493214188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585.24382306723101</v>
      </c>
      <c r="S37" s="59">
        <f ca="1">AVERAGE(OFFSET($R$3,0,0,'Données projet'!$E$9+1,1))-AVERAGE(OFFSET($H$3,0,0,'Données projet'!$E$9+1,1))</f>
        <v>737.40414421611001</v>
      </c>
      <c r="T37" s="59">
        <f t="shared" si="34"/>
        <v>245.32893490531674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4.016578947368421</v>
      </c>
      <c r="AI37" s="13">
        <f>IF('Données projet'!$A$62&gt;35,AI36+AH37-AQ36,IF(A37&lt;'Données projet'!$A$62,$AF$205^A37,IF(A37='Données projet'!$A$62,'Données projet'!$B$62,AI36+AH37-AQ36)))</f>
        <v>136.56368421052628</v>
      </c>
      <c r="AJ37" s="13">
        <f>AI37*VLOOKUP('Données projet'!$B$10,Paramètres!$A$1:$I$89,3,0)*VLOOKUP('Données projet'!$B$10,Paramètres!$A$1:$I$89,5,0)</f>
        <v>129.95400189473682</v>
      </c>
      <c r="AK37" s="13">
        <f t="shared" si="35"/>
        <v>33.985730301853138</v>
      </c>
      <c r="AL37" s="20">
        <f t="shared" si="4"/>
        <v>285.52836690906082</v>
      </c>
      <c r="AM37" s="59">
        <f t="shared" si="5"/>
        <v>528.30179837117635</v>
      </c>
      <c r="AN37" s="59">
        <f ca="1">AVERAGE(OFFSET($AM$3,0,0,'Données projet'!$E$10+1,1))-AVERAGE(OFFSET($H$3,0,0,'Données projet'!$E$10+1,1))</f>
        <v>486.36097333679697</v>
      </c>
      <c r="AO37" s="59">
        <f t="shared" si="36"/>
        <v>308.47736602748159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168.77951999999999</v>
      </c>
      <c r="BF37" s="13">
        <f t="shared" si="37"/>
        <v>42.816562145177031</v>
      </c>
      <c r="BG37" s="20">
        <f t="shared" si="7"/>
        <v>368.52984306951663</v>
      </c>
      <c r="BH37" s="59">
        <f t="shared" si="8"/>
        <v>611.30327453163227</v>
      </c>
      <c r="BI37" s="59">
        <f ca="1">AVERAGE(OFFSET($BH$3,0,0,'Données projet'!$E$11+1,1))-AVERAGE(OFFSET($H$3,0,0,'Données projet'!$E$11+1,1))</f>
        <v>408.246209980743</v>
      </c>
      <c r="BJ37" s="59">
        <f t="shared" si="38"/>
        <v>394.10236303013903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4.1375211833557533</v>
      </c>
      <c r="BQ37" s="21">
        <f>EXP(-LN(2)/25)*BQ36+(1-EXP(-LN(2)/25))/(LN(2)/25)*Calculateur!BL37*Calculateur!BN37*VLOOKUP('Données projet'!$B$11,Paramètres!$A$1:$I$89,3,0)*0.475*44/12</f>
        <v>12.902824056906187</v>
      </c>
      <c r="BR37" s="21">
        <f>EXP(-LN(2)/2)*BR36+(1-EXP(-LN(2)/2))/(LN(2)/2)*BL37*BO37*VLOOKUP('Données projet'!$B$11,Paramètres!$A$1:$I$89,3,0)*0.475*44/12</f>
        <v>2.1872756227131083</v>
      </c>
      <c r="BS37" s="22">
        <f t="shared" si="9"/>
        <v>19.227620862975051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542.14899428361753</v>
      </c>
      <c r="S38" s="59">
        <f ca="1">AVERAGE(OFFSET($R$3,0,0,'Données projet'!$E$9+1,1))-AVERAGE(OFFSET($H$3,0,0,'Données projet'!$E$9+1,1))</f>
        <v>737.40414421611001</v>
      </c>
      <c r="T38" s="59">
        <f t="shared" si="34"/>
        <v>245.32893490531674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4.016578947368421</v>
      </c>
      <c r="AI38" s="13">
        <f>IF('Données projet'!$A$62&gt;35,AI37+AH38-AQ37,IF(A38&lt;'Données projet'!$A$62,$AF$205^A38,IF(A38='Données projet'!$A$62,'Données projet'!$B$62,AI37+AH38-AQ37)))</f>
        <v>140.58026315789471</v>
      </c>
      <c r="AJ38" s="13">
        <f>AI38*VLOOKUP('Données projet'!$B$10,Paramètres!$A$1:$I$89,3,0)*VLOOKUP('Données projet'!$B$10,Paramètres!$A$1:$I$89,5,0)</f>
        <v>133.77617842105261</v>
      </c>
      <c r="AK38" s="13">
        <f t="shared" si="35"/>
        <v>34.867463871880652</v>
      </c>
      <c r="AL38" s="20">
        <f t="shared" si="4"/>
        <v>293.72101032685873</v>
      </c>
      <c r="AM38" s="59">
        <f t="shared" si="5"/>
        <v>537.37154305143326</v>
      </c>
      <c r="AN38" s="59">
        <f ca="1">AVERAGE(OFFSET($AM$3,0,0,'Données projet'!$E$10+1,1))-AVERAGE(OFFSET($H$3,0,0,'Données projet'!$E$10+1,1))</f>
        <v>486.36097333679697</v>
      </c>
      <c r="AO38" s="59">
        <f t="shared" si="36"/>
        <v>308.47736602748159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179.9616</v>
      </c>
      <c r="BF38" s="13">
        <f t="shared" si="37"/>
        <v>45.313642767960104</v>
      </c>
      <c r="BG38" s="20">
        <f t="shared" si="7"/>
        <v>392.35438115419714</v>
      </c>
      <c r="BH38" s="59">
        <f t="shared" si="8"/>
        <v>636.00491387877162</v>
      </c>
      <c r="BI38" s="59">
        <f ca="1">AVERAGE(OFFSET($BH$3,0,0,'Données projet'!$E$11+1,1))-AVERAGE(OFFSET($H$3,0,0,'Données projet'!$E$11+1,1))</f>
        <v>408.246209980743</v>
      </c>
      <c r="BJ38" s="59">
        <f t="shared" si="38"/>
        <v>394.10236303013903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8.5350011745983139</v>
      </c>
      <c r="BQ38" s="21">
        <f>EXP(-LN(2)/25)*BQ37+(1-EXP(-LN(2)/25))/(LN(2)/25)*Calculateur!BL38*Calculateur!BN38*VLOOKUP('Données projet'!$B$11,Paramètres!$A$1:$I$89,3,0)*0.475*44/12</f>
        <v>17.010975901729889</v>
      </c>
      <c r="BR38" s="21">
        <f>EXP(-LN(2)/2)*BR37+(1-EXP(-LN(2)/2))/(LN(2)/2)*BL38*BO38*VLOOKUP('Données projet'!$B$11,Paramètres!$A$1:$I$89,3,0)*0.475*44/12</f>
        <v>8.7589571603880554</v>
      </c>
      <c r="BS38" s="22">
        <f t="shared" si="9"/>
        <v>34.304934236716257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570.03287049730261</v>
      </c>
      <c r="S39" s="59">
        <f ca="1">AVERAGE(OFFSET($R$3,0,0,'Données projet'!$E$9+1,1))-AVERAGE(OFFSET($H$3,0,0,'Données projet'!$E$9+1,1))</f>
        <v>737.40414421611001</v>
      </c>
      <c r="T39" s="59">
        <f t="shared" si="34"/>
        <v>245.32893490531674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4.016578947368421</v>
      </c>
      <c r="AI39" s="13">
        <f>IF('Données projet'!$A$62&gt;35,AI38+AH39-AQ38,IF(A39&lt;'Données projet'!$A$62,$AF$205^A39,IF(A39='Données projet'!$A$62,'Données projet'!$B$62,AI38+AH39-AQ38)))</f>
        <v>144.59684210526314</v>
      </c>
      <c r="AJ39" s="13">
        <f>AI39*VLOOKUP('Données projet'!$B$10,Paramètres!$A$1:$I$89,3,0)*VLOOKUP('Données projet'!$B$10,Paramètres!$A$1:$I$89,5,0)</f>
        <v>137.59835494736839</v>
      </c>
      <c r="AK39" s="13">
        <f t="shared" si="35"/>
        <v>35.746269497802267</v>
      </c>
      <c r="AL39" s="20">
        <f t="shared" si="4"/>
        <v>301.90855424200555</v>
      </c>
      <c r="AM39" s="59">
        <f t="shared" si="5"/>
        <v>546.42097248304003</v>
      </c>
      <c r="AN39" s="59">
        <f ca="1">AVERAGE(OFFSET($AM$3,0,0,'Données projet'!$E$10+1,1))-AVERAGE(OFFSET($H$3,0,0,'Données projet'!$E$10+1,1))</f>
        <v>486.36097333679697</v>
      </c>
      <c r="AO39" s="59">
        <f t="shared" si="36"/>
        <v>308.47736602748159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159.34464</v>
      </c>
      <c r="BF39" s="13">
        <f t="shared" si="37"/>
        <v>40.694661837553809</v>
      </c>
      <c r="BG39" s="20">
        <f t="shared" si="7"/>
        <v>348.40178403373949</v>
      </c>
      <c r="BH39" s="59">
        <f t="shared" si="8"/>
        <v>592.91420227477397</v>
      </c>
      <c r="BI39" s="59">
        <f ca="1">AVERAGE(OFFSET($BH$3,0,0,'Données projet'!$E$11+1,1))-AVERAGE(OFFSET($H$3,0,0,'Données projet'!$E$11+1,1))</f>
        <v>408.246209980743</v>
      </c>
      <c r="BJ39" s="59">
        <f t="shared" si="38"/>
        <v>394.10236303013903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8.3676350074011232</v>
      </c>
      <c r="BQ39" s="21">
        <f>EXP(-LN(2)/25)*BQ38+(1-EXP(-LN(2)/25))/(LN(2)/25)*Calculateur!BL39*Calculateur!BN39*VLOOKUP('Données projet'!$B$11,Paramètres!$A$1:$I$89,3,0)*0.475*44/12</f>
        <v>16.545809871128743</v>
      </c>
      <c r="BR39" s="21">
        <f>EXP(-LN(2)/2)*BR38+(1-EXP(-LN(2)/2))/(LN(2)/2)*BL39*BO39*VLOOKUP('Données projet'!$B$11,Paramètres!$A$1:$I$89,3,0)*0.475*44/12</f>
        <v>6.1935180042328604</v>
      </c>
      <c r="BS39" s="22">
        <f t="shared" si="9"/>
        <v>31.106962882762726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597.85224588904293</v>
      </c>
      <c r="S40" s="59">
        <f ca="1">AVERAGE(OFFSET($R$3,0,0,'Données projet'!$E$9+1,1))-AVERAGE(OFFSET($H$3,0,0,'Données projet'!$E$9+1,1))</f>
        <v>737.40414421611001</v>
      </c>
      <c r="T40" s="59">
        <f t="shared" si="34"/>
        <v>245.32893490531674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4.016578947368421</v>
      </c>
      <c r="AI40" s="13">
        <f>IF('Données projet'!$A$62&gt;35,AI39+AH40-AQ39,IF(A40&lt;'Données projet'!$A$62,$AF$205^A40,IF(A40='Données projet'!$A$62,'Données projet'!$B$62,AI39+AH40-AQ39)))</f>
        <v>148.61342105263157</v>
      </c>
      <c r="AJ40" s="13">
        <f>AI40*VLOOKUP('Données projet'!$B$10,Paramètres!$A$1:$I$89,3,0)*VLOOKUP('Données projet'!$B$10,Paramètres!$A$1:$I$89,5,0)</f>
        <v>141.42053147368418</v>
      </c>
      <c r="AK40" s="13">
        <f t="shared" si="35"/>
        <v>36.62223785540634</v>
      </c>
      <c r="AL40" s="20">
        <f t="shared" si="4"/>
        <v>310.09115658149926</v>
      </c>
      <c r="AM40" s="59">
        <f t="shared" si="5"/>
        <v>555.45050855217039</v>
      </c>
      <c r="AN40" s="59">
        <f ca="1">AVERAGE(OFFSET($AM$3,0,0,'Données projet'!$E$10+1,1))-AVERAGE(OFFSET($H$3,0,0,'Données projet'!$E$10+1,1))</f>
        <v>486.36097333679697</v>
      </c>
      <c r="AO40" s="59">
        <f t="shared" si="36"/>
        <v>308.47736602748159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169.30368000000001</v>
      </c>
      <c r="BF40" s="13">
        <f t="shared" si="37"/>
        <v>42.934033834973214</v>
      </c>
      <c r="BG40" s="20">
        <f t="shared" si="7"/>
        <v>369.64735159591169</v>
      </c>
      <c r="BH40" s="59">
        <f t="shared" si="8"/>
        <v>615.00670356658281</v>
      </c>
      <c r="BI40" s="59">
        <f ca="1">AVERAGE(OFFSET($BH$3,0,0,'Données projet'!$E$11+1,1))-AVERAGE(OFFSET($H$3,0,0,'Données projet'!$E$11+1,1))</f>
        <v>408.246209980743</v>
      </c>
      <c r="BJ40" s="59">
        <f t="shared" si="38"/>
        <v>394.10236303013903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8.2035507886593884</v>
      </c>
      <c r="BQ40" s="21">
        <f>EXP(-LN(2)/25)*BQ39+(1-EXP(-LN(2)/25))/(LN(2)/25)*Calculateur!BL40*Calculateur!BN40*VLOOKUP('Données projet'!$B$11,Paramètres!$A$1:$I$89,3,0)*0.475*44/12</f>
        <v>16.093363830096401</v>
      </c>
      <c r="BR40" s="21">
        <f>EXP(-LN(2)/2)*BR39+(1-EXP(-LN(2)/2))/(LN(2)/2)*BL40*BO40*VLOOKUP('Données projet'!$B$11,Paramètres!$A$1:$I$89,3,0)*0.475*44/12</f>
        <v>4.3794785801940277</v>
      </c>
      <c r="BS40" s="22">
        <f t="shared" si="9"/>
        <v>28.676393198949818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625.61170091814404</v>
      </c>
      <c r="S41" s="59">
        <f ca="1">AVERAGE(OFFSET($R$3,0,0,'Données projet'!$E$9+1,1))-AVERAGE(OFFSET($H$3,0,0,'Données projet'!$E$9+1,1))</f>
        <v>737.40414421611001</v>
      </c>
      <c r="T41" s="59">
        <f t="shared" si="34"/>
        <v>245.32893490531674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152.63</v>
      </c>
      <c r="AG41" s="12">
        <f>VLOOKUP(A41,'Données projet'!$A$61:$I$81,9,0)</f>
        <v>4.016578947368421</v>
      </c>
      <c r="AH41" s="12">
        <f t="array" ref="AH41">INDEX(AG:AG,MIN(IF(ISNUMBER(AG41:AG237),ROW(AG41:AG237),"")))</f>
        <v>4.016578947368421</v>
      </c>
      <c r="AI41" s="13">
        <f>IF('Données projet'!$A$62&gt;35,AI40+AH41-AQ40,IF(A41&lt;'Données projet'!$A$62,$AF$205^A41,IF(A41='Données projet'!$A$62,'Données projet'!$B$62,AI40+AH41-AQ40)))</f>
        <v>152.63</v>
      </c>
      <c r="AJ41" s="13">
        <f>AI41*VLOOKUP('Données projet'!$B$10,Paramètres!$A$1:$I$89,3,0)*VLOOKUP('Données projet'!$B$10,Paramètres!$A$1:$I$89,5,0)</f>
        <v>145.24270799999999</v>
      </c>
      <c r="AK41" s="13">
        <f t="shared" si="35"/>
        <v>37.495454440070851</v>
      </c>
      <c r="AL41" s="20">
        <f t="shared" si="4"/>
        <v>318.26896624979003</v>
      </c>
      <c r="AM41" s="59">
        <f t="shared" si="5"/>
        <v>564.46055954334872</v>
      </c>
      <c r="AN41" s="59">
        <f ca="1">AVERAGE(OFFSET($AM$3,0,0,'Données projet'!$E$10+1,1))-AVERAGE(OFFSET($H$3,0,0,'Données projet'!$E$10+1,1))</f>
        <v>486.36097333679697</v>
      </c>
      <c r="AO41" s="59">
        <f t="shared" si="36"/>
        <v>308.47736602748159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71.569999999999993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0.34400000000000003</v>
      </c>
      <c r="AT41" s="16">
        <f>IF(ISNA(VLOOKUP(A41,'Données projet'!$A$61:$I$81,7,0)),0%,VLOOKUP(A41,'Données projet'!$A$61:$I$81,7,0))</f>
        <v>0.2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25.797501441733676</v>
      </c>
      <c r="AW41" s="21">
        <f>EXP(-LN(2)/2)*AW40+(1-EXP(-LN(2)/2))/(LN(2)/2)*AQ41*AT41*VLOOKUP('Données projet'!$B$10,Paramètres!$A$1:$I$89,3,0)*0.475*44/12</f>
        <v>12.851971073687507</v>
      </c>
      <c r="AX41" s="21">
        <f t="shared" si="6"/>
        <v>38.649472515421181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179.26272</v>
      </c>
      <c r="BF41" s="13">
        <f t="shared" si="37"/>
        <v>45.158115787467153</v>
      </c>
      <c r="BG41" s="20">
        <f t="shared" si="7"/>
        <v>390.86628899650526</v>
      </c>
      <c r="BH41" s="59">
        <f t="shared" si="8"/>
        <v>637.05788229006396</v>
      </c>
      <c r="BI41" s="59">
        <f ca="1">AVERAGE(OFFSET($BH$3,0,0,'Données projet'!$E$11+1,1))-AVERAGE(OFFSET($H$3,0,0,'Données projet'!$E$11+1,1))</f>
        <v>408.246209980743</v>
      </c>
      <c r="BJ41" s="59">
        <f t="shared" si="38"/>
        <v>394.10236303013903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8.0426841613656865</v>
      </c>
      <c r="BQ41" s="21">
        <f>EXP(-LN(2)/25)*BQ40+(1-EXP(-LN(2)/25))/(LN(2)/25)*Calculateur!BL41*Calculateur!BN41*VLOOKUP('Données projet'!$B$11,Paramètres!$A$1:$I$89,3,0)*0.475*44/12</f>
        <v>15.653289949849192</v>
      </c>
      <c r="BR41" s="21">
        <f>EXP(-LN(2)/2)*BR40+(1-EXP(-LN(2)/2))/(LN(2)/2)*BL41*BO41*VLOOKUP('Données projet'!$B$11,Paramètres!$A$1:$I$89,3,0)*0.475*44/12</f>
        <v>3.0967590021164302</v>
      </c>
      <c r="BS41" s="22">
        <f t="shared" si="9"/>
        <v>26.792733113331309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653.31514838187218</v>
      </c>
      <c r="S42" s="59">
        <f ca="1">AVERAGE(OFFSET($R$3,0,0,'Données projet'!$E$9+1,1))-AVERAGE(OFFSET($H$3,0,0,'Données projet'!$E$9+1,1))</f>
        <v>737.40414421611001</v>
      </c>
      <c r="T42" s="59">
        <f t="shared" si="34"/>
        <v>245.32893490531674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9.8128571428571423</v>
      </c>
      <c r="AI42" s="13">
        <f>IF('Données projet'!$A$62&gt;35,AI41+AH42-AQ41,IF(A42&lt;'Données projet'!$A$62,$AF$205^A42,IF(A42='Données projet'!$A$62,'Données projet'!$B$62,AI41+AH42-AQ41)))</f>
        <v>90.872857142857157</v>
      </c>
      <c r="AJ42" s="13">
        <f>AI42*VLOOKUP('Données projet'!$B$10,Paramètres!$A$1:$I$89,3,0)*VLOOKUP('Données projet'!$B$10,Paramètres!$A$1:$I$89,5,0)</f>
        <v>86.474610857142878</v>
      </c>
      <c r="AK42" s="13">
        <f t="shared" si="35"/>
        <v>23.713018835104659</v>
      </c>
      <c r="AL42" s="20">
        <f t="shared" si="4"/>
        <v>191.9101217139978</v>
      </c>
      <c r="AM42" s="59">
        <f t="shared" si="5"/>
        <v>438.91951880410488</v>
      </c>
      <c r="AN42" s="59">
        <f ca="1">AVERAGE(OFFSET($AM$3,0,0,'Données projet'!$E$10+1,1))-AVERAGE(OFFSET($H$3,0,0,'Données projet'!$E$10+1,1))</f>
        <v>486.36097333679697</v>
      </c>
      <c r="AO42" s="59">
        <f t="shared" si="36"/>
        <v>308.47736602748159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25.092067408177829</v>
      </c>
      <c r="AW42" s="21">
        <f>EXP(-LN(2)/2)*AW41+(1-EXP(-LN(2)/2))/(LN(2)/2)*AQ42*AT42*VLOOKUP('Données projet'!$B$10,Paramètres!$A$1:$I$89,3,0)*0.475*44/12</f>
        <v>9.087715897817791</v>
      </c>
      <c r="AX42" s="21">
        <f t="shared" si="6"/>
        <v>34.17978330599562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189.22176000000002</v>
      </c>
      <c r="BF42" s="13">
        <f t="shared" si="37"/>
        <v>47.367853957810077</v>
      </c>
      <c r="BG42" s="20">
        <f t="shared" si="7"/>
        <v>412.06024430985258</v>
      </c>
      <c r="BH42" s="59">
        <f t="shared" si="8"/>
        <v>659.06964139995966</v>
      </c>
      <c r="BI42" s="59">
        <f ca="1">AVERAGE(OFFSET($BH$3,0,0,'Données projet'!$E$11+1,1))-AVERAGE(OFFSET($H$3,0,0,'Données projet'!$E$11+1,1))</f>
        <v>408.246209980743</v>
      </c>
      <c r="BJ42" s="59">
        <f t="shared" si="38"/>
        <v>394.10236303013903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7.8849720305142608</v>
      </c>
      <c r="BQ42" s="21">
        <f>EXP(-LN(2)/25)*BQ41+(1-EXP(-LN(2)/25))/(LN(2)/25)*Calculateur!BL42*Calculateur!BN42*VLOOKUP('Données projet'!$B$11,Paramètres!$A$1:$I$89,3,0)*0.475*44/12</f>
        <v>15.225249912999823</v>
      </c>
      <c r="BR42" s="21">
        <f>EXP(-LN(2)/2)*BR41+(1-EXP(-LN(2)/2))/(LN(2)/2)*BL42*BO42*VLOOKUP('Données projet'!$B$11,Paramètres!$A$1:$I$89,3,0)*0.475*44/12</f>
        <v>2.1897392900970138</v>
      </c>
      <c r="BS42" s="22">
        <f t="shared" si="9"/>
        <v>25.299961233611096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680.96597332684223</v>
      </c>
      <c r="S43" s="59">
        <f ca="1">AVERAGE(OFFSET($R$3,0,0,'Données projet'!$E$9+1,1))-AVERAGE(OFFSET($H$3,0,0,'Données projet'!$E$9+1,1))</f>
        <v>737.40414421611001</v>
      </c>
      <c r="T43" s="59">
        <f t="shared" si="34"/>
        <v>245.32893490531674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9.8128571428571423</v>
      </c>
      <c r="AI43" s="13">
        <f>IF('Données projet'!$A$62&gt;35,AI42+AH43-AQ42,IF(A43&lt;'Données projet'!$A$62,$AF$205^A43,IF(A43='Données projet'!$A$62,'Données projet'!$B$62,AI42+AH43-AQ42)))</f>
        <v>100.6857142857143</v>
      </c>
      <c r="AJ43" s="13">
        <f>AI43*VLOOKUP('Données projet'!$B$10,Paramètres!$A$1:$I$89,3,0)*VLOOKUP('Données projet'!$B$10,Paramètres!$A$1:$I$89,5,0)</f>
        <v>95.812525714285727</v>
      </c>
      <c r="AK43" s="13">
        <f t="shared" si="35"/>
        <v>25.961919514574856</v>
      </c>
      <c r="AL43" s="20">
        <f t="shared" si="4"/>
        <v>212.09049210693217</v>
      </c>
      <c r="AM43" s="59">
        <f t="shared" si="5"/>
        <v>459.90350592605296</v>
      </c>
      <c r="AN43" s="59">
        <f ca="1">AVERAGE(OFFSET($AM$3,0,0,'Données projet'!$E$10+1,1))-AVERAGE(OFFSET($H$3,0,0,'Données projet'!$E$10+1,1))</f>
        <v>486.36097333679697</v>
      </c>
      <c r="AO43" s="59">
        <f t="shared" si="36"/>
        <v>308.47736602748159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24.405923505366729</v>
      </c>
      <c r="AW43" s="21">
        <f>EXP(-LN(2)/2)*AW42+(1-EXP(-LN(2)/2))/(LN(2)/2)*AQ43*AT43*VLOOKUP('Données projet'!$B$10,Paramètres!$A$1:$I$89,3,0)*0.475*44/12</f>
        <v>6.4259855368437542</v>
      </c>
      <c r="AX43" s="21">
        <f t="shared" si="6"/>
        <v>30.831909042210484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199.1808</v>
      </c>
      <c r="BF43" s="13">
        <f t="shared" si="37"/>
        <v>49.564089376413683</v>
      </c>
      <c r="BG43" s="20">
        <f t="shared" si="7"/>
        <v>433.23068233058711</v>
      </c>
      <c r="BH43" s="59">
        <f t="shared" si="8"/>
        <v>681.0436961497079</v>
      </c>
      <c r="BI43" s="59">
        <f ca="1">AVERAGE(OFFSET($BH$3,0,0,'Données projet'!$E$11+1,1))-AVERAGE(OFFSET($H$3,0,0,'Données projet'!$E$11+1,1))</f>
        <v>408.246209980743</v>
      </c>
      <c r="BJ43" s="59">
        <f t="shared" si="38"/>
        <v>394.10236303013903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12.208966796363363</v>
      </c>
      <c r="BQ43" s="21">
        <f>EXP(-LN(2)/25)*BQ42+(1-EXP(-LN(2)/25))/(LN(2)/25)*Calculateur!BL43*Calculateur!BN43*VLOOKUP('Données projet'!$B$11,Paramètres!$A$1:$I$89,3,0)*0.475*44/12</f>
        <v>19.269894900657576</v>
      </c>
      <c r="BR43" s="21">
        <f>EXP(-LN(2)/2)*BR42+(1-EXP(-LN(2)/2))/(LN(2)/2)*BL43*BO43*VLOOKUP('Données projet'!$B$11,Paramètres!$A$1:$I$89,3,0)*0.475*44/12</f>
        <v>8.7606992363018037</v>
      </c>
      <c r="BS43" s="22">
        <f t="shared" si="9"/>
        <v>40.239560933322743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708.56713645799084</v>
      </c>
      <c r="S44" s="59">
        <f ca="1">AVERAGE(OFFSET($R$3,0,0,'Données projet'!$E$9+1,1))-AVERAGE(OFFSET($H$3,0,0,'Données projet'!$E$9+1,1))</f>
        <v>737.40414421611001</v>
      </c>
      <c r="T44" s="59">
        <f t="shared" si="34"/>
        <v>245.32893490531674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9.8128571428571423</v>
      </c>
      <c r="AI44" s="13">
        <f>IF('Données projet'!$A$62&gt;35,AI43+AH44-AQ43,IF(A44&lt;'Données projet'!$A$62,$AF$205^A44,IF(A44='Données projet'!$A$62,'Données projet'!$B$62,AI43+AH44-AQ43)))</f>
        <v>110.49857142857144</v>
      </c>
      <c r="AJ44" s="13">
        <f>AI44*VLOOKUP('Données projet'!$B$10,Paramètres!$A$1:$I$89,3,0)*VLOOKUP('Données projet'!$B$10,Paramètres!$A$1:$I$89,5,0)</f>
        <v>105.15044057142858</v>
      </c>
      <c r="AK44" s="13">
        <f t="shared" si="35"/>
        <v>28.185409559827399</v>
      </c>
      <c r="AL44" s="20">
        <f t="shared" si="4"/>
        <v>232.22660564527078</v>
      </c>
      <c r="AM44" s="59">
        <f t="shared" si="5"/>
        <v>480.82929523977475</v>
      </c>
      <c r="AN44" s="59">
        <f ca="1">AVERAGE(OFFSET($AM$3,0,0,'Données projet'!$E$10+1,1))-AVERAGE(OFFSET($H$3,0,0,'Données projet'!$E$10+1,1))</f>
        <v>486.36097333679697</v>
      </c>
      <c r="AO44" s="59">
        <f t="shared" si="36"/>
        <v>308.47736602748159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23.738542243660739</v>
      </c>
      <c r="AW44" s="21">
        <f>EXP(-LN(2)/2)*AW43+(1-EXP(-LN(2)/2))/(LN(2)/2)*AQ44*AT44*VLOOKUP('Données projet'!$B$10,Paramètres!$A$1:$I$89,3,0)*0.475*44/12</f>
        <v>4.5438579489088955</v>
      </c>
      <c r="AX44" s="21">
        <f t="shared" si="6"/>
        <v>28.282400192569632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177.16608000000002</v>
      </c>
      <c r="BF44" s="13">
        <f t="shared" si="37"/>
        <v>44.691110042101649</v>
      </c>
      <c r="BG44" s="20">
        <f t="shared" si="7"/>
        <v>386.40127265666041</v>
      </c>
      <c r="BH44" s="59">
        <f t="shared" si="8"/>
        <v>635.00396225116435</v>
      </c>
      <c r="BI44" s="59">
        <f ca="1">AVERAGE(OFFSET($BH$3,0,0,'Données projet'!$E$11+1,1))-AVERAGE(OFFSET($H$3,0,0,'Données projet'!$E$11+1,1))</f>
        <v>408.246209980743</v>
      </c>
      <c r="BJ44" s="59">
        <f t="shared" si="38"/>
        <v>394.10236303013903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11.96955640422112</v>
      </c>
      <c r="BQ44" s="21">
        <f>EXP(-LN(2)/25)*BQ43+(1-EXP(-LN(2)/25))/(LN(2)/25)*Calculateur!BL44*Calculateur!BN44*VLOOKUP('Données projet'!$B$11,Paramètres!$A$1:$I$89,3,0)*0.475*44/12</f>
        <v>18.742958611239363</v>
      </c>
      <c r="BR44" s="21">
        <f>EXP(-LN(2)/2)*BR43+(1-EXP(-LN(2)/2))/(LN(2)/2)*BL44*BO44*VLOOKUP('Données projet'!$B$11,Paramètres!$A$1:$I$89,3,0)*0.475*44/12</f>
        <v>6.1947498379248138</v>
      </c>
      <c r="BS44" s="22">
        <f t="shared" si="9"/>
        <v>36.9072648533853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736.12125218775577</v>
      </c>
      <c r="S45" s="59">
        <f ca="1">AVERAGE(OFFSET($R$3,0,0,'Données projet'!$E$9+1,1))-AVERAGE(OFFSET($H$3,0,0,'Données projet'!$E$9+1,1))</f>
        <v>737.40414421611001</v>
      </c>
      <c r="T45" s="59">
        <f t="shared" si="34"/>
        <v>245.32893490531674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9.8128571428571423</v>
      </c>
      <c r="AI45" s="13">
        <f>IF('Données projet'!$A$62&gt;35,AI44+AH45-AQ44,IF(A45&lt;'Données projet'!$A$62,$AF$205^A45,IF(A45='Données projet'!$A$62,'Données projet'!$B$62,AI44+AH45-AQ44)))</f>
        <v>120.31142857142858</v>
      </c>
      <c r="AJ45" s="13">
        <f>AI45*VLOOKUP('Données projet'!$B$10,Paramètres!$A$1:$I$89,3,0)*VLOOKUP('Données projet'!$B$10,Paramètres!$A$1:$I$89,5,0)</f>
        <v>114.48835542857144</v>
      </c>
      <c r="AK45" s="13">
        <f t="shared" si="35"/>
        <v>30.386002172379861</v>
      </c>
      <c r="AL45" s="20">
        <f t="shared" si="4"/>
        <v>252.32283948832352</v>
      </c>
      <c r="AM45" s="59">
        <f t="shared" si="5"/>
        <v>501.70150574895825</v>
      </c>
      <c r="AN45" s="59">
        <f ca="1">AVERAGE(OFFSET($AM$3,0,0,'Données projet'!$E$10+1,1))-AVERAGE(OFFSET($H$3,0,0,'Données projet'!$E$10+1,1))</f>
        <v>486.36097333679697</v>
      </c>
      <c r="AO45" s="59">
        <f t="shared" si="36"/>
        <v>308.47736602748159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23.089410557652155</v>
      </c>
      <c r="AW45" s="21">
        <f>EXP(-LN(2)/2)*AW44+(1-EXP(-LN(2)/2))/(LN(2)/2)*AQ45*AT45*VLOOKUP('Données projet'!$B$10,Paramètres!$A$1:$I$89,3,0)*0.475*44/12</f>
        <v>3.2129927684218771</v>
      </c>
      <c r="AX45" s="21">
        <f t="shared" si="6"/>
        <v>26.302403326074032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185.72736000000003</v>
      </c>
      <c r="BF45" s="13">
        <f t="shared" si="37"/>
        <v>46.594086043363802</v>
      </c>
      <c r="BG45" s="20">
        <f t="shared" si="7"/>
        <v>404.62651852552534</v>
      </c>
      <c r="BH45" s="59">
        <f t="shared" si="8"/>
        <v>654.00518478616004</v>
      </c>
      <c r="BI45" s="59">
        <f ca="1">AVERAGE(OFFSET($BH$3,0,0,'Données projet'!$E$11+1,1))-AVERAGE(OFFSET($H$3,0,0,'Données projet'!$E$11+1,1))</f>
        <v>408.246209980743</v>
      </c>
      <c r="BJ45" s="59">
        <f t="shared" si="38"/>
        <v>394.10236303013903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11.734840703842865</v>
      </c>
      <c r="BQ45" s="21">
        <f>EXP(-LN(2)/25)*BQ44+(1-EXP(-LN(2)/25))/(LN(2)/25)*Calculateur!BL45*Calculateur!BN45*VLOOKUP('Données projet'!$B$11,Paramètres!$A$1:$I$89,3,0)*0.475*44/12</f>
        <v>18.230431422365665</v>
      </c>
      <c r="BR45" s="21">
        <f>EXP(-LN(2)/2)*BR44+(1-EXP(-LN(2)/2))/(LN(2)/2)*BL45*BO45*VLOOKUP('Données projet'!$B$11,Paramètres!$A$1:$I$89,3,0)*0.475*44/12</f>
        <v>4.3803496181509027</v>
      </c>
      <c r="BS45" s="22">
        <f t="shared" si="9"/>
        <v>34.345621744359434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652.8275615798359</v>
      </c>
      <c r="S46" s="59">
        <f ca="1">AVERAGE(OFFSET($R$3,0,0,'Données projet'!$E$9+1,1))-AVERAGE(OFFSET($H$3,0,0,'Données projet'!$E$9+1,1))</f>
        <v>737.40414421611001</v>
      </c>
      <c r="T46" s="59">
        <f t="shared" si="34"/>
        <v>245.32893490531674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9.8128571428571423</v>
      </c>
      <c r="AI46" s="13">
        <f>IF('Données projet'!$A$62&gt;35,AI45+AH46-AQ45,IF(A46&lt;'Données projet'!$A$62,$AF$205^A46,IF(A46='Données projet'!$A$62,'Données projet'!$B$62,AI45+AH46-AQ45)))</f>
        <v>130.12428571428572</v>
      </c>
      <c r="AJ46" s="13">
        <f>AI46*VLOOKUP('Données projet'!$B$10,Paramètres!$A$1:$I$89,3,0)*VLOOKUP('Données projet'!$B$10,Paramètres!$A$1:$I$89,5,0)</f>
        <v>123.82627028571429</v>
      </c>
      <c r="AK46" s="13">
        <f t="shared" si="35"/>
        <v>32.565777238714922</v>
      </c>
      <c r="AL46" s="20">
        <f t="shared" si="4"/>
        <v>272.38281610504754</v>
      </c>
      <c r="AM46" s="59">
        <f t="shared" si="5"/>
        <v>522.52399757147964</v>
      </c>
      <c r="AN46" s="59">
        <f ca="1">AVERAGE(OFFSET($AM$3,0,0,'Données projet'!$E$10+1,1))-AVERAGE(OFFSET($H$3,0,0,'Données projet'!$E$10+1,1))</f>
        <v>486.36097333679697</v>
      </c>
      <c r="AO46" s="59">
        <f t="shared" si="36"/>
        <v>308.47736602748159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22.458029411733825</v>
      </c>
      <c r="AW46" s="21">
        <f>EXP(-LN(2)/2)*AW45+(1-EXP(-LN(2)/2))/(LN(2)/2)*AQ46*AT46*VLOOKUP('Données projet'!$B$10,Paramètres!$A$1:$I$89,3,0)*0.475*44/12</f>
        <v>2.2719289744544477</v>
      </c>
      <c r="AX46" s="21">
        <f t="shared" si="6"/>
        <v>24.729958386188272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194.28864000000004</v>
      </c>
      <c r="BF46" s="13">
        <f t="shared" si="37"/>
        <v>48.486875029770822</v>
      </c>
      <c r="BG46" s="20">
        <f t="shared" si="7"/>
        <v>422.83402201018424</v>
      </c>
      <c r="BH46" s="59">
        <f t="shared" si="8"/>
        <v>672.97520347661634</v>
      </c>
      <c r="BI46" s="59">
        <f ca="1">AVERAGE(OFFSET($BH$3,0,0,'Données projet'!$E$11+1,1))-AVERAGE(OFFSET($H$3,0,0,'Données projet'!$E$11+1,1))</f>
        <v>408.246209980743</v>
      </c>
      <c r="BJ46" s="59">
        <f t="shared" si="38"/>
        <v>394.10236303013903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11.504727635186587</v>
      </c>
      <c r="BQ46" s="21">
        <f>EXP(-LN(2)/25)*BQ45+(1-EXP(-LN(2)/25))/(LN(2)/25)*Calculateur!BL46*Calculateur!BN46*VLOOKUP('Données projet'!$B$11,Paramètres!$A$1:$I$89,3,0)*0.475*44/12</f>
        <v>17.731919316424353</v>
      </c>
      <c r="BR46" s="21">
        <f>EXP(-LN(2)/2)*BR45+(1-EXP(-LN(2)/2))/(LN(2)/2)*BL46*BO46*VLOOKUP('Données projet'!$B$11,Paramètres!$A$1:$I$89,3,0)*0.475*44/12</f>
        <v>3.0973749189624078</v>
      </c>
      <c r="BS46" s="22">
        <f t="shared" si="9"/>
        <v>32.334021870573345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681.18852221667578</v>
      </c>
      <c r="S47" s="59">
        <f ca="1">AVERAGE(OFFSET($R$3,0,0,'Données projet'!$E$9+1,1))-AVERAGE(OFFSET($H$3,0,0,'Données projet'!$E$9+1,1))</f>
        <v>737.40414421611001</v>
      </c>
      <c r="T47" s="59">
        <f t="shared" si="34"/>
        <v>245.32893490531674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9.8128571428571423</v>
      </c>
      <c r="AI47" s="13">
        <f>IF('Données projet'!$A$62&gt;35,AI46+AH47-AQ46,IF(A47&lt;'Données projet'!$A$62,$AF$205^A47,IF(A47='Données projet'!$A$62,'Données projet'!$B$62,AI46+AH47-AQ46)))</f>
        <v>139.93714285714287</v>
      </c>
      <c r="AJ47" s="13">
        <f>AI47*VLOOKUP('Données projet'!$B$10,Paramètres!$A$1:$I$89,3,0)*VLOOKUP('Données projet'!$B$10,Paramètres!$A$1:$I$89,5,0)</f>
        <v>133.16418514285718</v>
      </c>
      <c r="AK47" s="13">
        <f t="shared" si="35"/>
        <v>34.726483144583192</v>
      </c>
      <c r="AL47" s="20">
        <f t="shared" si="4"/>
        <v>292.4095806006253</v>
      </c>
      <c r="AM47" s="59">
        <f t="shared" si="5"/>
        <v>543.30004933876273</v>
      </c>
      <c r="AN47" s="59">
        <f ca="1">AVERAGE(OFFSET($AM$3,0,0,'Données projet'!$E$10+1,1))-AVERAGE(OFFSET($H$3,0,0,'Données projet'!$E$10+1,1))</f>
        <v>486.36097333679697</v>
      </c>
      <c r="AO47" s="59">
        <f t="shared" si="36"/>
        <v>308.47736602748159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21.843913416453525</v>
      </c>
      <c r="AW47" s="21">
        <f>EXP(-LN(2)/2)*AW46+(1-EXP(-LN(2)/2))/(LN(2)/2)*AQ47*AT47*VLOOKUP('Données projet'!$B$10,Paramètres!$A$1:$I$89,3,0)*0.475*44/12</f>
        <v>1.6064963842109385</v>
      </c>
      <c r="AX47" s="21">
        <f t="shared" si="6"/>
        <v>23.450409800664463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202.84992000000005</v>
      </c>
      <c r="BF47" s="13">
        <f t="shared" si="37"/>
        <v>50.369977187686075</v>
      </c>
      <c r="BG47" s="20">
        <f t="shared" si="7"/>
        <v>441.02465426855332</v>
      </c>
      <c r="BH47" s="59">
        <f t="shared" si="8"/>
        <v>691.91512300669069</v>
      </c>
      <c r="BI47" s="59">
        <f ca="1">AVERAGE(OFFSET($BH$3,0,0,'Données projet'!$E$11+1,1))-AVERAGE(OFFSET($H$3,0,0,'Données projet'!$E$11+1,1))</f>
        <v>408.246209980743</v>
      </c>
      <c r="BJ47" s="59">
        <f t="shared" si="38"/>
        <v>394.10236303013903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11.279126943451546</v>
      </c>
      <c r="BQ47" s="21">
        <f>EXP(-LN(2)/25)*BQ46+(1-EXP(-LN(2)/25))/(LN(2)/25)*Calculateur!BL47*Calculateur!BN47*VLOOKUP('Données projet'!$B$11,Paramètres!$A$1:$I$89,3,0)*0.475*44/12</f>
        <v>17.247039050235617</v>
      </c>
      <c r="BR47" s="21">
        <f>EXP(-LN(2)/2)*BR46+(1-EXP(-LN(2)/2))/(LN(2)/2)*BL47*BO47*VLOOKUP('Données projet'!$B$11,Paramètres!$A$1:$I$89,3,0)*0.475*44/12</f>
        <v>2.1901748090754518</v>
      </c>
      <c r="BS47" s="22">
        <f t="shared" si="9"/>
        <v>30.716340802762616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709.49842420051903</v>
      </c>
      <c r="S48" s="59">
        <f ca="1">AVERAGE(OFFSET($R$3,0,0,'Données projet'!$E$9+1,1))-AVERAGE(OFFSET($H$3,0,0,'Données projet'!$E$9+1,1))</f>
        <v>737.40414421611001</v>
      </c>
      <c r="T48" s="59">
        <f t="shared" si="34"/>
        <v>245.32893490531674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149.75</v>
      </c>
      <c r="AG48" s="12">
        <f>VLOOKUP(A48,'Données projet'!$A$61:$I$81,9,0)</f>
        <v>9.8128571428571423</v>
      </c>
      <c r="AH48" s="12">
        <f t="array" ref="AH48">INDEX(AG:AG,MIN(IF(ISNUMBER(AG48:AG244),ROW(AG48:AG244),"")))</f>
        <v>9.8128571428571423</v>
      </c>
      <c r="AI48" s="13">
        <f>IF('Données projet'!$A$62&gt;35,AI47+AH48-AQ47,IF(A48&lt;'Données projet'!$A$62,$AF$205^A48,IF(A48='Données projet'!$A$62,'Données projet'!$B$62,AI47+AH48-AQ47)))</f>
        <v>149.75000000000003</v>
      </c>
      <c r="AJ48" s="13">
        <f>AI48*VLOOKUP('Données projet'!$B$10,Paramètres!$A$1:$I$89,3,0)*VLOOKUP('Données projet'!$B$10,Paramètres!$A$1:$I$89,5,0)</f>
        <v>142.50210000000001</v>
      </c>
      <c r="AK48" s="13">
        <f t="shared" si="35"/>
        <v>36.869609182810613</v>
      </c>
      <c r="AL48" s="20">
        <f t="shared" si="4"/>
        <v>312.40572682672854</v>
      </c>
      <c r="AM48" s="59">
        <f t="shared" si="5"/>
        <v>564.0324843775627</v>
      </c>
      <c r="AN48" s="59">
        <f ca="1">AVERAGE(OFFSET($AM$3,0,0,'Données projet'!$E$10+1,1))-AVERAGE(OFFSET($H$3,0,0,'Données projet'!$E$10+1,1))</f>
        <v>486.36097333679697</v>
      </c>
      <c r="AO48" s="59">
        <f t="shared" si="36"/>
        <v>308.47736602748159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41.69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0.34400000000000003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36.273806259549104</v>
      </c>
      <c r="AW48" s="21">
        <f>EXP(-LN(2)/2)*AW47+(1-EXP(-LN(2)/2))/(LN(2)/2)*AQ48*AT48*VLOOKUP('Données projet'!$B$10,Paramètres!$A$1:$I$89,3,0)*0.475*44/12</f>
        <v>8.6223229343703309</v>
      </c>
      <c r="AX48" s="21">
        <f t="shared" si="6"/>
        <v>44.896129193919435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211.41120000000006</v>
      </c>
      <c r="BF48" s="13">
        <f t="shared" si="37"/>
        <v>52.243848094411156</v>
      </c>
      <c r="BG48" s="20">
        <f t="shared" si="7"/>
        <v>459.19920876443285</v>
      </c>
      <c r="BH48" s="59">
        <f t="shared" si="8"/>
        <v>710.82596631526701</v>
      </c>
      <c r="BI48" s="59">
        <f ca="1">AVERAGE(OFFSET($BH$3,0,0,'Données projet'!$E$11+1,1))-AVERAGE(OFFSET($H$3,0,0,'Données projet'!$E$11+1,1))</f>
        <v>408.246209980743</v>
      </c>
      <c r="BJ48" s="59">
        <f t="shared" si="38"/>
        <v>394.10236303013903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14.128999920599348</v>
      </c>
      <c r="BQ48" s="21">
        <f>EXP(-LN(2)/25)*BQ47+(1-EXP(-LN(2)/25))/(LN(2)/25)*Calculateur!BL48*Calculateur!BN48*VLOOKUP('Données projet'!$B$11,Paramètres!$A$1:$I$89,3,0)*0.475*44/12</f>
        <v>19.834375744211872</v>
      </c>
      <c r="BR48" s="21">
        <f>EXP(-LN(2)/2)*BR47+(1-EXP(-LN(2)/2))/(LN(2)/2)*BL48*BO48*VLOOKUP('Données projet'!$B$11,Paramètres!$A$1:$I$89,3,0)*0.475*44/12</f>
        <v>6.494278135076808</v>
      </c>
      <c r="BS48" s="22">
        <f t="shared" si="9"/>
        <v>40.457653799888035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737.76010460037219</v>
      </c>
      <c r="S49" s="59">
        <f ca="1">AVERAGE(OFFSET($R$3,0,0,'Données projet'!$E$9+1,1))-AVERAGE(OFFSET($H$3,0,0,'Données projet'!$E$9+1,1))</f>
        <v>737.40414421611001</v>
      </c>
      <c r="T49" s="59">
        <f t="shared" si="34"/>
        <v>245.32893490531674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10.001428571428571</v>
      </c>
      <c r="AI49" s="13">
        <f>IF('Données projet'!$A$62&gt;35,AI48+AH49-AQ48,IF(A49&lt;'Données projet'!$A$62,$AF$205^A49,IF(A49='Données projet'!$A$62,'Données projet'!$B$62,AI48+AH49-AQ48)))</f>
        <v>118.06142857142859</v>
      </c>
      <c r="AJ49" s="13">
        <f>AI49*VLOOKUP('Données projet'!$B$10,Paramètres!$A$1:$I$89,3,0)*VLOOKUP('Données projet'!$B$10,Paramètres!$A$1:$I$89,5,0)</f>
        <v>112.34725542857144</v>
      </c>
      <c r="AK49" s="13">
        <f t="shared" si="35"/>
        <v>29.883334836157822</v>
      </c>
      <c r="AL49" s="20">
        <f t="shared" si="4"/>
        <v>247.71827804440349</v>
      </c>
      <c r="AM49" s="59">
        <f t="shared" si="5"/>
        <v>500.06855144312914</v>
      </c>
      <c r="AN49" s="59">
        <f ca="1">AVERAGE(OFFSET($AM$3,0,0,'Données projet'!$E$10+1,1))-AVERAGE(OFFSET($H$3,0,0,'Données projet'!$E$10+1,1))</f>
        <v>486.36097333679697</v>
      </c>
      <c r="AO49" s="59">
        <f t="shared" si="36"/>
        <v>308.47736602748159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35.281897119825167</v>
      </c>
      <c r="AW49" s="21">
        <f>EXP(-LN(2)/2)*AW48+(1-EXP(-LN(2)/2))/(LN(2)/2)*AQ49*AT49*VLOOKUP('Données projet'!$B$10,Paramètres!$A$1:$I$89,3,0)*0.475*44/12</f>
        <v>6.0969030164735525</v>
      </c>
      <c r="AX49" s="21">
        <f t="shared" si="6"/>
        <v>41.378800136298722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197.95776000000006</v>
      </c>
      <c r="BF49" s="13">
        <f t="shared" si="37"/>
        <v>49.295077435194649</v>
      </c>
      <c r="BG49" s="20">
        <f t="shared" si="7"/>
        <v>430.63202519963079</v>
      </c>
      <c r="BH49" s="59">
        <f t="shared" si="8"/>
        <v>682.98229859835646</v>
      </c>
      <c r="BI49" s="59">
        <f ca="1">AVERAGE(OFFSET($BH$3,0,0,'Données projet'!$E$11+1,1))-AVERAGE(OFFSET($H$3,0,0,'Données projet'!$E$11+1,1))</f>
        <v>408.246209980743</v>
      </c>
      <c r="BJ49" s="59">
        <f t="shared" si="38"/>
        <v>394.10236303013903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13.851938849995406</v>
      </c>
      <c r="BQ49" s="21">
        <f>EXP(-LN(2)/25)*BQ48+(1-EXP(-LN(2)/25))/(LN(2)/25)*Calculateur!BL49*Calculateur!BN49*VLOOKUP('Données projet'!$B$11,Paramètres!$A$1:$I$89,3,0)*0.475*44/12</f>
        <v>19.29200369644191</v>
      </c>
      <c r="BR49" s="21">
        <f>EXP(-LN(2)/2)*BR48+(1-EXP(-LN(2)/2))/(LN(2)/2)*BL49*BO49*VLOOKUP('Données projet'!$B$11,Paramètres!$A$1:$I$89,3,0)*0.475*44/12</f>
        <v>4.5921481082243369</v>
      </c>
      <c r="BS49" s="22">
        <f t="shared" si="9"/>
        <v>37.736090654661652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765.97607636279611</v>
      </c>
      <c r="S50" s="59">
        <f ca="1">AVERAGE(OFFSET($R$3,0,0,'Données projet'!$E$9+1,1))-AVERAGE(OFFSET($H$3,0,0,'Données projet'!$E$9+1,1))</f>
        <v>737.40414421611001</v>
      </c>
      <c r="T50" s="59">
        <f t="shared" si="34"/>
        <v>245.32893490531674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10.001428571428571</v>
      </c>
      <c r="AI50" s="13">
        <f>IF('Données projet'!$A$62&gt;35,AI49+AH50-AQ49,IF(A50&lt;'Données projet'!$A$62,$AF$205^A50,IF(A50='Données projet'!$A$62,'Données projet'!$B$62,AI49+AH50-AQ49)))</f>
        <v>128.06285714285715</v>
      </c>
      <c r="AJ50" s="13">
        <f>AI50*VLOOKUP('Données projet'!$B$10,Paramètres!$A$1:$I$89,3,0)*VLOOKUP('Données projet'!$B$10,Paramètres!$A$1:$I$89,5,0)</f>
        <v>121.86461485714287</v>
      </c>
      <c r="AK50" s="13">
        <f t="shared" si="35"/>
        <v>32.109499056362758</v>
      </c>
      <c r="AL50" s="20">
        <f t="shared" si="4"/>
        <v>268.17158173268894</v>
      </c>
      <c r="AM50" s="59">
        <f t="shared" si="5"/>
        <v>521.23281959688438</v>
      </c>
      <c r="AN50" s="59">
        <f ca="1">AVERAGE(OFFSET($AM$3,0,0,'Données projet'!$E$10+1,1))-AVERAGE(OFFSET($H$3,0,0,'Données projet'!$E$10+1,1))</f>
        <v>486.36097333679697</v>
      </c>
      <c r="AO50" s="59">
        <f t="shared" si="36"/>
        <v>308.47736602748159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34.317111787689214</v>
      </c>
      <c r="AW50" s="21">
        <f>EXP(-LN(2)/2)*AW49+(1-EXP(-LN(2)/2))/(LN(2)/2)*AQ50*AT50*VLOOKUP('Données projet'!$B$10,Paramètres!$A$1:$I$89,3,0)*0.475*44/12</f>
        <v>4.3111614671851664</v>
      </c>
      <c r="AX50" s="21">
        <f t="shared" si="6"/>
        <v>38.628273254874379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205.47072000000009</v>
      </c>
      <c r="BF50" s="13">
        <f t="shared" si="37"/>
        <v>50.944571570352757</v>
      </c>
      <c r="BG50" s="20">
        <f t="shared" si="7"/>
        <v>446.58996615169781</v>
      </c>
      <c r="BH50" s="59">
        <f t="shared" si="8"/>
        <v>699.6512040158932</v>
      </c>
      <c r="BI50" s="59">
        <f ca="1">AVERAGE(OFFSET($BH$3,0,0,'Données projet'!$E$11+1,1))-AVERAGE(OFFSET($H$3,0,0,'Données projet'!$E$11+1,1))</f>
        <v>408.246209980743</v>
      </c>
      <c r="BJ50" s="59">
        <f t="shared" si="38"/>
        <v>394.10236303013903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13.58031077799544</v>
      </c>
      <c r="BQ50" s="21">
        <f>EXP(-LN(2)/25)*BQ49+(1-EXP(-LN(2)/25))/(LN(2)/25)*Calculateur!BL50*Calculateur!BN50*VLOOKUP('Données projet'!$B$11,Paramètres!$A$1:$I$89,3,0)*0.475*44/12</f>
        <v>18.764462840840324</v>
      </c>
      <c r="BR50" s="21">
        <f>EXP(-LN(2)/2)*BR49+(1-EXP(-LN(2)/2))/(LN(2)/2)*BL50*BO50*VLOOKUP('Données projet'!$B$11,Paramètres!$A$1:$I$89,3,0)*0.475*44/12</f>
        <v>3.2471390675384044</v>
      </c>
      <c r="BS50" s="22">
        <f t="shared" si="9"/>
        <v>35.591912686374165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794.14858305240568</v>
      </c>
      <c r="S51" s="59">
        <f ca="1">AVERAGE(OFFSET($R$3,0,0,'Données projet'!$E$9+1,1))-AVERAGE(OFFSET($H$3,0,0,'Données projet'!$E$9+1,1))</f>
        <v>737.40414421611001</v>
      </c>
      <c r="T51" s="59">
        <f t="shared" si="34"/>
        <v>245.32893490531674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10.001428571428571</v>
      </c>
      <c r="AI51" s="13">
        <f>IF('Données projet'!$A$62&gt;35,AI50+AH51-AQ50,IF(A51&lt;'Données projet'!$A$62,$AF$205^A51,IF(A51='Données projet'!$A$62,'Données projet'!$B$62,AI50+AH51-AQ50)))</f>
        <v>138.06428571428572</v>
      </c>
      <c r="AJ51" s="13">
        <f>AI51*VLOOKUP('Données projet'!$B$10,Paramètres!$A$1:$I$89,3,0)*VLOOKUP('Données projet'!$B$10,Paramètres!$A$1:$I$89,5,0)</f>
        <v>131.38197428571428</v>
      </c>
      <c r="AK51" s="13">
        <f t="shared" si="35"/>
        <v>34.315496219726761</v>
      </c>
      <c r="AL51" s="20">
        <f t="shared" si="4"/>
        <v>288.5897611303098</v>
      </c>
      <c r="AM51" s="59">
        <f t="shared" si="5"/>
        <v>542.34962981597755</v>
      </c>
      <c r="AN51" s="59">
        <f ca="1">AVERAGE(OFFSET($AM$3,0,0,'Données projet'!$E$10+1,1))-AVERAGE(OFFSET($H$3,0,0,'Données projet'!$E$10+1,1))</f>
        <v>486.36097333679697</v>
      </c>
      <c r="AO51" s="59">
        <f t="shared" si="36"/>
        <v>308.47736602748159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33.378708561196376</v>
      </c>
      <c r="AW51" s="21">
        <f>EXP(-LN(2)/2)*AW50+(1-EXP(-LN(2)/2))/(LN(2)/2)*AQ51*AT51*VLOOKUP('Données projet'!$B$10,Paramètres!$A$1:$I$89,3,0)*0.475*44/12</f>
        <v>3.0484515082367767</v>
      </c>
      <c r="AX51" s="21">
        <f t="shared" si="6"/>
        <v>36.42716006943315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212.98368000000008</v>
      </c>
      <c r="BF51" s="13">
        <f t="shared" si="37"/>
        <v>52.587058525970363</v>
      </c>
      <c r="BG51" s="20">
        <f t="shared" si="7"/>
        <v>462.53570293273191</v>
      </c>
      <c r="BH51" s="59">
        <f t="shared" si="8"/>
        <v>716.29557161839966</v>
      </c>
      <c r="BI51" s="59">
        <f ca="1">AVERAGE(OFFSET($BH$3,0,0,'Données projet'!$E$11+1,1))-AVERAGE(OFFSET($H$3,0,0,'Données projet'!$E$11+1,1))</f>
        <v>408.246209980743</v>
      </c>
      <c r="BJ51" s="59">
        <f t="shared" si="38"/>
        <v>394.10236303013903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13.314009166810628</v>
      </c>
      <c r="BQ51" s="21">
        <f>EXP(-LN(2)/25)*BQ50+(1-EXP(-LN(2)/25))/(LN(2)/25)*Calculateur!BL51*Calculateur!BN51*VLOOKUP('Données projet'!$B$11,Paramètres!$A$1:$I$89,3,0)*0.475*44/12</f>
        <v>18.251347617677332</v>
      </c>
      <c r="BR51" s="21">
        <f>EXP(-LN(2)/2)*BR50+(1-EXP(-LN(2)/2))/(LN(2)/2)*BL51*BO51*VLOOKUP('Données projet'!$B$11,Paramètres!$A$1:$I$89,3,0)*0.475*44/12</f>
        <v>2.2960740541121685</v>
      </c>
      <c r="BS51" s="22">
        <f t="shared" si="9"/>
        <v>33.861430838600128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822.27964189654199</v>
      </c>
      <c r="S52" s="59">
        <f ca="1">AVERAGE(OFFSET($R$3,0,0,'Données projet'!$E$9+1,1))-AVERAGE(OFFSET($H$3,0,0,'Données projet'!$E$9+1,1))</f>
        <v>737.40414421611001</v>
      </c>
      <c r="T52" s="59">
        <f t="shared" si="34"/>
        <v>245.32893490531674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10.001428571428571</v>
      </c>
      <c r="AI52" s="13">
        <f>IF('Données projet'!$A$62&gt;35,AI51+AH52-AQ51,IF(A52&lt;'Données projet'!$A$62,$AF$205^A52,IF(A52='Données projet'!$A$62,'Données projet'!$B$62,AI51+AH52-AQ51)))</f>
        <v>148.06571428571428</v>
      </c>
      <c r="AJ52" s="13">
        <f>AI52*VLOOKUP('Données projet'!$B$10,Paramètres!$A$1:$I$89,3,0)*VLOOKUP('Données projet'!$B$10,Paramètres!$A$1:$I$89,5,0)</f>
        <v>140.89933371428572</v>
      </c>
      <c r="AK52" s="13">
        <f t="shared" si="35"/>
        <v>36.502953377985676</v>
      </c>
      <c r="AL52" s="20">
        <f t="shared" si="4"/>
        <v>308.97565001903934</v>
      </c>
      <c r="AM52" s="59">
        <f t="shared" si="5"/>
        <v>563.4220298433313</v>
      </c>
      <c r="AN52" s="59">
        <f ca="1">AVERAGE(OFFSET($AM$3,0,0,'Données projet'!$E$10+1,1))-AVERAGE(OFFSET($H$3,0,0,'Données projet'!$E$10+1,1))</f>
        <v>486.36097333679697</v>
      </c>
      <c r="AO52" s="59">
        <f t="shared" si="36"/>
        <v>308.47736602748159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32.465966020280469</v>
      </c>
      <c r="AW52" s="21">
        <f>EXP(-LN(2)/2)*AW51+(1-EXP(-LN(2)/2))/(LN(2)/2)*AQ52*AT52*VLOOKUP('Données projet'!$B$10,Paramètres!$A$1:$I$89,3,0)*0.475*44/12</f>
        <v>2.1555807335925832</v>
      </c>
      <c r="AX52" s="21">
        <f t="shared" si="6"/>
        <v>34.621546753873055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220.49664000000004</v>
      </c>
      <c r="BF52" s="13">
        <f t="shared" si="37"/>
        <v>54.222813800824916</v>
      </c>
      <c r="BG52" s="20">
        <f t="shared" si="7"/>
        <v>478.46971536977009</v>
      </c>
      <c r="BH52" s="59">
        <f t="shared" si="8"/>
        <v>732.91609519406211</v>
      </c>
      <c r="BI52" s="59">
        <f ca="1">AVERAGE(OFFSET($BH$3,0,0,'Données projet'!$E$11+1,1))-AVERAGE(OFFSET($H$3,0,0,'Données projet'!$E$11+1,1))</f>
        <v>408.246209980743</v>
      </c>
      <c r="BJ52" s="59">
        <f t="shared" si="38"/>
        <v>394.10236303013903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13.052929567793207</v>
      </c>
      <c r="BQ52" s="21">
        <f>EXP(-LN(2)/25)*BQ51+(1-EXP(-LN(2)/25))/(LN(2)/25)*Calculateur!BL52*Calculateur!BN52*VLOOKUP('Données projet'!$B$11,Paramètres!$A$1:$I$89,3,0)*0.475*44/12</f>
        <v>17.752263557275288</v>
      </c>
      <c r="BR52" s="21">
        <f>EXP(-LN(2)/2)*BR51+(1-EXP(-LN(2)/2))/(LN(2)/2)*BL52*BO52*VLOOKUP('Données projet'!$B$11,Paramètres!$A$1:$I$89,3,0)*0.475*44/12</f>
        <v>1.6235695337692022</v>
      </c>
      <c r="BS52" s="22">
        <f t="shared" si="9"/>
        <v>32.428762658837698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850.37107809089764</v>
      </c>
      <c r="S53" s="59">
        <f ca="1">AVERAGE(OFFSET($R$3,0,0,'Données projet'!$E$9+1,1))-AVERAGE(OFFSET($H$3,0,0,'Données projet'!$E$9+1,1))</f>
        <v>737.40414421611001</v>
      </c>
      <c r="T53" s="59">
        <f t="shared" si="34"/>
        <v>245.32893490531674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10.001428571428571</v>
      </c>
      <c r="AI53" s="13">
        <f>IF('Données projet'!$A$62&gt;35,AI52+AH53-AQ52,IF(A53&lt;'Données projet'!$A$62,$AF$205^A53,IF(A53='Données projet'!$A$62,'Données projet'!$B$62,AI52+AH53-AQ52)))</f>
        <v>158.06714285714284</v>
      </c>
      <c r="AJ53" s="13">
        <f>AI53*VLOOKUP('Données projet'!$B$10,Paramètres!$A$1:$I$89,3,0)*VLOOKUP('Données projet'!$B$10,Paramètres!$A$1:$I$89,5,0)</f>
        <v>150.41669314285713</v>
      </c>
      <c r="AK53" s="13">
        <f t="shared" si="35"/>
        <v>38.673265338618677</v>
      </c>
      <c r="AL53" s="20">
        <f t="shared" si="4"/>
        <v>329.33167768857032</v>
      </c>
      <c r="AM53" s="59">
        <f t="shared" si="5"/>
        <v>584.45265921804048</v>
      </c>
      <c r="AN53" s="59">
        <f ca="1">AVERAGE(OFFSET($AM$3,0,0,'Données projet'!$E$10+1,1))-AVERAGE(OFFSET($H$3,0,0,'Données projet'!$E$10+1,1))</f>
        <v>486.36097333679697</v>
      </c>
      <c r="AO53" s="59">
        <f t="shared" si="36"/>
        <v>308.47736602748159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31.578182472144949</v>
      </c>
      <c r="AW53" s="21">
        <f>EXP(-LN(2)/2)*AW52+(1-EXP(-LN(2)/2))/(LN(2)/2)*AQ53*AT53*VLOOKUP('Données projet'!$B$10,Paramètres!$A$1:$I$89,3,0)*0.475*44/12</f>
        <v>1.5242257541183883</v>
      </c>
      <c r="AX53" s="21">
        <f t="shared" si="6"/>
        <v>33.102408226263336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228.00960000000009</v>
      </c>
      <c r="BF53" s="13">
        <f t="shared" si="37"/>
        <v>55.852093054619878</v>
      </c>
      <c r="BG53" s="20">
        <f t="shared" si="7"/>
        <v>494.3924487367965</v>
      </c>
      <c r="BH53" s="59">
        <f t="shared" si="8"/>
        <v>749.5134302662666</v>
      </c>
      <c r="BI53" s="59">
        <f ca="1">AVERAGE(OFFSET($BH$3,0,0,'Données projet'!$E$11+1,1))-AVERAGE(OFFSET($H$3,0,0,'Données projet'!$E$11+1,1))</f>
        <v>408.246209980743</v>
      </c>
      <c r="BJ53" s="59">
        <f t="shared" si="38"/>
        <v>394.10236303013903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15.228217320531948</v>
      </c>
      <c r="BQ53" s="21">
        <f>EXP(-LN(2)/25)*BQ52+(1-EXP(-LN(2)/25))/(LN(2)/25)*Calculateur!BL53*Calculateur!BN53*VLOOKUP('Données projet'!$B$11,Paramètres!$A$1:$I$89,3,0)*0.475*44/12</f>
        <v>19.68850196808225</v>
      </c>
      <c r="BR53" s="21">
        <f>EXP(-LN(2)/2)*BR52+(1-EXP(-LN(2)/2))/(LN(2)/2)*BL53*BO53*VLOOKUP('Données projet'!$B$11,Paramètres!$A$1:$I$89,3,0)*0.475*44/12</f>
        <v>5.0632963119026035</v>
      </c>
      <c r="BS53" s="22">
        <f t="shared" si="9"/>
        <v>39.980015600516801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742.62953585753178</v>
      </c>
      <c r="S54" s="59">
        <f ca="1">AVERAGE(OFFSET($R$3,0,0,'Données projet'!$E$9+1,1))-AVERAGE(OFFSET($H$3,0,0,'Données projet'!$E$9+1,1))</f>
        <v>737.40414421611001</v>
      </c>
      <c r="T54" s="59">
        <f t="shared" si="34"/>
        <v>245.32893490531674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10.001428571428571</v>
      </c>
      <c r="AI54" s="13">
        <f>IF('Données projet'!$A$62&gt;35,AI53+AH54-AQ53,IF(A54&lt;'Données projet'!$A$62,$AF$205^A54,IF(A54='Données projet'!$A$62,'Données projet'!$B$62,AI53+AH54-AQ53)))</f>
        <v>168.0685714285714</v>
      </c>
      <c r="AJ54" s="13">
        <f>AI54*VLOOKUP('Données projet'!$B$10,Paramètres!$A$1:$I$89,3,0)*VLOOKUP('Données projet'!$B$10,Paramètres!$A$1:$I$89,5,0)</f>
        <v>159.93405257142857</v>
      </c>
      <c r="AK54" s="13">
        <f t="shared" si="35"/>
        <v>40.827640423227386</v>
      </c>
      <c r="AL54" s="20">
        <f t="shared" si="4"/>
        <v>349.65994863235909</v>
      </c>
      <c r="AM54" s="59">
        <f t="shared" si="5"/>
        <v>605.44382903560586</v>
      </c>
      <c r="AN54" s="59">
        <f ca="1">AVERAGE(OFFSET($AM$3,0,0,'Données projet'!$E$10+1,1))-AVERAGE(OFFSET($H$3,0,0,'Données projet'!$E$10+1,1))</f>
        <v>486.36097333679697</v>
      </c>
      <c r="AO54" s="59">
        <f t="shared" si="36"/>
        <v>308.47736602748159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30.714675411819702</v>
      </c>
      <c r="AW54" s="21">
        <f>EXP(-LN(2)/2)*AW53+(1-EXP(-LN(2)/2))/(LN(2)/2)*AQ54*AT54*VLOOKUP('Données projet'!$B$10,Paramètres!$A$1:$I$89,3,0)*0.475*44/12</f>
        <v>1.0777903667962916</v>
      </c>
      <c r="AX54" s="21">
        <f t="shared" si="6"/>
        <v>31.792465778615995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217.87584000000007</v>
      </c>
      <c r="BF54" s="13">
        <f t="shared" si="37"/>
        <v>53.652949670124926</v>
      </c>
      <c r="BG54" s="20">
        <f t="shared" si="7"/>
        <v>472.91264200880101</v>
      </c>
      <c r="BH54" s="59">
        <f t="shared" si="8"/>
        <v>728.6965224120479</v>
      </c>
      <c r="BI54" s="59">
        <f ca="1">AVERAGE(OFFSET($BH$3,0,0,'Données projet'!$E$11+1,1))-AVERAGE(OFFSET($H$3,0,0,'Données projet'!$E$11+1,1))</f>
        <v>408.246209980743</v>
      </c>
      <c r="BJ54" s="59">
        <f t="shared" si="38"/>
        <v>394.10236303013903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14.929601267171739</v>
      </c>
      <c r="BQ54" s="21">
        <f>EXP(-LN(2)/25)*BQ53+(1-EXP(-LN(2)/25))/(LN(2)/25)*Calculateur!BL54*Calculateur!BN54*VLOOKUP('Données projet'!$B$11,Paramètres!$A$1:$I$89,3,0)*0.475*44/12</f>
        <v>19.15011884639172</v>
      </c>
      <c r="BR54" s="21">
        <f>EXP(-LN(2)/2)*BR53+(1-EXP(-LN(2)/2))/(LN(2)/2)*BL54*BO54*VLOOKUP('Données projet'!$B$11,Paramètres!$A$1:$I$89,3,0)*0.475*44/12</f>
        <v>3.5802911573031677</v>
      </c>
      <c r="BS54" s="22">
        <f t="shared" si="9"/>
        <v>37.660011270866626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770.25275773270221</v>
      </c>
      <c r="S55" s="59">
        <f ca="1">AVERAGE(OFFSET($R$3,0,0,'Données projet'!$E$9+1,1))-AVERAGE(OFFSET($H$3,0,0,'Données projet'!$E$9+1,1))</f>
        <v>737.40414421611001</v>
      </c>
      <c r="T55" s="59">
        <f t="shared" si="34"/>
        <v>245.32893490531674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178.07</v>
      </c>
      <c r="AG55" s="12">
        <f>VLOOKUP(A55,'Données projet'!$A$61:$I$81,9,0)</f>
        <v>10.001428571428571</v>
      </c>
      <c r="AH55" s="12">
        <f t="array" ref="AH55">INDEX(AG:AG,MIN(IF(ISNUMBER(AG55:AG251),ROW(AG55:AG251),"")))</f>
        <v>10.001428571428571</v>
      </c>
      <c r="AI55" s="13">
        <f>IF('Données projet'!$A$62&gt;35,AI54+AH55-AQ54,IF(A55&lt;'Données projet'!$A$62,$AF$205^A55,IF(A55='Données projet'!$A$62,'Données projet'!$B$62,AI54+AH55-AQ54)))</f>
        <v>178.06999999999996</v>
      </c>
      <c r="AJ55" s="13">
        <f>AI55*VLOOKUP('Données projet'!$B$10,Paramètres!$A$1:$I$89,3,0)*VLOOKUP('Données projet'!$B$10,Paramètres!$A$1:$I$89,5,0)</f>
        <v>169.45141199999998</v>
      </c>
      <c r="AK55" s="13">
        <f t="shared" si="35"/>
        <v>42.967135019238462</v>
      </c>
      <c r="AL55" s="20">
        <f t="shared" si="4"/>
        <v>369.96230272517363</v>
      </c>
      <c r="AM55" s="59">
        <f t="shared" si="5"/>
        <v>626.39758218875704</v>
      </c>
      <c r="AN55" s="59">
        <f ca="1">AVERAGE(OFFSET($AM$3,0,0,'Données projet'!$E$10+1,1))-AVERAGE(OFFSET($H$3,0,0,'Données projet'!$E$10+1,1))</f>
        <v>486.36097333679697</v>
      </c>
      <c r="AO55" s="59">
        <f t="shared" si="36"/>
        <v>308.47736602748159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44.400000000000006</v>
      </c>
      <c r="AR55" s="16">
        <f>IF(ISNA(VLOOKUP(A55,'Données projet'!$A$61:$I$81,5,0)),0%,VLOOKUP(A55,'Données projet'!$A$61:$I$81,5,0)*VLOOKUP('Données projet'!$B$10,Paramètres!$A$1:$I$89,7,0))</f>
        <v>0.15049999999999999</v>
      </c>
      <c r="AS55" s="16">
        <f>IF(ISNA(VLOOKUP(A55,'Données projet'!$A$61:$I$81,6,0)),0%,VLOOKUP(A55,'Données projet'!$A$61:$I$81,6,0)*VLOOKUP('Données projet'!$B$10,Paramètres!$A$1:$I$89,7,0))</f>
        <v>8.6000000000000007E-2</v>
      </c>
      <c r="AT55" s="16">
        <f>IF(ISNA(VLOOKUP(A55,'Données projet'!$A$61:$I$81,7,0)),0%,VLOOKUP(A55,'Données projet'!$A$61:$I$81,7,0))</f>
        <v>0.1</v>
      </c>
      <c r="AU55" s="21">
        <f>EXP(-LN(2)/35)*AU54+(1-EXP(-LN(2)/35))/(LN(2)/35)*AQ55*AR55*VLOOKUP('Données projet'!$B$10,Paramètres!$A$1:$I$89,3,0)*0.475*44/12</f>
        <v>7.0294446202815104</v>
      </c>
      <c r="AV55" s="21">
        <f>EXP(-LN(2)/25)*AV54+(1-EXP(-LN(2)/25))/(LN(2)/25)*Calculateur!AQ55*Calculateur!AS55*VLOOKUP('Données projet'!$B$10,Paramètres!$A$1:$I$89,3,0)*0.475*44/12</f>
        <v>33.875790722259239</v>
      </c>
      <c r="AW55" s="21">
        <f>EXP(-LN(2)/2)*AW54+(1-EXP(-LN(2)/2))/(LN(2)/2)*AQ55*AT55*VLOOKUP('Données projet'!$B$10,Paramètres!$A$1:$I$89,3,0)*0.475*44/12</f>
        <v>4.7486122180660786</v>
      </c>
      <c r="AX55" s="21">
        <f t="shared" si="6"/>
        <v>45.653847560606827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224.34048000000004</v>
      </c>
      <c r="BF55" s="13">
        <f t="shared" si="37"/>
        <v>55.057192232003722</v>
      </c>
      <c r="BG55" s="20">
        <f t="shared" si="7"/>
        <v>486.61761247073986</v>
      </c>
      <c r="BH55" s="59">
        <f t="shared" si="8"/>
        <v>743.05289193432327</v>
      </c>
      <c r="BI55" s="59">
        <f ca="1">AVERAGE(OFFSET($BH$3,0,0,'Données projet'!$E$11+1,1))-AVERAGE(OFFSET($H$3,0,0,'Données projet'!$E$11+1,1))</f>
        <v>408.246209980743</v>
      </c>
      <c r="BJ55" s="59">
        <f t="shared" si="38"/>
        <v>394.10236303013903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14.636840892480116</v>
      </c>
      <c r="BQ55" s="21">
        <f>EXP(-LN(2)/25)*BQ54+(1-EXP(-LN(2)/25))/(LN(2)/25)*Calculateur!BL55*Calculateur!BN55*VLOOKUP('Données projet'!$B$11,Paramètres!$A$1:$I$89,3,0)*0.475*44/12</f>
        <v>18.626457839476156</v>
      </c>
      <c r="BR55" s="21">
        <f>EXP(-LN(2)/2)*BR54+(1-EXP(-LN(2)/2))/(LN(2)/2)*BL55*BO55*VLOOKUP('Données projet'!$B$11,Paramètres!$A$1:$I$89,3,0)*0.475*44/12</f>
        <v>2.5316481559513022</v>
      </c>
      <c r="BS55" s="22">
        <f t="shared" si="9"/>
        <v>35.794946887907571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797.83480097596589</v>
      </c>
      <c r="S56" s="59">
        <f ca="1">AVERAGE(OFFSET($R$3,0,0,'Données projet'!$E$9+1,1))-AVERAGE(OFFSET($H$3,0,0,'Données projet'!$E$9+1,1))</f>
        <v>737.40414421611001</v>
      </c>
      <c r="T56" s="59">
        <f t="shared" si="34"/>
        <v>245.32893490531674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9.8828571428571443</v>
      </c>
      <c r="AI56" s="13">
        <f>IF('Données projet'!$A$62&gt;35,AI55+AH56-AQ55,IF(A56&lt;'Données projet'!$A$62,$AF$205^A56,IF(A56='Données projet'!$A$62,'Données projet'!$B$62,AI55+AH56-AQ55)))</f>
        <v>143.55285714285711</v>
      </c>
      <c r="AJ56" s="13">
        <f>AI56*VLOOKUP('Données projet'!$B$10,Paramètres!$A$1:$I$89,3,0)*VLOOKUP('Données projet'!$B$10,Paramètres!$A$1:$I$89,5,0)</f>
        <v>136.60489885714281</v>
      </c>
      <c r="AK56" s="13">
        <f t="shared" si="35"/>
        <v>35.518127724762081</v>
      </c>
      <c r="AL56" s="20">
        <f t="shared" si="4"/>
        <v>299.78093796348435</v>
      </c>
      <c r="AM56" s="59">
        <f t="shared" si="5"/>
        <v>556.85631617001764</v>
      </c>
      <c r="AN56" s="59">
        <f ca="1">AVERAGE(OFFSET($AM$3,0,0,'Données projet'!$E$10+1,1))-AVERAGE(OFFSET($H$3,0,0,'Données projet'!$E$10+1,1))</f>
        <v>486.36097333679697</v>
      </c>
      <c r="AO56" s="59">
        <f t="shared" si="36"/>
        <v>308.47736602748159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6.8916014988156489</v>
      </c>
      <c r="AV56" s="21">
        <f>EXP(-LN(2)/25)*AV55+(1-EXP(-LN(2)/25))/(LN(2)/25)*Calculateur!AQ56*Calculateur!AS56*VLOOKUP('Données projet'!$B$10,Paramètres!$A$1:$I$89,3,0)*0.475*44/12</f>
        <v>32.949455443508647</v>
      </c>
      <c r="AW56" s="21">
        <f>EXP(-LN(2)/2)*AW55+(1-EXP(-LN(2)/2))/(LN(2)/2)*AQ56*AT56*VLOOKUP('Données projet'!$B$10,Paramètres!$A$1:$I$89,3,0)*0.475*44/12</f>
        <v>3.3577759006198171</v>
      </c>
      <c r="AX56" s="21">
        <f t="shared" si="6"/>
        <v>43.198832842944114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230.80512000000002</v>
      </c>
      <c r="BF56" s="13">
        <f t="shared" si="37"/>
        <v>56.456731878408327</v>
      </c>
      <c r="BG56" s="20">
        <f t="shared" si="7"/>
        <v>500.3143920215611</v>
      </c>
      <c r="BH56" s="59">
        <f t="shared" si="8"/>
        <v>757.38977022809433</v>
      </c>
      <c r="BI56" s="59">
        <f ca="1">AVERAGE(OFFSET($BH$3,0,0,'Données projet'!$E$11+1,1))-AVERAGE(OFFSET($H$3,0,0,'Données projet'!$E$11+1,1))</f>
        <v>408.246209980743</v>
      </c>
      <c r="BJ56" s="59">
        <f t="shared" si="38"/>
        <v>394.10236303013903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14.349821370169998</v>
      </c>
      <c r="BQ56" s="21">
        <f>EXP(-LN(2)/25)*BQ55+(1-EXP(-LN(2)/25))/(LN(2)/25)*Calculateur!BL56*Calculateur!BN56*VLOOKUP('Données projet'!$B$11,Paramètres!$A$1:$I$89,3,0)*0.475*44/12</f>
        <v>18.117116370332834</v>
      </c>
      <c r="BR56" s="21">
        <f>EXP(-LN(2)/2)*BR55+(1-EXP(-LN(2)/2))/(LN(2)/2)*BL56*BO56*VLOOKUP('Données projet'!$B$11,Paramètres!$A$1:$I$89,3,0)*0.475*44/12</f>
        <v>1.7901455786515841</v>
      </c>
      <c r="BS56" s="22">
        <f t="shared" si="9"/>
        <v>34.257083319154411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825.37755768720513</v>
      </c>
      <c r="S57" s="59">
        <f ca="1">AVERAGE(OFFSET($R$3,0,0,'Données projet'!$E$9+1,1))-AVERAGE(OFFSET($H$3,0,0,'Données projet'!$E$9+1,1))</f>
        <v>737.40414421611001</v>
      </c>
      <c r="T57" s="59">
        <f t="shared" si="34"/>
        <v>245.32893490531674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9.8828571428571443</v>
      </c>
      <c r="AI57" s="13">
        <f>IF('Données projet'!$A$62&gt;35,AI56+AH57-AQ56,IF(A57&lt;'Données projet'!$A$62,$AF$205^A57,IF(A57='Données projet'!$A$62,'Données projet'!$B$62,AI56+AH57-AQ56)))</f>
        <v>153.43571428571425</v>
      </c>
      <c r="AJ57" s="13">
        <f>AI57*VLOOKUP('Données projet'!$B$10,Paramètres!$A$1:$I$89,3,0)*VLOOKUP('Données projet'!$B$10,Paramètres!$A$1:$I$89,5,0)</f>
        <v>146.0094257142857</v>
      </c>
      <c r="AK57" s="13">
        <f t="shared" si="35"/>
        <v>37.670295045235548</v>
      </c>
      <c r="AL57" s="20">
        <f t="shared" si="4"/>
        <v>319.90884698949952</v>
      </c>
      <c r="AM57" s="59">
        <f t="shared" si="5"/>
        <v>577.61321965683885</v>
      </c>
      <c r="AN57" s="59">
        <f ca="1">AVERAGE(OFFSET($AM$3,0,0,'Données projet'!$E$10+1,1))-AVERAGE(OFFSET($H$3,0,0,'Données projet'!$E$10+1,1))</f>
        <v>486.36097333679697</v>
      </c>
      <c r="AO57" s="59">
        <f t="shared" si="36"/>
        <v>308.47736602748159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6.7564613968857312</v>
      </c>
      <c r="AV57" s="21">
        <f>EXP(-LN(2)/25)*AV56+(1-EXP(-LN(2)/25))/(LN(2)/25)*Calculateur!AQ57*Calculateur!AS57*VLOOKUP('Données projet'!$B$10,Paramètres!$A$1:$I$89,3,0)*0.475*44/12</f>
        <v>32.048450851669351</v>
      </c>
      <c r="AW57" s="21">
        <f>EXP(-LN(2)/2)*AW56+(1-EXP(-LN(2)/2))/(LN(2)/2)*AQ57*AT57*VLOOKUP('Données projet'!$B$10,Paramètres!$A$1:$I$89,3,0)*0.475*44/12</f>
        <v>2.3743061090330397</v>
      </c>
      <c r="AX57" s="21">
        <f t="shared" si="6"/>
        <v>41.179218357588127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237.26976000000002</v>
      </c>
      <c r="BF57" s="13">
        <f t="shared" si="37"/>
        <v>57.851715465847946</v>
      </c>
      <c r="BG57" s="20">
        <f t="shared" si="7"/>
        <v>514.00323643635181</v>
      </c>
      <c r="BH57" s="59">
        <f t="shared" si="8"/>
        <v>771.70760910369108</v>
      </c>
      <c r="BI57" s="59">
        <f ca="1">AVERAGE(OFFSET($BH$3,0,0,'Données projet'!$E$11+1,1))-AVERAGE(OFFSET($H$3,0,0,'Données projet'!$E$11+1,1))</f>
        <v>408.246209980743</v>
      </c>
      <c r="BJ57" s="59">
        <f t="shared" si="38"/>
        <v>394.10236303013903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14.06843012562776</v>
      </c>
      <c r="BQ57" s="21">
        <f>EXP(-LN(2)/25)*BQ56+(1-EXP(-LN(2)/25))/(LN(2)/25)*Calculateur!BL57*Calculateur!BN57*VLOOKUP('Données projet'!$B$11,Paramètres!$A$1:$I$89,3,0)*0.475*44/12</f>
        <v>17.621702870448338</v>
      </c>
      <c r="BR57" s="21">
        <f>EXP(-LN(2)/2)*BR56+(1-EXP(-LN(2)/2))/(LN(2)/2)*BL57*BO57*VLOOKUP('Données projet'!$B$11,Paramètres!$A$1:$I$89,3,0)*0.475*44/12</f>
        <v>1.2658240779756513</v>
      </c>
      <c r="BS57" s="22">
        <f t="shared" si="9"/>
        <v>32.955957074051753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852.88274281476765</v>
      </c>
      <c r="S58" s="59">
        <f ca="1">AVERAGE(OFFSET($R$3,0,0,'Données projet'!$E$9+1,1))-AVERAGE(OFFSET($H$3,0,0,'Données projet'!$E$9+1,1))</f>
        <v>737.40414421611001</v>
      </c>
      <c r="T58" s="59">
        <f t="shared" si="34"/>
        <v>245.32893490531674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9.8828571428571443</v>
      </c>
      <c r="AI58" s="13">
        <f>IF('Données projet'!$A$62&gt;35,AI57+AH58-AQ57,IF(A58&lt;'Données projet'!$A$62,$AF$205^A58,IF(A58='Données projet'!$A$62,'Données projet'!$B$62,AI57+AH58-AQ57)))</f>
        <v>163.3185714285714</v>
      </c>
      <c r="AJ58" s="13">
        <f>AI58*VLOOKUP('Données projet'!$B$10,Paramètres!$A$1:$I$89,3,0)*VLOOKUP('Données projet'!$B$10,Paramètres!$A$1:$I$89,5,0)</f>
        <v>155.41395257142855</v>
      </c>
      <c r="AK58" s="13">
        <f t="shared" si="35"/>
        <v>39.806375365418063</v>
      </c>
      <c r="AL58" s="20">
        <f t="shared" si="4"/>
        <v>340.00873782334116</v>
      </c>
      <c r="AM58" s="59">
        <f t="shared" si="5"/>
        <v>598.3311933038126</v>
      </c>
      <c r="AN58" s="59">
        <f ca="1">AVERAGE(OFFSET($AM$3,0,0,'Données projet'!$E$10+1,1))-AVERAGE(OFFSET($H$3,0,0,'Données projet'!$E$10+1,1))</f>
        <v>486.36097333679697</v>
      </c>
      <c r="AO58" s="59">
        <f t="shared" si="36"/>
        <v>308.47736602748159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6.6239713099273354</v>
      </c>
      <c r="AV58" s="21">
        <f>EXP(-LN(2)/25)*AV57+(1-EXP(-LN(2)/25))/(LN(2)/25)*Calculateur!AQ58*Calculateur!AS58*VLOOKUP('Données projet'!$B$10,Paramètres!$A$1:$I$89,3,0)*0.475*44/12</f>
        <v>31.172084277775671</v>
      </c>
      <c r="AW58" s="21">
        <f>EXP(-LN(2)/2)*AW57+(1-EXP(-LN(2)/2))/(LN(2)/2)*AQ58*AT58*VLOOKUP('Données projet'!$B$10,Paramètres!$A$1:$I$89,3,0)*0.475*44/12</f>
        <v>1.6788879503099088</v>
      </c>
      <c r="AX58" s="21">
        <f t="shared" si="6"/>
        <v>39.474943538012916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243.73439999999997</v>
      </c>
      <c r="BF58" s="13">
        <f t="shared" si="37"/>
        <v>59.242281392848817</v>
      </c>
      <c r="BG58" s="20">
        <f t="shared" si="7"/>
        <v>527.68438675921152</v>
      </c>
      <c r="BH58" s="59">
        <f t="shared" si="8"/>
        <v>786.0068422396829</v>
      </c>
      <c r="BI58" s="59">
        <f ca="1">AVERAGE(OFFSET($BH$3,0,0,'Données projet'!$E$11+1,1))-AVERAGE(OFFSET($H$3,0,0,'Données projet'!$E$11+1,1))</f>
        <v>408.246209980743</v>
      </c>
      <c r="BJ58" s="59">
        <f t="shared" si="38"/>
        <v>394.10236303013903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15.839923309706451</v>
      </c>
      <c r="BQ58" s="21">
        <f>EXP(-LN(2)/25)*BQ57+(1-EXP(-LN(2)/25))/(LN(2)/25)*Calculateur!BL58*Calculateur!BN58*VLOOKUP('Données projet'!$B$11,Paramètres!$A$1:$I$89,3,0)*0.475*44/12</f>
        <v>19.179141734629059</v>
      </c>
      <c r="BR58" s="21">
        <f>EXP(-LN(2)/2)*BR57+(1-EXP(-LN(2)/2))/(LN(2)/2)*BL58*BO58*VLOOKUP('Données projet'!$B$11,Paramètres!$A$1:$I$89,3,0)*0.475*44/12</f>
        <v>4.1921332397228612</v>
      </c>
      <c r="BS58" s="22">
        <f t="shared" si="9"/>
        <v>39.211198284058376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880.35191922268427</v>
      </c>
      <c r="S59" s="59">
        <f ca="1">AVERAGE(OFFSET($R$3,0,0,'Données projet'!$E$9+1,1))-AVERAGE(OFFSET($H$3,0,0,'Données projet'!$E$9+1,1))</f>
        <v>737.40414421611001</v>
      </c>
      <c r="T59" s="59">
        <f t="shared" si="34"/>
        <v>245.32893490531674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9.8828571428571443</v>
      </c>
      <c r="AI59" s="13">
        <f>IF('Données projet'!$A$62&gt;35,AI58+AH59-AQ58,IF(A59&lt;'Données projet'!$A$62,$AF$205^A59,IF(A59='Données projet'!$A$62,'Données projet'!$B$62,AI58+AH59-AQ58)))</f>
        <v>173.20142857142855</v>
      </c>
      <c r="AJ59" s="13">
        <f>AI59*VLOOKUP('Données projet'!$B$10,Paramètres!$A$1:$I$89,3,0)*VLOOKUP('Données projet'!$B$10,Paramètres!$A$1:$I$89,5,0)</f>
        <v>164.81847942857141</v>
      </c>
      <c r="AK59" s="13">
        <f t="shared" si="35"/>
        <v>41.927453010205141</v>
      </c>
      <c r="AL59" s="20">
        <f t="shared" si="4"/>
        <v>360.08249899753582</v>
      </c>
      <c r="AM59" s="59">
        <f t="shared" si="5"/>
        <v>619.01231493615751</v>
      </c>
      <c r="AN59" s="59">
        <f ca="1">AVERAGE(OFFSET($AM$3,0,0,'Données projet'!$E$10+1,1))-AVERAGE(OFFSET($H$3,0,0,'Données projet'!$E$10+1,1))</f>
        <v>486.36097333679697</v>
      </c>
      <c r="AO59" s="59">
        <f t="shared" si="36"/>
        <v>308.47736602748159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6.4940792727632202</v>
      </c>
      <c r="AV59" s="21">
        <f>EXP(-LN(2)/25)*AV58+(1-EXP(-LN(2)/25))/(LN(2)/25)*Calculateur!AQ59*Calculateur!AS59*VLOOKUP('Données projet'!$B$10,Paramètres!$A$1:$I$89,3,0)*0.475*44/12</f>
        <v>30.319681993931226</v>
      </c>
      <c r="AW59" s="21">
        <f>EXP(-LN(2)/2)*AW58+(1-EXP(-LN(2)/2))/(LN(2)/2)*AQ59*AT59*VLOOKUP('Données projet'!$B$10,Paramètres!$A$1:$I$89,3,0)*0.475*44/12</f>
        <v>1.1871530545165201</v>
      </c>
      <c r="AX59" s="21">
        <f t="shared" si="6"/>
        <v>38.000914321210971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235.17311999999998</v>
      </c>
      <c r="BF59" s="13">
        <f t="shared" si="37"/>
        <v>57.399778925799218</v>
      </c>
      <c r="BG59" s="20">
        <f t="shared" si="7"/>
        <v>509.56446562910031</v>
      </c>
      <c r="BH59" s="59">
        <f t="shared" si="8"/>
        <v>768.49428156772206</v>
      </c>
      <c r="BI59" s="59">
        <f ca="1">AVERAGE(OFFSET($BH$3,0,0,'Données projet'!$E$11+1,1))-AVERAGE(OFFSET($H$3,0,0,'Données projet'!$E$11+1,1))</f>
        <v>408.246209980743</v>
      </c>
      <c r="BJ59" s="59">
        <f t="shared" si="38"/>
        <v>394.10236303013903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15.529312075002343</v>
      </c>
      <c r="BQ59" s="21">
        <f>EXP(-LN(2)/25)*BQ58+(1-EXP(-LN(2)/25))/(LN(2)/25)*Calculateur!BL59*Calculateur!BN59*VLOOKUP('Données projet'!$B$11,Paramètres!$A$1:$I$89,3,0)*0.475*44/12</f>
        <v>18.654687095308397</v>
      </c>
      <c r="BR59" s="21">
        <f>EXP(-LN(2)/2)*BR58+(1-EXP(-LN(2)/2))/(LN(2)/2)*BL59*BO59*VLOOKUP('Données projet'!$B$11,Paramètres!$A$1:$I$89,3,0)*0.475*44/12</f>
        <v>2.9642858414455659</v>
      </c>
      <c r="BS59" s="22">
        <f t="shared" si="9"/>
        <v>37.148285011756307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907.78651821088329</v>
      </c>
      <c r="S60" s="59">
        <f ca="1">AVERAGE(OFFSET($R$3,0,0,'Données projet'!$E$9+1,1))-AVERAGE(OFFSET($H$3,0,0,'Données projet'!$E$9+1,1))</f>
        <v>737.40414421611001</v>
      </c>
      <c r="T60" s="59">
        <f t="shared" si="34"/>
        <v>245.32893490531674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9.8828571428571443</v>
      </c>
      <c r="AI60" s="13">
        <f>IF('Données projet'!$A$62&gt;35,AI59+AH60-AQ59,IF(A60&lt;'Données projet'!$A$62,$AF$205^A60,IF(A60='Données projet'!$A$62,'Données projet'!$B$62,AI59+AH60-AQ59)))</f>
        <v>183.0842857142857</v>
      </c>
      <c r="AJ60" s="13">
        <f>AI60*VLOOKUP('Données projet'!$B$10,Paramètres!$A$1:$I$89,3,0)*VLOOKUP('Données projet'!$B$10,Paramètres!$A$1:$I$89,5,0)</f>
        <v>174.22300628571426</v>
      </c>
      <c r="AK60" s="13">
        <f t="shared" si="35"/>
        <v>44.034481572204157</v>
      </c>
      <c r="AL60" s="20">
        <f t="shared" si="4"/>
        <v>380.13179135254126</v>
      </c>
      <c r="AM60" s="59">
        <f t="shared" si="5"/>
        <v>639.65843140321897</v>
      </c>
      <c r="AN60" s="59">
        <f ca="1">AVERAGE(OFFSET($AM$3,0,0,'Données projet'!$E$10+1,1))-AVERAGE(OFFSET($H$3,0,0,'Données projet'!$E$10+1,1))</f>
        <v>486.36097333679697</v>
      </c>
      <c r="AO60" s="59">
        <f t="shared" si="36"/>
        <v>308.47736602748159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6.3667343392215736</v>
      </c>
      <c r="AV60" s="21">
        <f>EXP(-LN(2)/25)*AV59+(1-EXP(-LN(2)/25))/(LN(2)/25)*Calculateur!AQ60*Calculateur!AS60*VLOOKUP('Données projet'!$B$10,Paramètres!$A$1:$I$89,3,0)*0.475*44/12</f>
        <v>29.490588695364398</v>
      </c>
      <c r="AW60" s="21">
        <f>EXP(-LN(2)/2)*AW59+(1-EXP(-LN(2)/2))/(LN(2)/2)*AQ60*AT60*VLOOKUP('Données projet'!$B$10,Paramètres!$A$1:$I$89,3,0)*0.475*44/12</f>
        <v>0.8394439751549545</v>
      </c>
      <c r="AX60" s="21">
        <f t="shared" si="6"/>
        <v>36.696767009740931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240.58943999999994</v>
      </c>
      <c r="BF60" s="13">
        <f t="shared" si="37"/>
        <v>58.56633325847811</v>
      </c>
      <c r="BG60" s="20">
        <f t="shared" si="7"/>
        <v>521.02963842518261</v>
      </c>
      <c r="BH60" s="59">
        <f t="shared" si="8"/>
        <v>780.55627847586038</v>
      </c>
      <c r="BI60" s="59">
        <f ca="1">AVERAGE(OFFSET($BH$3,0,0,'Données projet'!$E$11+1,1))-AVERAGE(OFFSET($H$3,0,0,'Données projet'!$E$11+1,1))</f>
        <v>408.246209980743</v>
      </c>
      <c r="BJ60" s="59">
        <f t="shared" si="38"/>
        <v>394.10236303013903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15.224791737156636</v>
      </c>
      <c r="BQ60" s="21">
        <f>EXP(-LN(2)/25)*BQ59+(1-EXP(-LN(2)/25))/(LN(2)/25)*Calculateur!BL60*Calculateur!BN60*VLOOKUP('Données projet'!$B$11,Paramètres!$A$1:$I$89,3,0)*0.475*44/12</f>
        <v>18.144573695679831</v>
      </c>
      <c r="BR60" s="21">
        <f>EXP(-LN(2)/2)*BR59+(1-EXP(-LN(2)/2))/(LN(2)/2)*BL60*BO60*VLOOKUP('Données projet'!$B$11,Paramètres!$A$1:$I$89,3,0)*0.475*44/12</f>
        <v>2.0960666198614311</v>
      </c>
      <c r="BS60" s="22">
        <f t="shared" si="9"/>
        <v>35.465432052697899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935.18785647237303</v>
      </c>
      <c r="S61" s="59">
        <f ca="1">AVERAGE(OFFSET($R$3,0,0,'Données projet'!$E$9+1,1))-AVERAGE(OFFSET($H$3,0,0,'Données projet'!$E$9+1,1))</f>
        <v>737.40414421611001</v>
      </c>
      <c r="T61" s="59">
        <f t="shared" si="34"/>
        <v>245.32893490531674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9.8828571428571443</v>
      </c>
      <c r="AI61" s="13">
        <f>IF('Données projet'!$A$62&gt;35,AI60+AH61-AQ60,IF(A61&lt;'Données projet'!$A$62,$AF$205^A61,IF(A61='Données projet'!$A$62,'Données projet'!$B$62,AI60+AH61-AQ60)))</f>
        <v>192.96714285714285</v>
      </c>
      <c r="AJ61" s="13">
        <f>AI61*VLOOKUP('Données projet'!$B$10,Paramètres!$A$1:$I$89,3,0)*VLOOKUP('Données projet'!$B$10,Paramètres!$A$1:$I$89,5,0)</f>
        <v>183.62753314285715</v>
      </c>
      <c r="AK61" s="13">
        <f t="shared" si="35"/>
        <v>46.128305880116194</v>
      </c>
      <c r="AL61" s="20">
        <f t="shared" si="4"/>
        <v>400.15808629834527</v>
      </c>
      <c r="AM61" s="59">
        <f t="shared" si="5"/>
        <v>660.27119689703363</v>
      </c>
      <c r="AN61" s="59">
        <f ca="1">AVERAGE(OFFSET($AM$3,0,0,'Données projet'!$E$10+1,1))-AVERAGE(OFFSET($H$3,0,0,'Données projet'!$E$10+1,1))</f>
        <v>486.36097333679697</v>
      </c>
      <c r="AO61" s="59">
        <f t="shared" si="36"/>
        <v>308.47736602748159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6.2418865621539394</v>
      </c>
      <c r="AV61" s="21">
        <f>EXP(-LN(2)/25)*AV60+(1-EXP(-LN(2)/25))/(LN(2)/25)*Calculateur!AQ61*Calculateur!AS61*VLOOKUP('Données projet'!$B$10,Paramètres!$A$1:$I$89,3,0)*0.475*44/12</f>
        <v>28.684166996647001</v>
      </c>
      <c r="AW61" s="21">
        <f>EXP(-LN(2)/2)*AW60+(1-EXP(-LN(2)/2))/(LN(2)/2)*AQ61*AT61*VLOOKUP('Données projet'!$B$10,Paramètres!$A$1:$I$89,3,0)*0.475*44/12</f>
        <v>0.59357652725826004</v>
      </c>
      <c r="AX61" s="21">
        <f t="shared" si="6"/>
        <v>35.519630086059195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246.00575999999995</v>
      </c>
      <c r="BF61" s="13">
        <f t="shared" si="37"/>
        <v>59.729834388897928</v>
      </c>
      <c r="BG61" s="20">
        <f t="shared" si="7"/>
        <v>532.48949356066385</v>
      </c>
      <c r="BH61" s="59">
        <f t="shared" si="8"/>
        <v>792.60260415935227</v>
      </c>
      <c r="BI61" s="59">
        <f ca="1">AVERAGE(OFFSET($BH$3,0,0,'Données projet'!$E$11+1,1))-AVERAGE(OFFSET($H$3,0,0,'Données projet'!$E$11+1,1))</f>
        <v>408.246209980743</v>
      </c>
      <c r="BJ61" s="59">
        <f t="shared" si="38"/>
        <v>394.10236303013903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14.926242857397018</v>
      </c>
      <c r="BQ61" s="21">
        <f>EXP(-LN(2)/25)*BQ60+(1-EXP(-LN(2)/25))/(LN(2)/25)*Calculateur!BL61*Calculateur!BN61*VLOOKUP('Données projet'!$B$11,Paramètres!$A$1:$I$89,3,0)*0.475*44/12</f>
        <v>17.648409373789807</v>
      </c>
      <c r="BR61" s="21">
        <f>EXP(-LN(2)/2)*BR60+(1-EXP(-LN(2)/2))/(LN(2)/2)*BL61*BO61*VLOOKUP('Données projet'!$B$11,Paramètres!$A$1:$I$89,3,0)*0.475*44/12</f>
        <v>1.4821429207227834</v>
      </c>
      <c r="BS61" s="22">
        <f t="shared" si="9"/>
        <v>34.056795151909611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835.99746089785162</v>
      </c>
      <c r="S62" s="59">
        <f ca="1">AVERAGE(OFFSET($R$3,0,0,'Données projet'!$E$9+1,1))-AVERAGE(OFFSET($H$3,0,0,'Données projet'!$E$9+1,1))</f>
        <v>737.40414421611001</v>
      </c>
      <c r="T62" s="59">
        <f t="shared" si="34"/>
        <v>245.32893490531674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202.85</v>
      </c>
      <c r="AG62" s="12">
        <f>VLOOKUP(A62,'Données projet'!$A$61:$I$81,9,0)</f>
        <v>9.8828571428571443</v>
      </c>
      <c r="AH62" s="12">
        <f t="array" ref="AH62">INDEX(AG:AG,MIN(IF(ISNUMBER(AG62:AG258),ROW(AG62:AG258),"")))</f>
        <v>9.8828571428571443</v>
      </c>
      <c r="AI62" s="13">
        <f>IF('Données projet'!$A$62&gt;35,AI61+AH62-AQ61,IF(A62&lt;'Données projet'!$A$62,$AF$205^A62,IF(A62='Données projet'!$A$62,'Données projet'!$B$62,AI61+AH62-AQ61)))</f>
        <v>202.85</v>
      </c>
      <c r="AJ62" s="13">
        <f>AI62*VLOOKUP('Données projet'!$B$10,Paramètres!$A$1:$I$89,3,0)*VLOOKUP('Données projet'!$B$10,Paramètres!$A$1:$I$89,5,0)</f>
        <v>193.03206</v>
      </c>
      <c r="AK62" s="13">
        <f t="shared" si="35"/>
        <v>48.20967933854056</v>
      </c>
      <c r="AL62" s="20">
        <f t="shared" si="4"/>
        <v>420.16269601462477</v>
      </c>
      <c r="AM62" s="59">
        <f t="shared" si="5"/>
        <v>680.8521032084675</v>
      </c>
      <c r="AN62" s="59">
        <f ca="1">AVERAGE(OFFSET($AM$3,0,0,'Données projet'!$E$10+1,1))-AVERAGE(OFFSET($H$3,0,0,'Données projet'!$E$10+1,1))</f>
        <v>486.36097333679697</v>
      </c>
      <c r="AO62" s="59">
        <f t="shared" si="36"/>
        <v>308.47736602748159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41.81</v>
      </c>
      <c r="AR62" s="16">
        <f>IF(ISNA(VLOOKUP(A62,'Données projet'!$A$61:$I$81,5,0)),0%,VLOOKUP(A62,'Données projet'!$A$61:$I$81,5,0)*VLOOKUP('Données projet'!$B$10,Paramètres!$A$1:$I$89,7,0))</f>
        <v>0.15049999999999999</v>
      </c>
      <c r="AS62" s="16">
        <f>IF(ISNA(VLOOKUP(A62,'Données projet'!$A$61:$I$81,6,0)),0%,VLOOKUP(A62,'Données projet'!$A$61:$I$81,6,0)*VLOOKUP('Données projet'!$B$10,Paramètres!$A$1:$I$89,7,0))</f>
        <v>8.6000000000000007E-2</v>
      </c>
      <c r="AT62" s="16">
        <f>IF(ISNA(VLOOKUP(A62,'Données projet'!$A$61:$I$81,7,0)),0%,VLOOKUP(A62,'Données projet'!$A$61:$I$81,7,0))</f>
        <v>0.1</v>
      </c>
      <c r="AU62" s="21">
        <f>EXP(-LN(2)/35)*AU61+(1-EXP(-LN(2)/35))/(LN(2)/35)*AQ62*AR62*VLOOKUP('Données projet'!$B$10,Paramètres!$A$1:$I$89,3,0)*0.475*44/12</f>
        <v>12.738880657943398</v>
      </c>
      <c r="AV62" s="21">
        <f>EXP(-LN(2)/25)*AV61+(1-EXP(-LN(2)/25))/(LN(2)/25)*Calculateur!AQ62*Calculateur!AS62*VLOOKUP('Données projet'!$B$10,Paramètres!$A$1:$I$89,3,0)*0.475*44/12</f>
        <v>31.667414432533132</v>
      </c>
      <c r="AW62" s="21">
        <f>EXP(-LN(2)/2)*AW61+(1-EXP(-LN(2)/2))/(LN(2)/2)*AQ62*AT62*VLOOKUP('Données projet'!$B$10,Paramètres!$A$1:$I$89,3,0)*0.475*44/12</f>
        <v>4.1736755336922924</v>
      </c>
      <c r="AX62" s="21">
        <f t="shared" si="6"/>
        <v>48.579970624168823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251.42207999999994</v>
      </c>
      <c r="BF62" s="13">
        <f t="shared" si="37"/>
        <v>60.890357280401872</v>
      </c>
      <c r="BG62" s="20">
        <f t="shared" si="7"/>
        <v>543.94416159669981</v>
      </c>
      <c r="BH62" s="59">
        <f t="shared" si="8"/>
        <v>804.63356879054254</v>
      </c>
      <c r="BI62" s="59">
        <f ca="1">AVERAGE(OFFSET($BH$3,0,0,'Données projet'!$E$11+1,1))-AVERAGE(OFFSET($H$3,0,0,'Données projet'!$E$11+1,1))</f>
        <v>408.246209980743</v>
      </c>
      <c r="BJ62" s="59">
        <f t="shared" si="38"/>
        <v>394.10236303013903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14.633548339072648</v>
      </c>
      <c r="BQ62" s="21">
        <f>EXP(-LN(2)/25)*BQ61+(1-EXP(-LN(2)/25))/(LN(2)/25)*Calculateur!BL62*Calculateur!BN62*VLOOKUP('Données projet'!$B$11,Paramètres!$A$1:$I$89,3,0)*0.475*44/12</f>
        <v>17.165812691374011</v>
      </c>
      <c r="BR62" s="21">
        <f>EXP(-LN(2)/2)*BR61+(1-EXP(-LN(2)/2))/(LN(2)/2)*BL62*BO62*VLOOKUP('Données projet'!$B$11,Paramètres!$A$1:$I$89,3,0)*0.475*44/12</f>
        <v>1.0480333099307158</v>
      </c>
      <c r="BS62" s="22">
        <f t="shared" si="9"/>
        <v>32.847394340377377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862.38640980142895</v>
      </c>
      <c r="S63" s="59">
        <f ca="1">AVERAGE(OFFSET($R$3,0,0,'Données projet'!$E$9+1,1))-AVERAGE(OFFSET($H$3,0,0,'Données projet'!$E$9+1,1))</f>
        <v>737.40414421611001</v>
      </c>
      <c r="T63" s="59">
        <f t="shared" si="34"/>
        <v>245.32893490531674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9.7525000000000013</v>
      </c>
      <c r="AI63" s="13">
        <f>IF('Données projet'!$A$62&gt;35,AI62+AH63-AQ62,IF(A63&lt;'Données projet'!$A$62,$AF$205^A63,IF(A63='Données projet'!$A$62,'Données projet'!$B$62,AI62+AH63-AQ62)))</f>
        <v>170.79249999999999</v>
      </c>
      <c r="AJ63" s="13">
        <f>AI63*VLOOKUP('Données projet'!$B$10,Paramètres!$A$1:$I$89,3,0)*VLOOKUP('Données projet'!$B$10,Paramètres!$A$1:$I$89,5,0)</f>
        <v>162.52614299999999</v>
      </c>
      <c r="AK63" s="13">
        <f t="shared" si="35"/>
        <v>41.411773501591178</v>
      </c>
      <c r="AL63" s="20">
        <f t="shared" si="4"/>
        <v>355.19187124027127</v>
      </c>
      <c r="AM63" s="59">
        <f t="shared" si="5"/>
        <v>616.44757757174875</v>
      </c>
      <c r="AN63" s="59">
        <f ca="1">AVERAGE(OFFSET($AM$3,0,0,'Données projet'!$E$10+1,1))-AVERAGE(OFFSET($H$3,0,0,'Données projet'!$E$10+1,1))</f>
        <v>486.36097333679697</v>
      </c>
      <c r="AO63" s="59">
        <f t="shared" si="36"/>
        <v>308.47736602748159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12.48907897819111</v>
      </c>
      <c r="AV63" s="21">
        <f>EXP(-LN(2)/25)*AV62+(1-EXP(-LN(2)/25))/(LN(2)/25)*Calculateur!AQ63*Calculateur!AS63*VLOOKUP('Données projet'!$B$10,Paramètres!$A$1:$I$89,3,0)*0.475*44/12</f>
        <v>30.801467319558565</v>
      </c>
      <c r="AW63" s="21">
        <f>EXP(-LN(2)/2)*AW62+(1-EXP(-LN(2)/2))/(LN(2)/2)*AQ63*AT63*VLOOKUP('Données projet'!$B$10,Paramètres!$A$1:$I$89,3,0)*0.475*44/12</f>
        <v>2.9512342723462028</v>
      </c>
      <c r="AX63" s="21">
        <f t="shared" si="6"/>
        <v>46.241780570095877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256.83839999999992</v>
      </c>
      <c r="BF63" s="13">
        <f t="shared" si="37"/>
        <v>62.047973482014044</v>
      </c>
      <c r="BG63" s="20">
        <f t="shared" si="7"/>
        <v>555.39376714784089</v>
      </c>
      <c r="BH63" s="59">
        <f t="shared" si="8"/>
        <v>816.64947347931843</v>
      </c>
      <c r="BI63" s="59">
        <f ca="1">AVERAGE(OFFSET($BH$3,0,0,'Données projet'!$E$11+1,1))-AVERAGE(OFFSET($H$3,0,0,'Données projet'!$E$11+1,1))</f>
        <v>408.246209980743</v>
      </c>
      <c r="BJ63" s="59">
        <f t="shared" si="38"/>
        <v>394.10236303013903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16.138039084930366</v>
      </c>
      <c r="BQ63" s="21">
        <f>EXP(-LN(2)/25)*BQ62+(1-EXP(-LN(2)/25))/(LN(2)/25)*Calculateur!BL63*Calculateur!BN63*VLOOKUP('Données projet'!$B$11,Paramètres!$A$1:$I$89,3,0)*0.475*44/12</f>
        <v>18.480804739493465</v>
      </c>
      <c r="BR63" s="21">
        <f>EXP(-LN(2)/2)*BR62+(1-EXP(-LN(2)/2))/(LN(2)/2)*BL63*BO63*VLOOKUP('Données projet'!$B$11,Paramètres!$A$1:$I$89,3,0)*0.475*44/12</f>
        <v>3.6259993544588274</v>
      </c>
      <c r="BS63" s="22">
        <f t="shared" si="9"/>
        <v>38.244843178882661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888.74249104268529</v>
      </c>
      <c r="S64" s="59">
        <f ca="1">AVERAGE(OFFSET($R$3,0,0,'Données projet'!$E$9+1,1))-AVERAGE(OFFSET($H$3,0,0,'Données projet'!$E$9+1,1))</f>
        <v>737.40414421611001</v>
      </c>
      <c r="T64" s="59">
        <f t="shared" si="34"/>
        <v>245.32893490531674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9.7525000000000013</v>
      </c>
      <c r="AI64" s="13">
        <f>IF('Données projet'!$A$62&gt;35,AI63+AH64-AQ63,IF(A64&lt;'Données projet'!$A$62,$AF$205^A64,IF(A64='Données projet'!$A$62,'Données projet'!$B$62,AI63+AH64-AQ63)))</f>
        <v>180.54499999999999</v>
      </c>
      <c r="AJ64" s="13">
        <f>AI64*VLOOKUP('Données projet'!$B$10,Paramètres!$A$1:$I$89,3,0)*VLOOKUP('Données projet'!$B$10,Paramètres!$A$1:$I$89,5,0)</f>
        <v>171.806622</v>
      </c>
      <c r="AK64" s="13">
        <f t="shared" si="35"/>
        <v>43.494397538625861</v>
      </c>
      <c r="AL64" s="20">
        <f t="shared" si="4"/>
        <v>374.98260902977336</v>
      </c>
      <c r="AM64" s="59">
        <f t="shared" si="5"/>
        <v>636.7947904749027</v>
      </c>
      <c r="AN64" s="59">
        <f ca="1">AVERAGE(OFFSET($AM$3,0,0,'Données projet'!$E$10+1,1))-AVERAGE(OFFSET($H$3,0,0,'Données projet'!$E$10+1,1))</f>
        <v>486.36097333679697</v>
      </c>
      <c r="AO64" s="59">
        <f t="shared" si="36"/>
        <v>308.47736602748159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12.244175757014785</v>
      </c>
      <c r="AV64" s="21">
        <f>EXP(-LN(2)/25)*AV63+(1-EXP(-LN(2)/25))/(LN(2)/25)*Calculateur!AQ64*Calculateur!AS64*VLOOKUP('Données projet'!$B$10,Paramètres!$A$1:$I$89,3,0)*0.475*44/12</f>
        <v>29.959199575926469</v>
      </c>
      <c r="AW64" s="21">
        <f>EXP(-LN(2)/2)*AW63+(1-EXP(-LN(2)/2))/(LN(2)/2)*AQ64*AT64*VLOOKUP('Données projet'!$B$10,Paramètres!$A$1:$I$89,3,0)*0.475*44/12</f>
        <v>2.0868377668461462</v>
      </c>
      <c r="AX64" s="21">
        <f t="shared" si="6"/>
        <v>44.290213099787401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249.15071999999989</v>
      </c>
      <c r="BF64" s="13">
        <f t="shared" si="37"/>
        <v>60.404044320946248</v>
      </c>
      <c r="BG64" s="20">
        <f t="shared" si="7"/>
        <v>539.1412145256478</v>
      </c>
      <c r="BH64" s="59">
        <f t="shared" si="8"/>
        <v>800.95339597077714</v>
      </c>
      <c r="BI64" s="59">
        <f ca="1">AVERAGE(OFFSET($BH$3,0,0,'Données projet'!$E$11+1,1))-AVERAGE(OFFSET($H$3,0,0,'Données projet'!$E$11+1,1))</f>
        <v>408.246209980743</v>
      </c>
      <c r="BJ64" s="59">
        <f t="shared" si="38"/>
        <v>394.10236303013903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15.821581981706785</v>
      </c>
      <c r="BQ64" s="21">
        <f>EXP(-LN(2)/25)*BQ63+(1-EXP(-LN(2)/25))/(LN(2)/25)*Calculateur!BL64*Calculateur!BN64*VLOOKUP('Données projet'!$B$11,Paramètres!$A$1:$I$89,3,0)*0.475*44/12</f>
        <v>17.975446162028732</v>
      </c>
      <c r="BR64" s="21">
        <f>EXP(-LN(2)/2)*BR63+(1-EXP(-LN(2)/2))/(LN(2)/2)*BL64*BO64*VLOOKUP('Données projet'!$B$11,Paramètres!$A$1:$I$89,3,0)*0.475*44/12</f>
        <v>2.5639687321158808</v>
      </c>
      <c r="BS64" s="22">
        <f t="shared" si="9"/>
        <v>36.360996875851399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915.06695550529616</v>
      </c>
      <c r="S65" s="59">
        <f ca="1">AVERAGE(OFFSET($R$3,0,0,'Données projet'!$E$9+1,1))-AVERAGE(OFFSET($H$3,0,0,'Données projet'!$E$9+1,1))</f>
        <v>737.40414421611001</v>
      </c>
      <c r="T65" s="59">
        <f t="shared" si="34"/>
        <v>245.32893490531674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9.7525000000000013</v>
      </c>
      <c r="AI65" s="13">
        <f>IF('Données projet'!$A$62&gt;35,AI64+AH65-AQ64,IF(A65&lt;'Données projet'!$A$62,$AF$205^A65,IF(A65='Données projet'!$A$62,'Données projet'!$B$62,AI64+AH65-AQ64)))</f>
        <v>190.29749999999999</v>
      </c>
      <c r="AJ65" s="13">
        <f>AI65*VLOOKUP('Données projet'!$B$10,Paramètres!$A$1:$I$89,3,0)*VLOOKUP('Données projet'!$B$10,Paramètres!$A$1:$I$89,5,0)</f>
        <v>181.08710099999999</v>
      </c>
      <c r="AK65" s="13">
        <f t="shared" si="35"/>
        <v>45.563961288072498</v>
      </c>
      <c r="AL65" s="20">
        <f t="shared" si="4"/>
        <v>394.7506001517263</v>
      </c>
      <c r="AM65" s="59">
        <f t="shared" si="5"/>
        <v>657.10960311137762</v>
      </c>
      <c r="AN65" s="59">
        <f ca="1">AVERAGE(OFFSET($AM$3,0,0,'Données projet'!$E$10+1,1))-AVERAGE(OFFSET($H$3,0,0,'Données projet'!$E$10+1,1))</f>
        <v>486.36097333679697</v>
      </c>
      <c r="AO65" s="59">
        <f t="shared" si="36"/>
        <v>308.47736602748159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12.004074938629513</v>
      </c>
      <c r="AV65" s="21">
        <f>EXP(-LN(2)/25)*AV64+(1-EXP(-LN(2)/25))/(LN(2)/25)*Calculateur!AQ65*Calculateur!AS65*VLOOKUP('Données projet'!$B$10,Paramètres!$A$1:$I$89,3,0)*0.475*44/12</f>
        <v>29.139963688036925</v>
      </c>
      <c r="AW65" s="21">
        <f>EXP(-LN(2)/2)*AW64+(1-EXP(-LN(2)/2))/(LN(2)/2)*AQ65*AT65*VLOOKUP('Données projet'!$B$10,Paramètres!$A$1:$I$89,3,0)*0.475*44/12</f>
        <v>1.4756171361731014</v>
      </c>
      <c r="AX65" s="21">
        <f t="shared" si="6"/>
        <v>42.619655762839535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253.69343999999992</v>
      </c>
      <c r="BF65" s="13">
        <f t="shared" si="37"/>
        <v>61.376159112289358</v>
      </c>
      <c r="BG65" s="20">
        <f t="shared" si="7"/>
        <v>548.74621845390379</v>
      </c>
      <c r="BH65" s="59">
        <f t="shared" si="8"/>
        <v>811.10522141355511</v>
      </c>
      <c r="BI65" s="59">
        <f ca="1">AVERAGE(OFFSET($BH$3,0,0,'Données projet'!$E$11+1,1))-AVERAGE(OFFSET($H$3,0,0,'Données projet'!$E$11+1,1))</f>
        <v>408.246209980743</v>
      </c>
      <c r="BJ65" s="59">
        <f t="shared" si="38"/>
        <v>394.10236303013903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15.511330409257646</v>
      </c>
      <c r="BQ65" s="21">
        <f>EXP(-LN(2)/25)*BQ64+(1-EXP(-LN(2)/25))/(LN(2)/25)*Calculateur!BL65*Calculateur!BN65*VLOOKUP('Données projet'!$B$11,Paramètres!$A$1:$I$89,3,0)*0.475*44/12</f>
        <v>17.483906641440427</v>
      </c>
      <c r="BR65" s="21">
        <f>EXP(-LN(2)/2)*BR64+(1-EXP(-LN(2)/2))/(LN(2)/2)*BL65*BO65*VLOOKUP('Données projet'!$B$11,Paramètres!$A$1:$I$89,3,0)*0.475*44/12</f>
        <v>1.8129996772294139</v>
      </c>
      <c r="BS65" s="22">
        <f t="shared" si="9"/>
        <v>34.808236727927486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941.36095892580522</v>
      </c>
      <c r="S66" s="59">
        <f ca="1">AVERAGE(OFFSET($R$3,0,0,'Données projet'!$E$9+1,1))-AVERAGE(OFFSET($H$3,0,0,'Données projet'!$E$9+1,1))</f>
        <v>737.40414421611001</v>
      </c>
      <c r="T66" s="59">
        <f t="shared" si="34"/>
        <v>245.32893490531674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9.7525000000000013</v>
      </c>
      <c r="AI66" s="13">
        <f>IF('Données projet'!$A$62&gt;35,AI65+AH66-AQ65,IF(A66&lt;'Données projet'!$A$62,$AF$205^A66,IF(A66='Données projet'!$A$62,'Données projet'!$B$62,AI65+AH66-AQ65)))</f>
        <v>200.04999999999998</v>
      </c>
      <c r="AJ66" s="13">
        <f>AI66*VLOOKUP('Données projet'!$B$10,Paramètres!$A$1:$I$89,3,0)*VLOOKUP('Données projet'!$B$10,Paramètres!$A$1:$I$89,5,0)</f>
        <v>190.36758</v>
      </c>
      <c r="AK66" s="13">
        <f t="shared" si="35"/>
        <v>47.621210426557901</v>
      </c>
      <c r="AL66" s="20">
        <f t="shared" si="4"/>
        <v>414.49714332625496</v>
      </c>
      <c r="AM66" s="59">
        <f t="shared" si="5"/>
        <v>677.39348166966101</v>
      </c>
      <c r="AN66" s="59">
        <f ca="1">AVERAGE(OFFSET($AM$3,0,0,'Données projet'!$E$10+1,1))-AVERAGE(OFFSET($H$3,0,0,'Données projet'!$E$10+1,1))</f>
        <v>486.36097333679697</v>
      </c>
      <c r="AO66" s="59">
        <f t="shared" si="36"/>
        <v>308.47736602748159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11.768682350845737</v>
      </c>
      <c r="AV66" s="21">
        <f>EXP(-LN(2)/25)*AV65+(1-EXP(-LN(2)/25))/(LN(2)/25)*Calculateur!AQ66*Calculateur!AS66*VLOOKUP('Données projet'!$B$10,Paramètres!$A$1:$I$89,3,0)*0.475*44/12</f>
        <v>28.343129848583466</v>
      </c>
      <c r="AW66" s="21">
        <f>EXP(-LN(2)/2)*AW65+(1-EXP(-LN(2)/2))/(LN(2)/2)*AQ66*AT66*VLOOKUP('Données projet'!$B$10,Paramètres!$A$1:$I$89,3,0)*0.475*44/12</f>
        <v>1.0434188834230731</v>
      </c>
      <c r="AX66" s="21">
        <f t="shared" si="6"/>
        <v>41.155231082852275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258.23615999999993</v>
      </c>
      <c r="BF66" s="13">
        <f t="shared" si="37"/>
        <v>62.346249722937728</v>
      </c>
      <c r="BG66" s="20">
        <f t="shared" si="7"/>
        <v>558.34769693411636</v>
      </c>
      <c r="BH66" s="59">
        <f t="shared" si="8"/>
        <v>821.24403527752247</v>
      </c>
      <c r="BI66" s="59">
        <f ca="1">AVERAGE(OFFSET($BH$3,0,0,'Données projet'!$E$11+1,1))-AVERAGE(OFFSET($H$3,0,0,'Données projet'!$E$11+1,1))</f>
        <v>408.246209980743</v>
      </c>
      <c r="BJ66" s="59">
        <f t="shared" si="38"/>
        <v>394.10236303013903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15.207162680909459</v>
      </c>
      <c r="BQ66" s="21">
        <f>EXP(-LN(2)/25)*BQ65+(1-EXP(-LN(2)/25))/(LN(2)/25)*Calculateur!BL66*Calculateur!BN66*VLOOKUP('Données projet'!$B$11,Paramètres!$A$1:$I$89,3,0)*0.475*44/12</f>
        <v>17.005808294891548</v>
      </c>
      <c r="BR66" s="21">
        <f>EXP(-LN(2)/2)*BR65+(1-EXP(-LN(2)/2))/(LN(2)/2)*BL66*BO66*VLOOKUP('Données projet'!$B$11,Paramètres!$A$1:$I$89,3,0)*0.475*44/12</f>
        <v>1.2819843660579406</v>
      </c>
      <c r="BS66" s="22">
        <f t="shared" si="9"/>
        <v>33.494955341858947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967.62557308164673</v>
      </c>
      <c r="S67" s="59">
        <f ca="1">AVERAGE(OFFSET($R$3,0,0,'Données projet'!$E$9+1,1))-AVERAGE(OFFSET($H$3,0,0,'Données projet'!$E$9+1,1))</f>
        <v>737.40414421611001</v>
      </c>
      <c r="T67" s="59">
        <f t="shared" si="34"/>
        <v>245.32893490531674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9.7525000000000013</v>
      </c>
      <c r="AI67" s="13">
        <f>IF('Données projet'!$A$62&gt;35,AI66+AH67-AQ66,IF(A67&lt;'Données projet'!$A$62,$AF$205^A67,IF(A67='Données projet'!$A$62,'Données projet'!$B$62,AI66+AH67-AQ66)))</f>
        <v>209.80249999999998</v>
      </c>
      <c r="AJ67" s="13">
        <f>AI67*VLOOKUP('Données projet'!$B$10,Paramètres!$A$1:$I$89,3,0)*VLOOKUP('Données projet'!$B$10,Paramètres!$A$1:$I$89,5,0)</f>
        <v>199.64805899999999</v>
      </c>
      <c r="AK67" s="13">
        <f t="shared" si="35"/>
        <v>49.666813819210098</v>
      </c>
      <c r="AL67" s="20">
        <f t="shared" si="4"/>
        <v>434.22340349345751</v>
      </c>
      <c r="AM67" s="59">
        <f t="shared" si="5"/>
        <v>697.64775565301227</v>
      </c>
      <c r="AN67" s="59">
        <f ca="1">AVERAGE(OFFSET($AM$3,0,0,'Données projet'!$E$10+1,1))-AVERAGE(OFFSET($H$3,0,0,'Données projet'!$E$10+1,1))</f>
        <v>486.36097333679697</v>
      </c>
      <c r="AO67" s="59">
        <f t="shared" si="36"/>
        <v>308.47736602748159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11.537905668133099</v>
      </c>
      <c r="AV67" s="21">
        <f>EXP(-LN(2)/25)*AV66+(1-EXP(-LN(2)/25))/(LN(2)/25)*Calculateur!AQ67*Calculateur!AS67*VLOOKUP('Données projet'!$B$10,Paramètres!$A$1:$I$89,3,0)*0.475*44/12</f>
        <v>27.568085472373532</v>
      </c>
      <c r="AW67" s="21">
        <f>EXP(-LN(2)/2)*AW66+(1-EXP(-LN(2)/2))/(LN(2)/2)*AQ67*AT67*VLOOKUP('Données projet'!$B$10,Paramètres!$A$1:$I$89,3,0)*0.475*44/12</f>
        <v>0.73780856808655071</v>
      </c>
      <c r="AX67" s="21">
        <f t="shared" si="6"/>
        <v>39.843799708593181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262.7788799999999</v>
      </c>
      <c r="BF67" s="13">
        <f t="shared" si="37"/>
        <v>63.314355869176104</v>
      </c>
      <c r="BG67" s="20">
        <f t="shared" si="7"/>
        <v>567.94571913881475</v>
      </c>
      <c r="BH67" s="59">
        <f t="shared" si="8"/>
        <v>831.37007129836957</v>
      </c>
      <c r="BI67" s="59">
        <f ca="1">AVERAGE(OFFSET($BH$3,0,0,'Données projet'!$E$11+1,1))-AVERAGE(OFFSET($H$3,0,0,'Données projet'!$E$11+1,1))</f>
        <v>408.246209980743</v>
      </c>
      <c r="BJ67" s="59">
        <f t="shared" si="38"/>
        <v>394.10236303013903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14.908959496190185</v>
      </c>
      <c r="BQ67" s="21">
        <f>EXP(-LN(2)/25)*BQ66+(1-EXP(-LN(2)/25))/(LN(2)/25)*Calculateur!BL67*Calculateur!BN67*VLOOKUP('Données projet'!$B$11,Paramètres!$A$1:$I$89,3,0)*0.475*44/12</f>
        <v>16.540783572771147</v>
      </c>
      <c r="BR67" s="21">
        <f>EXP(-LN(2)/2)*BR66+(1-EXP(-LN(2)/2))/(LN(2)/2)*BL67*BO67*VLOOKUP('Données projet'!$B$11,Paramètres!$A$1:$I$89,3,0)*0.475*44/12</f>
        <v>0.90649983861470718</v>
      </c>
      <c r="BS67" s="22">
        <f t="shared" si="9"/>
        <v>32.356242907576039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993.86179526719252</v>
      </c>
      <c r="S68" s="59">
        <f ca="1">AVERAGE(OFFSET($R$3,0,0,'Données projet'!$E$9+1,1))-AVERAGE(OFFSET($H$3,0,0,'Données projet'!$E$9+1,1))</f>
        <v>737.40414421611001</v>
      </c>
      <c r="T68" s="59">
        <f t="shared" si="34"/>
        <v>245.32893490531674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9.7525000000000013</v>
      </c>
      <c r="AI68" s="13">
        <f>IF('Données projet'!$A$62&gt;35,AI67+AH68-AQ67,IF(A68&lt;'Données projet'!$A$62,$AF$205^A68,IF(A68='Données projet'!$A$62,'Données projet'!$B$62,AI67+AH68-AQ67)))</f>
        <v>219.55499999999998</v>
      </c>
      <c r="AJ68" s="13">
        <f>AI68*VLOOKUP('Données projet'!$B$10,Paramètres!$A$1:$I$89,3,0)*VLOOKUP('Données projet'!$B$10,Paramètres!$A$1:$I$89,5,0)</f>
        <v>208.92853799999997</v>
      </c>
      <c r="AK68" s="13">
        <f t="shared" si="35"/>
        <v>51.701374633508699</v>
      </c>
      <c r="AL68" s="20">
        <f t="shared" ref="AL68:AL131" si="58">(AJ68+AK68)*0.475*44/12</f>
        <v>453.93043117002759</v>
      </c>
      <c r="AM68" s="59">
        <f t="shared" ref="AM68:AM131" si="59">AL68+(AD68+AE68)*44/12</f>
        <v>717.87363728648279</v>
      </c>
      <c r="AN68" s="59">
        <f ca="1">AVERAGE(OFFSET($AM$3,0,0,'Données projet'!$E$10+1,1))-AVERAGE(OFFSET($H$3,0,0,'Données projet'!$E$10+1,1))</f>
        <v>486.36097333679697</v>
      </c>
      <c r="AO68" s="59">
        <f t="shared" si="36"/>
        <v>308.47736602748159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11.311654375408578</v>
      </c>
      <c r="AV68" s="21">
        <f>EXP(-LN(2)/25)*AV67+(1-EXP(-LN(2)/25))/(LN(2)/25)*Calculateur!AQ68*Calculateur!AS68*VLOOKUP('Données projet'!$B$10,Paramètres!$A$1:$I$89,3,0)*0.475*44/12</f>
        <v>26.814234725388872</v>
      </c>
      <c r="AW68" s="21">
        <f>EXP(-LN(2)/2)*AW67+(1-EXP(-LN(2)/2))/(LN(2)/2)*AQ68*AT68*VLOOKUP('Données projet'!$B$10,Paramètres!$A$1:$I$89,3,0)*0.475*44/12</f>
        <v>0.52170944171153655</v>
      </c>
      <c r="AX68" s="21">
        <f t="shared" ref="AX68:AX131" si="60">SUM(AU68:AW68)</f>
        <v>38.647598542508987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267.32159999999988</v>
      </c>
      <c r="BF68" s="13">
        <f t="shared" si="37"/>
        <v>64.280515815446321</v>
      </c>
      <c r="BG68" s="20">
        <f t="shared" ref="BG68:BG131" si="61">(BE68+BF68)*0.475*44/12</f>
        <v>577.54035171190208</v>
      </c>
      <c r="BH68" s="59">
        <f t="shared" ref="BH68:BH131" si="62">BG68+(AY68+AZ68)*44/12</f>
        <v>841.48355782835733</v>
      </c>
      <c r="BI68" s="59">
        <f ca="1">AVERAGE(OFFSET($BH$3,0,0,'Données projet'!$E$11+1,1))-AVERAGE(OFFSET($H$3,0,0,'Données projet'!$E$11+1,1))</f>
        <v>408.246209980743</v>
      </c>
      <c r="BJ68" s="59">
        <f t="shared" si="38"/>
        <v>394.10236303013903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16.280089189869351</v>
      </c>
      <c r="BQ68" s="21">
        <f>EXP(-LN(2)/25)*BQ67+(1-EXP(-LN(2)/25))/(LN(2)/25)*Calculateur!BL68*Calculateur!BN68*VLOOKUP('Données projet'!$B$11,Paramètres!$A$1:$I$89,3,0)*0.475*44/12</f>
        <v>17.745410496516513</v>
      </c>
      <c r="BR68" s="21">
        <f>EXP(-LN(2)/2)*BR67+(1-EXP(-LN(2)/2))/(LN(2)/2)*BL68*BO68*VLOOKUP('Données projet'!$B$11,Paramètres!$A$1:$I$89,3,0)*0.475*44/12</f>
        <v>3.3198537989765886</v>
      </c>
      <c r="BS68" s="22">
        <f t="shared" ref="BS68:BS131" si="63">SUM(BP68:BR68)</f>
        <v>37.345353485362452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1020.0705563729103</v>
      </c>
      <c r="S69" s="59">
        <f ca="1">AVERAGE(OFFSET($R$3,0,0,'Données projet'!$E$9+1,1))-AVERAGE(OFFSET($H$3,0,0,'Données projet'!$E$9+1,1))</f>
        <v>737.40414421611001</v>
      </c>
      <c r="T69" s="59">
        <f t="shared" ref="T69:T132" si="88">$T$3</f>
        <v>245.32893490531674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9.7525000000000013</v>
      </c>
      <c r="AI69" s="13">
        <f>IF('Données projet'!$A$62&gt;35,AI68+AH69-AQ68,IF(A69&lt;'Données projet'!$A$62,$AF$205^A69,IF(A69='Données projet'!$A$62,'Données projet'!$B$62,AI68+AH69-AQ68)))</f>
        <v>229.30749999999998</v>
      </c>
      <c r="AJ69" s="13">
        <f>AI69*VLOOKUP('Données projet'!$B$10,Paramètres!$A$1:$I$89,3,0)*VLOOKUP('Données projet'!$B$10,Paramètres!$A$1:$I$89,5,0)</f>
        <v>218.20901699999999</v>
      </c>
      <c r="AK69" s="13">
        <f t="shared" ref="AK69:AK132" si="89">EXP(-1.0587+0.8836*LN(AJ69)+0.284)</f>
        <v>53.725439422688339</v>
      </c>
      <c r="AL69" s="20">
        <f t="shared" si="58"/>
        <v>473.61917826951543</v>
      </c>
      <c r="AM69" s="59">
        <f t="shared" si="59"/>
        <v>738.07223738670245</v>
      </c>
      <c r="AN69" s="59">
        <f ca="1">AVERAGE(OFFSET($AM$3,0,0,'Données projet'!$E$10+1,1))-AVERAGE(OFFSET($H$3,0,0,'Données projet'!$E$10+1,1))</f>
        <v>486.36097333679697</v>
      </c>
      <c r="AO69" s="59">
        <f t="shared" ref="AO69:AO132" si="90">$AO$3</f>
        <v>308.47736602748159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11.089839732534722</v>
      </c>
      <c r="AV69" s="21">
        <f>EXP(-LN(2)/25)*AV68+(1-EXP(-LN(2)/25))/(LN(2)/25)*Calculateur!AQ69*Calculateur!AS69*VLOOKUP('Données projet'!$B$10,Paramètres!$A$1:$I$89,3,0)*0.475*44/12</f>
        <v>26.080998066723794</v>
      </c>
      <c r="AW69" s="21">
        <f>EXP(-LN(2)/2)*AW68+(1-EXP(-LN(2)/2))/(LN(2)/2)*AQ69*AT69*VLOOKUP('Données projet'!$B$10,Paramètres!$A$1:$I$89,3,0)*0.475*44/12</f>
        <v>0.36890428404327535</v>
      </c>
      <c r="AX69" s="21">
        <f t="shared" si="60"/>
        <v>37.539742083301789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259.98335999999989</v>
      </c>
      <c r="BF69" s="13">
        <f t="shared" ref="BF69:BF132" si="91">EXP(-1.0587+0.8836*LN(BE69)+0.284)</f>
        <v>62.718830967388186</v>
      </c>
      <c r="BG69" s="20">
        <f t="shared" si="61"/>
        <v>562.03964926820083</v>
      </c>
      <c r="BH69" s="59">
        <f t="shared" si="62"/>
        <v>826.49270838538791</v>
      </c>
      <c r="BI69" s="59">
        <f ca="1">AVERAGE(OFFSET($BH$3,0,0,'Données projet'!$E$11+1,1))-AVERAGE(OFFSET($H$3,0,0,'Données projet'!$E$11+1,1))</f>
        <v>408.246209980743</v>
      </c>
      <c r="BJ69" s="59">
        <f t="shared" ref="BJ69:BJ132" si="92">$BJ$3</f>
        <v>394.10236303013903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15.960846570729926</v>
      </c>
      <c r="BQ69" s="21">
        <f>EXP(-LN(2)/25)*BQ68+(1-EXP(-LN(2)/25))/(LN(2)/25)*Calculateur!BL69*Calculateur!BN69*VLOOKUP('Données projet'!$B$11,Paramètres!$A$1:$I$89,3,0)*0.475*44/12</f>
        <v>17.260161313298688</v>
      </c>
      <c r="BR69" s="21">
        <f>EXP(-LN(2)/2)*BR68+(1-EXP(-LN(2)/2))/(LN(2)/2)*BL69*BO69*VLOOKUP('Données projet'!$B$11,Paramètres!$A$1:$I$89,3,0)*0.475*44/12</f>
        <v>2.3474911338042674</v>
      </c>
      <c r="BS69" s="22">
        <f t="shared" si="63"/>
        <v>35.568499017832885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899.35104869765041</v>
      </c>
      <c r="S70" s="59">
        <f ca="1">AVERAGE(OFFSET($R$3,0,0,'Données projet'!$E$9+1,1))-AVERAGE(OFFSET($H$3,0,0,'Données projet'!$E$9+1,1))</f>
        <v>737.40414421611001</v>
      </c>
      <c r="T70" s="59">
        <f t="shared" si="88"/>
        <v>245.32893490531674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239.06</v>
      </c>
      <c r="AG70" s="12">
        <f>VLOOKUP(A70,'Données projet'!$A$61:$I$81,9,0)</f>
        <v>9.7525000000000013</v>
      </c>
      <c r="AH70" s="12">
        <f t="array" ref="AH70">INDEX(AG:AG,MIN(IF(ISNUMBER(AG70:AG266),ROW(AG70:AG266),"")))</f>
        <v>9.7525000000000013</v>
      </c>
      <c r="AI70" s="13">
        <f>IF('Données projet'!$A$62&gt;35,AI69+AH70-AQ69,IF(A70&lt;'Données projet'!$A$62,$AF$205^A70,IF(A70='Données projet'!$A$62,'Données projet'!$B$62,AI69+AH70-AQ69)))</f>
        <v>239.05999999999997</v>
      </c>
      <c r="AJ70" s="13">
        <f>AI70*VLOOKUP('Données projet'!$B$10,Paramètres!$A$1:$I$89,3,0)*VLOOKUP('Données projet'!$B$10,Paramètres!$A$1:$I$89,5,0)</f>
        <v>227.48949599999997</v>
      </c>
      <c r="AK70" s="13">
        <f t="shared" si="89"/>
        <v>55.739505620294999</v>
      </c>
      <c r="AL70" s="20">
        <f t="shared" si="58"/>
        <v>493.29051115534702</v>
      </c>
      <c r="AM70" s="59">
        <f t="shared" si="59"/>
        <v>758.24457846356393</v>
      </c>
      <c r="AN70" s="59">
        <f ca="1">AVERAGE(OFFSET($AM$3,0,0,'Données projet'!$E$10+1,1))-AVERAGE(OFFSET($H$3,0,0,'Données projet'!$E$10+1,1))</f>
        <v>486.36097333679697</v>
      </c>
      <c r="AO70" s="59">
        <f t="shared" si="90"/>
        <v>308.47736602748159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42.550000000000011</v>
      </c>
      <c r="AR70" s="16">
        <f>IF(ISNA(VLOOKUP(A70,'Données projet'!$A$61:$I$81,5,0)),0%,VLOOKUP(A70,'Données projet'!$A$61:$I$81,5,0)*VLOOKUP('Données projet'!$B$10,Paramètres!$A$1:$I$89,7,0))</f>
        <v>0.15049999999999999</v>
      </c>
      <c r="AS70" s="16">
        <f>IF(ISNA(VLOOKUP(A70,'Données projet'!$A$61:$I$81,6,0)),0%,VLOOKUP(A70,'Données projet'!$A$61:$I$81,6,0)*VLOOKUP('Données projet'!$B$10,Paramètres!$A$1:$I$89,7,0))</f>
        <v>8.6000000000000007E-2</v>
      </c>
      <c r="AT70" s="16">
        <f>IF(ISNA(VLOOKUP(A70,'Données projet'!$A$61:$I$81,7,0)),0%,VLOOKUP(A70,'Données projet'!$A$61:$I$81,7,0))</f>
        <v>0.1</v>
      </c>
      <c r="AU70" s="21">
        <f>EXP(-LN(2)/35)*AU69+(1-EXP(-LN(2)/35))/(LN(2)/35)*AQ70*AR70*VLOOKUP('Données projet'!$B$10,Paramètres!$A$1:$I$89,3,0)*0.475*44/12</f>
        <v>17.608925833950501</v>
      </c>
      <c r="AV70" s="21">
        <f>EXP(-LN(2)/25)*AV69+(1-EXP(-LN(2)/25))/(LN(2)/25)*Calculateur!AQ70*Calculateur!AS70*VLOOKUP('Données projet'!$B$10,Paramètres!$A$1:$I$89,3,0)*0.475*44/12</f>
        <v>29.202112789306554</v>
      </c>
      <c r="AW70" s="21">
        <f>EXP(-LN(2)/2)*AW69+(1-EXP(-LN(2)/2))/(LN(2)/2)*AQ70*AT70*VLOOKUP('Données projet'!$B$10,Paramètres!$A$1:$I$89,3,0)*0.475*44/12</f>
        <v>4.0812499226540329</v>
      </c>
      <c r="AX70" s="21">
        <f t="shared" si="60"/>
        <v>50.892288545911086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264.00191999999993</v>
      </c>
      <c r="BF70" s="13">
        <f t="shared" si="91"/>
        <v>63.574665748345318</v>
      </c>
      <c r="BG70" s="20">
        <f t="shared" si="61"/>
        <v>570.52922017836795</v>
      </c>
      <c r="BH70" s="59">
        <f t="shared" si="62"/>
        <v>835.48328748658491</v>
      </c>
      <c r="BI70" s="59">
        <f ca="1">AVERAGE(OFFSET($BH$3,0,0,'Données projet'!$E$11+1,1))-AVERAGE(OFFSET($H$3,0,0,'Données projet'!$E$11+1,1))</f>
        <v>408.246209980743</v>
      </c>
      <c r="BJ70" s="59">
        <f t="shared" si="92"/>
        <v>394.10236303013903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15.647864104633053</v>
      </c>
      <c r="BQ70" s="21">
        <f>EXP(-LN(2)/25)*BQ69+(1-EXP(-LN(2)/25))/(LN(2)/25)*Calculateur!BL70*Calculateur!BN70*VLOOKUP('Données projet'!$B$11,Paramètres!$A$1:$I$89,3,0)*0.475*44/12</f>
        <v>16.7881812945141</v>
      </c>
      <c r="BR70" s="21">
        <f>EXP(-LN(2)/2)*BR69+(1-EXP(-LN(2)/2))/(LN(2)/2)*BL70*BO70*VLOOKUP('Données projet'!$B$11,Paramètres!$A$1:$I$89,3,0)*0.475*44/12</f>
        <v>1.6599268994882945</v>
      </c>
      <c r="BS70" s="22">
        <f t="shared" si="63"/>
        <v>34.095972298635452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924.23339436516028</v>
      </c>
      <c r="S71" s="59">
        <f ca="1">AVERAGE(OFFSET($R$3,0,0,'Données projet'!$E$9+1,1))-AVERAGE(OFFSET($H$3,0,0,'Données projet'!$E$9+1,1))</f>
        <v>737.40414421611001</v>
      </c>
      <c r="T71" s="59">
        <f t="shared" si="88"/>
        <v>245.32893490531674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9.65625</v>
      </c>
      <c r="AI71" s="13">
        <f>IF('Données projet'!$A$62&gt;35,AI70+AH71-AQ70,IF(A71&lt;'Données projet'!$A$62,$AF$205^A71,IF(A71='Données projet'!$A$62,'Données projet'!$B$62,AI70+AH71-AQ70)))</f>
        <v>206.16624999999996</v>
      </c>
      <c r="AJ71" s="13">
        <f>AI71*VLOOKUP('Données projet'!$B$10,Paramètres!$A$1:$I$89,3,0)*VLOOKUP('Données projet'!$B$10,Paramètres!$A$1:$I$89,5,0)</f>
        <v>196.18780349999997</v>
      </c>
      <c r="AK71" s="13">
        <f t="shared" si="89"/>
        <v>48.905426239785484</v>
      </c>
      <c r="AL71" s="20">
        <f t="shared" si="58"/>
        <v>426.87070846345961</v>
      </c>
      <c r="AM71" s="59">
        <f t="shared" si="59"/>
        <v>692.31709259067839</v>
      </c>
      <c r="AN71" s="59">
        <f ca="1">AVERAGE(OFFSET($AM$3,0,0,'Données projet'!$E$10+1,1))-AVERAGE(OFFSET($H$3,0,0,'Données projet'!$E$10+1,1))</f>
        <v>486.36097333679697</v>
      </c>
      <c r="AO71" s="59">
        <f t="shared" si="90"/>
        <v>308.47736602748159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17.263625538730967</v>
      </c>
      <c r="AV71" s="21">
        <f>EXP(-LN(2)/25)*AV70+(1-EXP(-LN(2)/25))/(LN(2)/25)*Calculateur!AQ71*Calculateur!AS71*VLOOKUP('Données projet'!$B$10,Paramètres!$A$1:$I$89,3,0)*0.475*44/12</f>
        <v>28.403579479410595</v>
      </c>
      <c r="AW71" s="21">
        <f>EXP(-LN(2)/2)*AW70+(1-EXP(-LN(2)/2))/(LN(2)/2)*AQ71*AT71*VLOOKUP('Données projet'!$B$10,Paramètres!$A$1:$I$89,3,0)*0.475*44/12</f>
        <v>2.8858794960257392</v>
      </c>
      <c r="AX71" s="21">
        <f t="shared" si="60"/>
        <v>48.553084514167296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268.02047999999996</v>
      </c>
      <c r="BF71" s="13">
        <f t="shared" si="91"/>
        <v>64.42898543616613</v>
      </c>
      <c r="BG71" s="20">
        <f t="shared" si="61"/>
        <v>579.01615230132256</v>
      </c>
      <c r="BH71" s="59">
        <f t="shared" si="62"/>
        <v>844.4625364285414</v>
      </c>
      <c r="BI71" s="59">
        <f ca="1">AVERAGE(OFFSET($BH$3,0,0,'Données projet'!$E$11+1,1))-AVERAGE(OFFSET($H$3,0,0,'Données projet'!$E$11+1,1))</f>
        <v>408.246209980743</v>
      </c>
      <c r="BJ71" s="59">
        <f t="shared" si="92"/>
        <v>394.10236303013903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15.341019033795886</v>
      </c>
      <c r="BQ71" s="21">
        <f>EXP(-LN(2)/25)*BQ70+(1-EXP(-LN(2)/25))/(LN(2)/25)*Calculateur!BL71*Calculateur!BN71*VLOOKUP('Données projet'!$B$11,Paramètres!$A$1:$I$89,3,0)*0.475*44/12</f>
        <v>16.329107594163528</v>
      </c>
      <c r="BR71" s="21">
        <f>EXP(-LN(2)/2)*BR70+(1-EXP(-LN(2)/2))/(LN(2)/2)*BL71*BO71*VLOOKUP('Données projet'!$B$11,Paramètres!$A$1:$I$89,3,0)*0.475*44/12</f>
        <v>1.1737455669021337</v>
      </c>
      <c r="BS71" s="22">
        <f t="shared" si="63"/>
        <v>32.843872194861547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949.08861227039756</v>
      </c>
      <c r="S72" s="59">
        <f ca="1">AVERAGE(OFFSET($R$3,0,0,'Données projet'!$E$9+1,1))-AVERAGE(OFFSET($H$3,0,0,'Données projet'!$E$9+1,1))</f>
        <v>737.40414421611001</v>
      </c>
      <c r="T72" s="59">
        <f t="shared" si="88"/>
        <v>245.32893490531674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9.65625</v>
      </c>
      <c r="AI72" s="13">
        <f>IF('Données projet'!$A$62&gt;35,AI71+AH72-AQ71,IF(A72&lt;'Données projet'!$A$62,$AF$205^A72,IF(A72='Données projet'!$A$62,'Données projet'!$B$62,AI71+AH72-AQ71)))</f>
        <v>215.82249999999996</v>
      </c>
      <c r="AJ72" s="13">
        <f>AI72*VLOOKUP('Données projet'!$B$10,Paramètres!$A$1:$I$89,3,0)*VLOOKUP('Données projet'!$B$10,Paramètres!$A$1:$I$89,5,0)</f>
        <v>205.37669099999997</v>
      </c>
      <c r="AK72" s="13">
        <f t="shared" si="89"/>
        <v>50.923971103388858</v>
      </c>
      <c r="AL72" s="20">
        <f t="shared" si="58"/>
        <v>446.3903198300689</v>
      </c>
      <c r="AM72" s="59">
        <f t="shared" si="59"/>
        <v>712.32048018013552</v>
      </c>
      <c r="AN72" s="59">
        <f ca="1">AVERAGE(OFFSET($AM$3,0,0,'Données projet'!$E$10+1,1))-AVERAGE(OFFSET($H$3,0,0,'Données projet'!$E$10+1,1))</f>
        <v>486.36097333679697</v>
      </c>
      <c r="AO72" s="59">
        <f t="shared" si="90"/>
        <v>308.47736602748159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16.925096371688301</v>
      </c>
      <c r="AV72" s="21">
        <f>EXP(-LN(2)/25)*AV71+(1-EXP(-LN(2)/25))/(LN(2)/25)*Calculateur!AQ72*Calculateur!AS72*VLOOKUP('Données projet'!$B$10,Paramètres!$A$1:$I$89,3,0)*0.475*44/12</f>
        <v>27.626882104866784</v>
      </c>
      <c r="AW72" s="21">
        <f>EXP(-LN(2)/2)*AW71+(1-EXP(-LN(2)/2))/(LN(2)/2)*AQ72*AT72*VLOOKUP('Données projet'!$B$10,Paramètres!$A$1:$I$89,3,0)*0.475*44/12</f>
        <v>2.0406249613270164</v>
      </c>
      <c r="AX72" s="21">
        <f t="shared" si="60"/>
        <v>46.592603437882104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272.03904</v>
      </c>
      <c r="BF72" s="13">
        <f t="shared" si="91"/>
        <v>65.281815371368268</v>
      </c>
      <c r="BG72" s="20">
        <f t="shared" si="61"/>
        <v>587.50048977179972</v>
      </c>
      <c r="BH72" s="59">
        <f t="shared" si="62"/>
        <v>853.43065012186628</v>
      </c>
      <c r="BI72" s="59">
        <f ca="1">AVERAGE(OFFSET($BH$3,0,0,'Données projet'!$E$11+1,1))-AVERAGE(OFFSET($H$3,0,0,'Données projet'!$E$11+1,1))</f>
        <v>408.246209980743</v>
      </c>
      <c r="BJ72" s="59">
        <f t="shared" si="92"/>
        <v>394.10236303013903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15.040191007640823</v>
      </c>
      <c r="BQ72" s="21">
        <f>EXP(-LN(2)/25)*BQ71+(1-EXP(-LN(2)/25))/(LN(2)/25)*Calculateur!BL72*Calculateur!BN72*VLOOKUP('Données projet'!$B$11,Paramètres!$A$1:$I$89,3,0)*0.475*44/12</f>
        <v>15.882587288290678</v>
      </c>
      <c r="BR72" s="21">
        <f>EXP(-LN(2)/2)*BR71+(1-EXP(-LN(2)/2))/(LN(2)/2)*BL72*BO72*VLOOKUP('Données projet'!$B$11,Paramètres!$A$1:$I$89,3,0)*0.475*44/12</f>
        <v>0.82996344974414726</v>
      </c>
      <c r="BS72" s="22">
        <f t="shared" si="63"/>
        <v>31.75274174567565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973.91760611307086</v>
      </c>
      <c r="S73" s="59">
        <f ca="1">AVERAGE(OFFSET($R$3,0,0,'Données projet'!$E$9+1,1))-AVERAGE(OFFSET($H$3,0,0,'Données projet'!$E$9+1,1))</f>
        <v>737.40414421611001</v>
      </c>
      <c r="T73" s="59">
        <f t="shared" si="88"/>
        <v>245.32893490531674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9.65625</v>
      </c>
      <c r="AI73" s="13">
        <f>IF('Données projet'!$A$62&gt;35,AI72+AH73-AQ72,IF(A73&lt;'Données projet'!$A$62,$AF$205^A73,IF(A73='Données projet'!$A$62,'Données projet'!$B$62,AI72+AH73-AQ72)))</f>
        <v>225.47874999999996</v>
      </c>
      <c r="AJ73" s="13">
        <f>AI73*VLOOKUP('Données projet'!$B$10,Paramètres!$A$1:$I$89,3,0)*VLOOKUP('Données projet'!$B$10,Paramètres!$A$1:$I$89,5,0)</f>
        <v>214.56557849999996</v>
      </c>
      <c r="AK73" s="13">
        <f t="shared" si="89"/>
        <v>52.932027166993123</v>
      </c>
      <c r="AL73" s="20">
        <f t="shared" si="58"/>
        <v>465.8916632033463</v>
      </c>
      <c r="AM73" s="59">
        <f t="shared" si="59"/>
        <v>732.29720734035573</v>
      </c>
      <c r="AN73" s="59">
        <f ca="1">AVERAGE(OFFSET($AM$3,0,0,'Données projet'!$E$10+1,1))-AVERAGE(OFFSET($H$3,0,0,'Données projet'!$E$10+1,1))</f>
        <v>486.36097333679697</v>
      </c>
      <c r="AO73" s="59">
        <f t="shared" si="90"/>
        <v>308.47736602748159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16.593205555128939</v>
      </c>
      <c r="AV73" s="21">
        <f>EXP(-LN(2)/25)*AV72+(1-EXP(-LN(2)/25))/(LN(2)/25)*Calculateur!AQ73*Calculateur!AS73*VLOOKUP('Données projet'!$B$10,Paramètres!$A$1:$I$89,3,0)*0.475*44/12</f>
        <v>26.871423560874614</v>
      </c>
      <c r="AW73" s="21">
        <f>EXP(-LN(2)/2)*AW72+(1-EXP(-LN(2)/2))/(LN(2)/2)*AQ73*AT73*VLOOKUP('Données projet'!$B$10,Paramètres!$A$1:$I$89,3,0)*0.475*44/12</f>
        <v>1.4429397480128696</v>
      </c>
      <c r="AX73" s="21">
        <f t="shared" si="60"/>
        <v>44.907568864016419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276.05759999999998</v>
      </c>
      <c r="BF73" s="13">
        <f t="shared" si="91"/>
        <v>66.133180102831929</v>
      </c>
      <c r="BG73" s="20">
        <f t="shared" si="61"/>
        <v>595.98227534576563</v>
      </c>
      <c r="BH73" s="59">
        <f t="shared" si="62"/>
        <v>862.38781948277506</v>
      </c>
      <c r="BI73" s="59">
        <f ca="1">AVERAGE(OFFSET($BH$3,0,0,'Données projet'!$E$11+1,1))-AVERAGE(OFFSET($H$3,0,0,'Données projet'!$E$11+1,1))</f>
        <v>408.246209980743</v>
      </c>
      <c r="BJ73" s="59">
        <f t="shared" si="92"/>
        <v>394.10236303013903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16.408747331423758</v>
      </c>
      <c r="BQ73" s="21">
        <f>EXP(-LN(2)/25)*BQ72+(1-EXP(-LN(2)/25))/(LN(2)/25)*Calculateur!BL73*Calculateur!BN73*VLOOKUP('Données projet'!$B$11,Paramètres!$A$1:$I$89,3,0)*0.475*44/12</f>
        <v>17.1052126240482</v>
      </c>
      <c r="BR73" s="21">
        <f>EXP(-LN(2)/2)*BR72+(1-EXP(-LN(2)/2))/(LN(2)/2)*BL73*BO73*VLOOKUP('Données projet'!$B$11,Paramètres!$A$1:$I$89,3,0)*0.475*44/12</f>
        <v>3.2657343993986849</v>
      </c>
      <c r="BS73" s="22">
        <f t="shared" si="63"/>
        <v>36.779694354870642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998.72122083620616</v>
      </c>
      <c r="S74" s="59">
        <f ca="1">AVERAGE(OFFSET($R$3,0,0,'Données projet'!$E$9+1,1))-AVERAGE(OFFSET($H$3,0,0,'Données projet'!$E$9+1,1))</f>
        <v>737.40414421611001</v>
      </c>
      <c r="T74" s="59">
        <f t="shared" si="88"/>
        <v>245.32893490531674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9.65625</v>
      </c>
      <c r="AI74" s="13">
        <f>IF('Données projet'!$A$62&gt;35,AI73+AH74-AQ73,IF(A74&lt;'Données projet'!$A$62,$AF$205^A74,IF(A74='Données projet'!$A$62,'Données projet'!$B$62,AI73+AH74-AQ73)))</f>
        <v>235.13499999999996</v>
      </c>
      <c r="AJ74" s="13">
        <f>AI74*VLOOKUP('Données projet'!$B$10,Paramètres!$A$1:$I$89,3,0)*VLOOKUP('Données projet'!$B$10,Paramètres!$A$1:$I$89,5,0)</f>
        <v>223.75446599999998</v>
      </c>
      <c r="AK74" s="13">
        <f t="shared" si="89"/>
        <v>54.930094969115991</v>
      </c>
      <c r="AL74" s="20">
        <f t="shared" si="58"/>
        <v>485.37561035454365</v>
      </c>
      <c r="AM74" s="59">
        <f t="shared" si="59"/>
        <v>752.2482914325916</v>
      </c>
      <c r="AN74" s="59">
        <f ca="1">AVERAGE(OFFSET($AM$3,0,0,'Données projet'!$E$10+1,1))-AVERAGE(OFFSET($H$3,0,0,'Données projet'!$E$10+1,1))</f>
        <v>486.36097333679697</v>
      </c>
      <c r="AO74" s="59">
        <f t="shared" si="90"/>
        <v>308.47736602748159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16.2678229150489</v>
      </c>
      <c r="AV74" s="21">
        <f>EXP(-LN(2)/25)*AV73+(1-EXP(-LN(2)/25))/(LN(2)/25)*Calculateur!AQ74*Calculateur!AS74*VLOOKUP('Données projet'!$B$10,Paramètres!$A$1:$I$89,3,0)*0.475*44/12</f>
        <v>26.136623070495748</v>
      </c>
      <c r="AW74" s="21">
        <f>EXP(-LN(2)/2)*AW73+(1-EXP(-LN(2)/2))/(LN(2)/2)*AQ74*AT74*VLOOKUP('Données projet'!$B$10,Paramètres!$A$1:$I$89,3,0)*0.475*44/12</f>
        <v>1.0203124806635082</v>
      </c>
      <c r="AX74" s="21">
        <f t="shared" si="60"/>
        <v>43.424758466208154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268.36991999999998</v>
      </c>
      <c r="BF74" s="13">
        <f t="shared" si="91"/>
        <v>64.503203342054107</v>
      </c>
      <c r="BG74" s="20">
        <f t="shared" si="61"/>
        <v>579.75402315407757</v>
      </c>
      <c r="BH74" s="59">
        <f t="shared" si="62"/>
        <v>846.62670423212558</v>
      </c>
      <c r="BI74" s="59">
        <f ca="1">AVERAGE(OFFSET($BH$3,0,0,'Données projet'!$E$11+1,1))-AVERAGE(OFFSET($H$3,0,0,'Données projet'!$E$11+1,1))</f>
        <v>408.246209980743</v>
      </c>
      <c r="BJ74" s="59">
        <f t="shared" si="92"/>
        <v>394.10236303013903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16.086981804602168</v>
      </c>
      <c r="BQ74" s="21">
        <f>EXP(-LN(2)/25)*BQ73+(1-EXP(-LN(2)/25))/(LN(2)/25)*Calculateur!BL74*Calculateur!BN74*VLOOKUP('Données projet'!$B$11,Paramètres!$A$1:$I$89,3,0)*0.475*44/12</f>
        <v>16.637469685319566</v>
      </c>
      <c r="BR74" s="21">
        <f>EXP(-LN(2)/2)*BR73+(1-EXP(-LN(2)/2))/(LN(2)/2)*BL74*BO74*VLOOKUP('Données projet'!$B$11,Paramètres!$A$1:$I$89,3,0)*0.475*44/12</f>
        <v>2.3092229393689871</v>
      </c>
      <c r="BS74" s="22">
        <f t="shared" si="63"/>
        <v>35.03367442929072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1023.5002486155922</v>
      </c>
      <c r="S75" s="59">
        <f ca="1">AVERAGE(OFFSET($R$3,0,0,'Données projet'!$E$9+1,1))-AVERAGE(OFFSET($H$3,0,0,'Données projet'!$E$9+1,1))</f>
        <v>737.40414421611001</v>
      </c>
      <c r="T75" s="59">
        <f t="shared" si="88"/>
        <v>245.32893490531674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9.65625</v>
      </c>
      <c r="AI75" s="13">
        <f>IF('Données projet'!$A$62&gt;35,AI74+AH75-AQ74,IF(A75&lt;'Données projet'!$A$62,$AF$205^A75,IF(A75='Données projet'!$A$62,'Données projet'!$B$62,AI74+AH75-AQ74)))</f>
        <v>244.79124999999996</v>
      </c>
      <c r="AJ75" s="13">
        <f>AI75*VLOOKUP('Données projet'!$B$10,Paramètres!$A$1:$I$89,3,0)*VLOOKUP('Données projet'!$B$10,Paramètres!$A$1:$I$89,5,0)</f>
        <v>232.94335349999997</v>
      </c>
      <c r="AK75" s="13">
        <f t="shared" si="89"/>
        <v>56.918631610926248</v>
      </c>
      <c r="AL75" s="20">
        <f t="shared" si="58"/>
        <v>504.84295740152987</v>
      </c>
      <c r="AM75" s="59">
        <f t="shared" si="59"/>
        <v>772.17467163905098</v>
      </c>
      <c r="AN75" s="59">
        <f ca="1">AVERAGE(OFFSET($AM$3,0,0,'Données projet'!$E$10+1,1))-AVERAGE(OFFSET($H$3,0,0,'Données projet'!$E$10+1,1))</f>
        <v>486.36097333679697</v>
      </c>
      <c r="AO75" s="59">
        <f t="shared" si="90"/>
        <v>308.47736602748159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15.948820830077015</v>
      </c>
      <c r="AV75" s="21">
        <f>EXP(-LN(2)/25)*AV74+(1-EXP(-LN(2)/25))/(LN(2)/25)*Calculateur!AQ75*Calculateur!AS75*VLOOKUP('Données projet'!$B$10,Paramètres!$A$1:$I$89,3,0)*0.475*44/12</f>
        <v>25.421915738167769</v>
      </c>
      <c r="AW75" s="21">
        <f>EXP(-LN(2)/2)*AW74+(1-EXP(-LN(2)/2))/(LN(2)/2)*AQ75*AT75*VLOOKUP('Données projet'!$B$10,Paramètres!$A$1:$I$89,3,0)*0.475*44/12</f>
        <v>0.72146987400643481</v>
      </c>
      <c r="AX75" s="21">
        <f t="shared" si="60"/>
        <v>42.092206442251218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272.03904</v>
      </c>
      <c r="BF75" s="13">
        <f t="shared" si="91"/>
        <v>65.281815371368268</v>
      </c>
      <c r="BG75" s="20">
        <f t="shared" si="61"/>
        <v>587.50048977179972</v>
      </c>
      <c r="BH75" s="59">
        <f t="shared" si="62"/>
        <v>854.83220400932078</v>
      </c>
      <c r="BI75" s="59">
        <f ca="1">AVERAGE(OFFSET($BH$3,0,0,'Données projet'!$E$11+1,1))-AVERAGE(OFFSET($H$3,0,0,'Données projet'!$E$11+1,1))</f>
        <v>408.246209980743</v>
      </c>
      <c r="BJ75" s="59">
        <f t="shared" si="92"/>
        <v>394.10236303013903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15.771525903503957</v>
      </c>
      <c r="BQ75" s="21">
        <f>EXP(-LN(2)/25)*BQ74+(1-EXP(-LN(2)/25))/(LN(2)/25)*Calculateur!BL75*Calculateur!BN75*VLOOKUP('Données projet'!$B$11,Paramètres!$A$1:$I$89,3,0)*0.475*44/12</f>
        <v>16.182517201847997</v>
      </c>
      <c r="BR75" s="21">
        <f>EXP(-LN(2)/2)*BR74+(1-EXP(-LN(2)/2))/(LN(2)/2)*BL75*BO75*VLOOKUP('Données projet'!$B$11,Paramètres!$A$1:$I$89,3,0)*0.475*44/12</f>
        <v>1.6328671996993427</v>
      </c>
      <c r="BS75" s="22">
        <f t="shared" si="63"/>
        <v>33.586910305051298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1048.2554340447623</v>
      </c>
      <c r="S76" s="59">
        <f ca="1">AVERAGE(OFFSET($R$3,0,0,'Données projet'!$E$9+1,1))-AVERAGE(OFFSET($H$3,0,0,'Données projet'!$E$9+1,1))</f>
        <v>737.40414421611001</v>
      </c>
      <c r="T76" s="59">
        <f t="shared" si="88"/>
        <v>245.32893490531674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9.65625</v>
      </c>
      <c r="AI76" s="13">
        <f>IF('Données projet'!$A$62&gt;35,AI75+AH76-AQ75,IF(A76&lt;'Données projet'!$A$62,$AF$205^A76,IF(A76='Données projet'!$A$62,'Données projet'!$B$62,AI75+AH76-AQ75)))</f>
        <v>254.44749999999996</v>
      </c>
      <c r="AJ76" s="13">
        <f>AI76*VLOOKUP('Données projet'!$B$10,Paramètres!$A$1:$I$89,3,0)*VLOOKUP('Données projet'!$B$10,Paramètres!$A$1:$I$89,5,0)</f>
        <v>242.13224099999996</v>
      </c>
      <c r="AK76" s="13">
        <f t="shared" si="89"/>
        <v>58.898056089565813</v>
      </c>
      <c r="AL76" s="20">
        <f t="shared" si="58"/>
        <v>524.29443409766043</v>
      </c>
      <c r="AM76" s="59">
        <f t="shared" si="59"/>
        <v>792.07721829558227</v>
      </c>
      <c r="AN76" s="59">
        <f ca="1">AVERAGE(OFFSET($AM$3,0,0,'Données projet'!$E$10+1,1))-AVERAGE(OFFSET($H$3,0,0,'Données projet'!$E$10+1,1))</f>
        <v>486.36097333679697</v>
      </c>
      <c r="AO76" s="59">
        <f t="shared" si="90"/>
        <v>308.47736602748159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15.636074181419369</v>
      </c>
      <c r="AV76" s="21">
        <f>EXP(-LN(2)/25)*AV75+(1-EXP(-LN(2)/25))/(LN(2)/25)*Calculateur!AQ76*Calculateur!AS76*VLOOKUP('Données projet'!$B$10,Paramètres!$A$1:$I$89,3,0)*0.475*44/12</f>
        <v>24.726752115427125</v>
      </c>
      <c r="AW76" s="21">
        <f>EXP(-LN(2)/2)*AW75+(1-EXP(-LN(2)/2))/(LN(2)/2)*AQ76*AT76*VLOOKUP('Données projet'!$B$10,Paramètres!$A$1:$I$89,3,0)*0.475*44/12</f>
        <v>0.51015624033175411</v>
      </c>
      <c r="AX76" s="21">
        <f t="shared" si="60"/>
        <v>40.872982537178245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275.70815999999996</v>
      </c>
      <c r="BF76" s="13">
        <f t="shared" si="91"/>
        <v>66.05920594467139</v>
      </c>
      <c r="BG76" s="20">
        <f t="shared" si="61"/>
        <v>595.24482902030275</v>
      </c>
      <c r="BH76" s="59">
        <f t="shared" si="62"/>
        <v>863.02761321822459</v>
      </c>
      <c r="BI76" s="59">
        <f ca="1">AVERAGE(OFFSET($BH$3,0,0,'Données projet'!$E$11+1,1))-AVERAGE(OFFSET($H$3,0,0,'Données projet'!$E$11+1,1))</f>
        <v>408.246209980743</v>
      </c>
      <c r="BJ76" s="59">
        <f t="shared" si="92"/>
        <v>394.10236303013903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15.46225590021718</v>
      </c>
      <c r="BQ76" s="21">
        <f>EXP(-LN(2)/25)*BQ75+(1-EXP(-LN(2)/25))/(LN(2)/25)*Calculateur!BL76*Calculateur!BN76*VLOOKUP('Données projet'!$B$11,Paramètres!$A$1:$I$89,3,0)*0.475*44/12</f>
        <v>15.74000541796187</v>
      </c>
      <c r="BR76" s="21">
        <f>EXP(-LN(2)/2)*BR75+(1-EXP(-LN(2)/2))/(LN(2)/2)*BL76*BO76*VLOOKUP('Données projet'!$B$11,Paramètres!$A$1:$I$89,3,0)*0.475*44/12</f>
        <v>1.1546114696844938</v>
      </c>
      <c r="BS76" s="22">
        <f t="shared" si="63"/>
        <v>32.356872787863544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1072.9874786462992</v>
      </c>
      <c r="S77" s="59">
        <f ca="1">AVERAGE(OFFSET($R$3,0,0,'Données projet'!$E$9+1,1))-AVERAGE(OFFSET($H$3,0,0,'Données projet'!$E$9+1,1))</f>
        <v>737.40414421611001</v>
      </c>
      <c r="T77" s="59">
        <f t="shared" si="88"/>
        <v>245.32893490531674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9.65625</v>
      </c>
      <c r="AI77" s="13">
        <f>IF('Données projet'!$A$62&gt;35,AI76+AH77-AQ76,IF(A77&lt;'Données projet'!$A$62,$AF$205^A77,IF(A77='Données projet'!$A$62,'Données projet'!$B$62,AI76+AH77-AQ76)))</f>
        <v>264.10374999999999</v>
      </c>
      <c r="AJ77" s="13">
        <f>AI77*VLOOKUP('Données projet'!$B$10,Paramètres!$A$1:$I$89,3,0)*VLOOKUP('Données projet'!$B$10,Paramètres!$A$1:$I$89,5,0)</f>
        <v>251.32112849999999</v>
      </c>
      <c r="AK77" s="13">
        <f t="shared" si="89"/>
        <v>60.868753799109797</v>
      </c>
      <c r="AL77" s="20">
        <f t="shared" si="58"/>
        <v>543.73071167094952</v>
      </c>
      <c r="AM77" s="59">
        <f t="shared" si="59"/>
        <v>811.95674077390038</v>
      </c>
      <c r="AN77" s="59">
        <f ca="1">AVERAGE(OFFSET($AM$3,0,0,'Données projet'!$E$10+1,1))-AVERAGE(OFFSET($H$3,0,0,'Données projet'!$E$10+1,1))</f>
        <v>486.36097333679697</v>
      </c>
      <c r="AO77" s="59">
        <f t="shared" si="90"/>
        <v>308.47736602748159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15.329460303785279</v>
      </c>
      <c r="AV77" s="21">
        <f>EXP(-LN(2)/25)*AV76+(1-EXP(-LN(2)/25))/(LN(2)/25)*Calculateur!AQ77*Calculateur!AS77*VLOOKUP('Données projet'!$B$10,Paramètres!$A$1:$I$89,3,0)*0.475*44/12</f>
        <v>24.050597778507392</v>
      </c>
      <c r="AW77" s="21">
        <f>EXP(-LN(2)/2)*AW76+(1-EXP(-LN(2)/2))/(LN(2)/2)*AQ77*AT77*VLOOKUP('Données projet'!$B$10,Paramètres!$A$1:$I$89,3,0)*0.475*44/12</f>
        <v>0.3607349370032174</v>
      </c>
      <c r="AX77" s="21">
        <f t="shared" si="60"/>
        <v>39.740793019295886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279.37727999999993</v>
      </c>
      <c r="BF77" s="13">
        <f t="shared" si="91"/>
        <v>66.835393196206056</v>
      </c>
      <c r="BG77" s="20">
        <f t="shared" si="61"/>
        <v>602.98707248339201</v>
      </c>
      <c r="BH77" s="59">
        <f t="shared" si="62"/>
        <v>871.21310158634287</v>
      </c>
      <c r="BI77" s="59">
        <f ca="1">AVERAGE(OFFSET($BH$3,0,0,'Données projet'!$E$11+1,1))-AVERAGE(OFFSET($H$3,0,0,'Données projet'!$E$11+1,1))</f>
        <v>408.246209980743</v>
      </c>
      <c r="BJ77" s="59">
        <f t="shared" si="92"/>
        <v>394.10236303013903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15.159050493058782</v>
      </c>
      <c r="BQ77" s="21">
        <f>EXP(-LN(2)/25)*BQ76+(1-EXP(-LN(2)/25))/(LN(2)/25)*Calculateur!BL77*Calculateur!BN77*VLOOKUP('Données projet'!$B$11,Paramètres!$A$1:$I$89,3,0)*0.475*44/12</f>
        <v>15.309594142076792</v>
      </c>
      <c r="BR77" s="21">
        <f>EXP(-LN(2)/2)*BR76+(1-EXP(-LN(2)/2))/(LN(2)/2)*BL77*BO77*VLOOKUP('Données projet'!$B$11,Paramètres!$A$1:$I$89,3,0)*0.475*44/12</f>
        <v>0.81643359984967145</v>
      </c>
      <c r="BS77" s="22">
        <f t="shared" si="63"/>
        <v>31.285078234985246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953.28136805356326</v>
      </c>
      <c r="S78" s="59">
        <f ca="1">AVERAGE(OFFSET($R$3,0,0,'Données projet'!$E$9+1,1))-AVERAGE(OFFSET($H$3,0,0,'Données projet'!$E$9+1,1))</f>
        <v>737.40414421611001</v>
      </c>
      <c r="T78" s="59">
        <f t="shared" si="88"/>
        <v>245.32893490531674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273.76</v>
      </c>
      <c r="AG78" s="12">
        <f>VLOOKUP(A78,'Données projet'!$A$61:$I$81,9,0)</f>
        <v>9.65625</v>
      </c>
      <c r="AH78" s="12">
        <f t="array" ref="AH78">INDEX(AG:AG,MIN(IF(ISNUMBER(AG78:AG274),ROW(AG78:AG274),"")))</f>
        <v>9.65625</v>
      </c>
      <c r="AI78" s="13">
        <f>IF('Données projet'!$A$62&gt;35,AI77+AH78-AQ77,IF(A78&lt;'Données projet'!$A$62,$AF$205^A78,IF(A78='Données projet'!$A$62,'Données projet'!$B$62,AI77+AH78-AQ77)))</f>
        <v>273.76</v>
      </c>
      <c r="AJ78" s="13">
        <f>AI78*VLOOKUP('Données projet'!$B$10,Paramètres!$A$1:$I$89,3,0)*VLOOKUP('Données projet'!$B$10,Paramètres!$A$1:$I$89,5,0)</f>
        <v>260.51001600000001</v>
      </c>
      <c r="AK78" s="13">
        <f t="shared" si="89"/>
        <v>62.831080354761788</v>
      </c>
      <c r="AL78" s="20">
        <f t="shared" si="58"/>
        <v>563.15240948454345</v>
      </c>
      <c r="AM78" s="59">
        <f t="shared" si="59"/>
        <v>831.81399418436831</v>
      </c>
      <c r="AN78" s="59">
        <f ca="1">AVERAGE(OFFSET($AM$3,0,0,'Données projet'!$E$10+1,1))-AVERAGE(OFFSET($H$3,0,0,'Données projet'!$E$10+1,1))</f>
        <v>486.36097333679697</v>
      </c>
      <c r="AO78" s="59">
        <f t="shared" si="90"/>
        <v>308.47736602748159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43.519999999999982</v>
      </c>
      <c r="AR78" s="16">
        <f>IF(ISNA(VLOOKUP(A78,'Données projet'!$A$61:$I$81,5,0)),0%,VLOOKUP(A78,'Données projet'!$A$61:$I$81,5,0)*VLOOKUP('Données projet'!$B$10,Paramètres!$A$1:$I$89,7,0))</f>
        <v>0.15049999999999999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0.1</v>
      </c>
      <c r="AU78" s="21">
        <f>EXP(-LN(2)/35)*AU77+(1-EXP(-LN(2)/35))/(LN(2)/35)*AQ78*AR78*VLOOKUP('Données projet'!$B$10,Paramètres!$A$1:$I$89,3,0)*0.475*44/12</f>
        <v>21.918981231749719</v>
      </c>
      <c r="AV78" s="21">
        <f>EXP(-LN(2)/25)*AV77+(1-EXP(-LN(2)/25))/(LN(2)/25)*Calculateur!AQ78*Calculateur!AS78*VLOOKUP('Données projet'!$B$10,Paramètres!$A$1:$I$89,3,0)*0.475*44/12</f>
        <v>27.314643350435777</v>
      </c>
      <c r="AW78" s="21">
        <f>EXP(-LN(2)/2)*AW77+(1-EXP(-LN(2)/2))/(LN(2)/2)*AQ78*AT78*VLOOKUP('Données projet'!$B$10,Paramètres!$A$1:$I$89,3,0)*0.475*44/12</f>
        <v>4.1625657625221733</v>
      </c>
      <c r="AX78" s="21">
        <f t="shared" si="60"/>
        <v>53.396190344707669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283.04639999999989</v>
      </c>
      <c r="BF78" s="13">
        <f t="shared" si="91"/>
        <v>67.610394756513259</v>
      </c>
      <c r="BG78" s="20">
        <f t="shared" si="61"/>
        <v>610.72725086759363</v>
      </c>
      <c r="BH78" s="59">
        <f t="shared" si="62"/>
        <v>879.38883556741848</v>
      </c>
      <c r="BI78" s="59">
        <f ca="1">AVERAGE(OFFSET($BH$3,0,0,'Données projet'!$E$11+1,1))-AVERAGE(OFFSET($H$3,0,0,'Données projet'!$E$11+1,1))</f>
        <v>408.246209980743</v>
      </c>
      <c r="BJ78" s="59">
        <f t="shared" si="92"/>
        <v>394.10236303013903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16.3973156474581</v>
      </c>
      <c r="BQ78" s="21">
        <f>EXP(-LN(2)/25)*BQ77+(1-EXP(-LN(2)/25))/(LN(2)/25)*Calculateur!BL78*Calculateur!BN78*VLOOKUP('Données projet'!$B$11,Paramètres!$A$1:$I$89,3,0)*0.475*44/12</f>
        <v>16.420431427058794</v>
      </c>
      <c r="BR78" s="21">
        <f>EXP(-LN(2)/2)*BR77+(1-EXP(-LN(2)/2))/(LN(2)/2)*BL78*BO78*VLOOKUP('Données projet'!$B$11,Paramètres!$A$1:$I$89,3,0)*0.475*44/12</f>
        <v>3.0501010726400488</v>
      </c>
      <c r="BS78" s="22">
        <f t="shared" si="63"/>
        <v>35.867848147156941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976.70629420533442</v>
      </c>
      <c r="S79" s="59">
        <f ca="1">AVERAGE(OFFSET($R$3,0,0,'Données projet'!$E$9+1,1))-AVERAGE(OFFSET($H$3,0,0,'Données projet'!$E$9+1,1))</f>
        <v>737.40414421611001</v>
      </c>
      <c r="T79" s="59">
        <f t="shared" si="88"/>
        <v>245.32893490531674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9.4837500000000006</v>
      </c>
      <c r="AI79" s="13">
        <f>IF('Données projet'!$A$62&gt;35,AI78+AH79-AQ78,IF(A79&lt;'Données projet'!$A$62,$AF$205^A79,IF(A79='Données projet'!$A$62,'Données projet'!$B$62,AI78+AH79-AQ78)))</f>
        <v>239.72375</v>
      </c>
      <c r="AJ79" s="13">
        <f>AI79*VLOOKUP('Données projet'!$B$10,Paramètres!$A$1:$I$89,3,0)*VLOOKUP('Données projet'!$B$10,Paramètres!$A$1:$I$89,5,0)</f>
        <v>228.12112049999999</v>
      </c>
      <c r="AK79" s="13">
        <f t="shared" si="89"/>
        <v>55.876230114888095</v>
      </c>
      <c r="AL79" s="20">
        <f t="shared" si="58"/>
        <v>494.62871898759676</v>
      </c>
      <c r="AM79" s="59">
        <f t="shared" si="59"/>
        <v>763.71830336844619</v>
      </c>
      <c r="AN79" s="59">
        <f ca="1">AVERAGE(OFFSET($AM$3,0,0,'Données projet'!$E$10+1,1))-AVERAGE(OFFSET($H$3,0,0,'Données projet'!$E$10+1,1))</f>
        <v>486.36097333679697</v>
      </c>
      <c r="AO79" s="59">
        <f t="shared" si="90"/>
        <v>308.47736602748159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21.489163379053554</v>
      </c>
      <c r="AV79" s="21">
        <f>EXP(-LN(2)/25)*AV78+(1-EXP(-LN(2)/25))/(LN(2)/25)*Calculateur!AQ79*Calculateur!AS79*VLOOKUP('Données projet'!$B$10,Paramètres!$A$1:$I$89,3,0)*0.475*44/12</f>
        <v>26.567722991603446</v>
      </c>
      <c r="AW79" s="21">
        <f>EXP(-LN(2)/2)*AW78+(1-EXP(-LN(2)/2))/(LN(2)/2)*AQ79*AT79*VLOOKUP('Données projet'!$B$10,Paramètres!$A$1:$I$89,3,0)*0.475*44/12</f>
        <v>2.943378477814381</v>
      </c>
      <c r="AX79" s="21">
        <f t="shared" si="60"/>
        <v>51.000264848471375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275.70815999999996</v>
      </c>
      <c r="BF79" s="13">
        <f t="shared" si="91"/>
        <v>66.05920594467139</v>
      </c>
      <c r="BG79" s="20">
        <f t="shared" si="61"/>
        <v>595.24482902030275</v>
      </c>
      <c r="BH79" s="59">
        <f t="shared" si="62"/>
        <v>864.33441340115223</v>
      </c>
      <c r="BI79" s="59">
        <f ca="1">AVERAGE(OFFSET($BH$3,0,0,'Données projet'!$E$11+1,1))-AVERAGE(OFFSET($H$3,0,0,'Données projet'!$E$11+1,1))</f>
        <v>408.246209980743</v>
      </c>
      <c r="BJ79" s="59">
        <f t="shared" si="92"/>
        <v>394.10236303013903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16.075774288986437</v>
      </c>
      <c r="BQ79" s="21">
        <f>EXP(-LN(2)/25)*BQ78+(1-EXP(-LN(2)/25))/(LN(2)/25)*Calculateur!BL79*Calculateur!BN79*VLOOKUP('Données projet'!$B$11,Paramètres!$A$1:$I$89,3,0)*0.475*44/12</f>
        <v>15.971413866172913</v>
      </c>
      <c r="BR79" s="21">
        <f>EXP(-LN(2)/2)*BR78+(1-EXP(-LN(2)/2))/(LN(2)/2)*BL79*BO79*VLOOKUP('Données projet'!$B$11,Paramètres!$A$1:$I$89,3,0)*0.475*44/12</f>
        <v>2.1567471517681409</v>
      </c>
      <c r="BS79" s="22">
        <f t="shared" si="63"/>
        <v>34.203935306927491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1000.1085211533309</v>
      </c>
      <c r="S80" s="59">
        <f ca="1">AVERAGE(OFFSET($R$3,0,0,'Données projet'!$E$9+1,1))-AVERAGE(OFFSET($H$3,0,0,'Données projet'!$E$9+1,1))</f>
        <v>737.40414421611001</v>
      </c>
      <c r="T80" s="59">
        <f t="shared" si="88"/>
        <v>245.32893490531674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9.4837500000000006</v>
      </c>
      <c r="AI80" s="13">
        <f>IF('Données projet'!$A$62&gt;35,AI79+AH80-AQ79,IF(A80&lt;'Données projet'!$A$62,$AF$205^A80,IF(A80='Données projet'!$A$62,'Données projet'!$B$62,AI79+AH80-AQ79)))</f>
        <v>249.20749999999998</v>
      </c>
      <c r="AJ80" s="13">
        <f>AI80*VLOOKUP('Données projet'!$B$10,Paramètres!$A$1:$I$89,3,0)*VLOOKUP('Données projet'!$B$10,Paramètres!$A$1:$I$89,5,0)</f>
        <v>237.14585699999998</v>
      </c>
      <c r="AK80" s="13">
        <f t="shared" si="89"/>
        <v>57.825020794330889</v>
      </c>
      <c r="AL80" s="20">
        <f t="shared" si="58"/>
        <v>513.74094549179301</v>
      </c>
      <c r="AM80" s="59">
        <f t="shared" si="59"/>
        <v>783.25110471606536</v>
      </c>
      <c r="AN80" s="59">
        <f ca="1">AVERAGE(OFFSET($AM$3,0,0,'Données projet'!$E$10+1,1))-AVERAGE(OFFSET($H$3,0,0,'Données projet'!$E$10+1,1))</f>
        <v>486.36097333679697</v>
      </c>
      <c r="AO80" s="59">
        <f t="shared" si="90"/>
        <v>308.47736602748159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21.067773992285758</v>
      </c>
      <c r="AV80" s="21">
        <f>EXP(-LN(2)/25)*AV79+(1-EXP(-LN(2)/25))/(LN(2)/25)*Calculateur!AQ80*Calculateur!AS80*VLOOKUP('Données projet'!$B$10,Paramètres!$A$1:$I$89,3,0)*0.475*44/12</f>
        <v>25.841227209262218</v>
      </c>
      <c r="AW80" s="21">
        <f>EXP(-LN(2)/2)*AW79+(1-EXP(-LN(2)/2))/(LN(2)/2)*AQ80*AT80*VLOOKUP('Données projet'!$B$10,Paramètres!$A$1:$I$89,3,0)*0.475*44/12</f>
        <v>2.0812828812610871</v>
      </c>
      <c r="AX80" s="21">
        <f t="shared" si="60"/>
        <v>48.990284082809069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278.85311999999999</v>
      </c>
      <c r="BF80" s="13">
        <f t="shared" si="91"/>
        <v>66.724582302351905</v>
      </c>
      <c r="BG80" s="20">
        <f t="shared" si="61"/>
        <v>601.88116484326292</v>
      </c>
      <c r="BH80" s="59">
        <f t="shared" si="62"/>
        <v>871.39132406753515</v>
      </c>
      <c r="BI80" s="59">
        <f ca="1">AVERAGE(OFFSET($BH$3,0,0,'Données projet'!$E$11+1,1))-AVERAGE(OFFSET($H$3,0,0,'Données projet'!$E$11+1,1))</f>
        <v>408.246209980743</v>
      </c>
      <c r="BJ80" s="59">
        <f t="shared" si="92"/>
        <v>394.10236303013903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15.760538160433541</v>
      </c>
      <c r="BQ80" s="21">
        <f>EXP(-LN(2)/25)*BQ79+(1-EXP(-LN(2)/25))/(LN(2)/25)*Calculateur!BL80*Calculateur!BN80*VLOOKUP('Données projet'!$B$11,Paramètres!$A$1:$I$89,3,0)*0.475*44/12</f>
        <v>15.534674714102263</v>
      </c>
      <c r="BR80" s="21">
        <f>EXP(-LN(2)/2)*BR79+(1-EXP(-LN(2)/2))/(LN(2)/2)*BL80*BO80*VLOOKUP('Données projet'!$B$11,Paramètres!$A$1:$I$89,3,0)*0.475*44/12</f>
        <v>1.5250505363200246</v>
      </c>
      <c r="BS80" s="22">
        <f t="shared" si="63"/>
        <v>32.82026341085583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1023.4887251861309</v>
      </c>
      <c r="S81" s="59">
        <f ca="1">AVERAGE(OFFSET($R$3,0,0,'Données projet'!$E$9+1,1))-AVERAGE(OFFSET($H$3,0,0,'Données projet'!$E$9+1,1))</f>
        <v>737.40414421611001</v>
      </c>
      <c r="T81" s="59">
        <f t="shared" si="88"/>
        <v>245.32893490531674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9.4837500000000006</v>
      </c>
      <c r="AI81" s="13">
        <f>IF('Données projet'!$A$62&gt;35,AI80+AH81-AQ80,IF(A81&lt;'Données projet'!$A$62,$AF$205^A81,IF(A81='Données projet'!$A$62,'Données projet'!$B$62,AI80+AH81-AQ80)))</f>
        <v>258.69124999999997</v>
      </c>
      <c r="AJ81" s="13">
        <f>AI81*VLOOKUP('Données projet'!$B$10,Paramètres!$A$1:$I$89,3,0)*VLOOKUP('Données projet'!$B$10,Paramètres!$A$1:$I$89,5,0)</f>
        <v>246.17059349999994</v>
      </c>
      <c r="AK81" s="13">
        <f t="shared" si="89"/>
        <v>59.765195857244478</v>
      </c>
      <c r="AL81" s="20">
        <f t="shared" si="58"/>
        <v>532.83816646386731</v>
      </c>
      <c r="AM81" s="59">
        <f t="shared" si="59"/>
        <v>802.76160449829354</v>
      </c>
      <c r="AN81" s="59">
        <f ca="1">AVERAGE(OFFSET($AM$3,0,0,'Données projet'!$E$10+1,1))-AVERAGE(OFFSET($H$3,0,0,'Données projet'!$E$10+1,1))</f>
        <v>486.36097333679697</v>
      </c>
      <c r="AO81" s="59">
        <f t="shared" si="90"/>
        <v>308.47736602748159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20.65464779437033</v>
      </c>
      <c r="AV81" s="21">
        <f>EXP(-LN(2)/25)*AV80+(1-EXP(-LN(2)/25))/(LN(2)/25)*Calculateur!AQ81*Calculateur!AS81*VLOOKUP('Données projet'!$B$10,Paramètres!$A$1:$I$89,3,0)*0.475*44/12</f>
        <v>25.134597492293864</v>
      </c>
      <c r="AW81" s="21">
        <f>EXP(-LN(2)/2)*AW80+(1-EXP(-LN(2)/2))/(LN(2)/2)*AQ81*AT81*VLOOKUP('Données projet'!$B$10,Paramètres!$A$1:$I$89,3,0)*0.475*44/12</f>
        <v>1.4716892389071907</v>
      </c>
      <c r="AX81" s="21">
        <f t="shared" si="60"/>
        <v>47.260934525571386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281.99808000000002</v>
      </c>
      <c r="BF81" s="13">
        <f t="shared" si="91"/>
        <v>67.389085719488818</v>
      </c>
      <c r="BG81" s="20">
        <f t="shared" si="61"/>
        <v>608.51598029477634</v>
      </c>
      <c r="BH81" s="59">
        <f t="shared" si="62"/>
        <v>878.43941832920257</v>
      </c>
      <c r="BI81" s="59">
        <f ca="1">AVERAGE(OFFSET($BH$3,0,0,'Données projet'!$E$11+1,1))-AVERAGE(OFFSET($H$3,0,0,'Données projet'!$E$11+1,1))</f>
        <v>408.246209980743</v>
      </c>
      <c r="BJ81" s="59">
        <f t="shared" si="92"/>
        <v>394.10236303013903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15.451483620086513</v>
      </c>
      <c r="BQ81" s="21">
        <f>EXP(-LN(2)/25)*BQ80+(1-EXP(-LN(2)/25))/(LN(2)/25)*Calculateur!BL81*Calculateur!BN81*VLOOKUP('Données projet'!$B$11,Paramètres!$A$1:$I$89,3,0)*0.475*44/12</f>
        <v>15.109878217112097</v>
      </c>
      <c r="BR81" s="21">
        <f>EXP(-LN(2)/2)*BR80+(1-EXP(-LN(2)/2))/(LN(2)/2)*BL81*BO81*VLOOKUP('Données projet'!$B$11,Paramètres!$A$1:$I$89,3,0)*0.475*44/12</f>
        <v>1.0783735758840707</v>
      </c>
      <c r="BS81" s="22">
        <f t="shared" si="63"/>
        <v>31.639735413082683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1046.8475443083191</v>
      </c>
      <c r="S82" s="59">
        <f ca="1">AVERAGE(OFFSET($R$3,0,0,'Données projet'!$E$9+1,1))-AVERAGE(OFFSET($H$3,0,0,'Données projet'!$E$9+1,1))</f>
        <v>737.40414421611001</v>
      </c>
      <c r="T82" s="59">
        <f t="shared" si="88"/>
        <v>245.32893490531674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9.4837500000000006</v>
      </c>
      <c r="AI82" s="13">
        <f>IF('Données projet'!$A$62&gt;35,AI81+AH82-AQ81,IF(A82&lt;'Données projet'!$A$62,$AF$205^A82,IF(A82='Données projet'!$A$62,'Données projet'!$B$62,AI81+AH82-AQ81)))</f>
        <v>268.17499999999995</v>
      </c>
      <c r="AJ82" s="13">
        <f>AI82*VLOOKUP('Données projet'!$B$10,Paramètres!$A$1:$I$89,3,0)*VLOOKUP('Données projet'!$B$10,Paramètres!$A$1:$I$89,5,0)</f>
        <v>255.19532999999996</v>
      </c>
      <c r="AK82" s="13">
        <f t="shared" si="89"/>
        <v>61.697107330819122</v>
      </c>
      <c r="AL82" s="20">
        <f t="shared" si="58"/>
        <v>551.92099501784321</v>
      </c>
      <c r="AM82" s="59">
        <f t="shared" si="59"/>
        <v>822.25054239902011</v>
      </c>
      <c r="AN82" s="59">
        <f ca="1">AVERAGE(OFFSET($AM$3,0,0,'Données projet'!$E$10+1,1))-AVERAGE(OFFSET($H$3,0,0,'Données projet'!$E$10+1,1))</f>
        <v>486.36097333679697</v>
      </c>
      <c r="AO82" s="59">
        <f t="shared" si="90"/>
        <v>308.47736602748159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20.249622749213923</v>
      </c>
      <c r="AV82" s="21">
        <f>EXP(-LN(2)/25)*AV81+(1-EXP(-LN(2)/25))/(LN(2)/25)*Calculateur!AQ82*Calculateur!AS82*VLOOKUP('Données projet'!$B$10,Paramètres!$A$1:$I$89,3,0)*0.475*44/12</f>
        <v>24.44729060209605</v>
      </c>
      <c r="AW82" s="21">
        <f>EXP(-LN(2)/2)*AW81+(1-EXP(-LN(2)/2))/(LN(2)/2)*AQ82*AT82*VLOOKUP('Données projet'!$B$10,Paramètres!$A$1:$I$89,3,0)*0.475*44/12</f>
        <v>1.0406414406305435</v>
      </c>
      <c r="AX82" s="21">
        <f t="shared" si="60"/>
        <v>45.737554791940518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285.14303999999998</v>
      </c>
      <c r="BF82" s="13">
        <f t="shared" si="91"/>
        <v>68.052727058079924</v>
      </c>
      <c r="BG82" s="20">
        <f t="shared" si="61"/>
        <v>615.14929429282256</v>
      </c>
      <c r="BH82" s="59">
        <f t="shared" si="62"/>
        <v>885.47884167399957</v>
      </c>
      <c r="BI82" s="59">
        <f ca="1">AVERAGE(OFFSET($BH$3,0,0,'Données projet'!$E$11+1,1))-AVERAGE(OFFSET($H$3,0,0,'Données projet'!$E$11+1,1))</f>
        <v>408.246209980743</v>
      </c>
      <c r="BJ82" s="59">
        <f t="shared" si="92"/>
        <v>394.10236303013903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15.148489450771036</v>
      </c>
      <c r="BQ82" s="21">
        <f>EXP(-LN(2)/25)*BQ81+(1-EXP(-LN(2)/25))/(LN(2)/25)*Calculateur!BL82*Calculateur!BN82*VLOOKUP('Données projet'!$B$11,Paramètres!$A$1:$I$89,3,0)*0.475*44/12</f>
        <v>14.696697802671206</v>
      </c>
      <c r="BR82" s="21">
        <f>EXP(-LN(2)/2)*BR81+(1-EXP(-LN(2)/2))/(LN(2)/2)*BL82*BO82*VLOOKUP('Données projet'!$B$11,Paramètres!$A$1:$I$89,3,0)*0.475*44/12</f>
        <v>0.76252526816001243</v>
      </c>
      <c r="BS82" s="22">
        <f t="shared" si="63"/>
        <v>30.607712521602252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1070.1855816695559</v>
      </c>
      <c r="S83" s="59">
        <f ca="1">AVERAGE(OFFSET($R$3,0,0,'Données projet'!$E$9+1,1))-AVERAGE(OFFSET($H$3,0,0,'Données projet'!$E$9+1,1))</f>
        <v>737.40414421611001</v>
      </c>
      <c r="T83" s="59">
        <f t="shared" si="88"/>
        <v>245.32893490531674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9.4837500000000006</v>
      </c>
      <c r="AI83" s="13">
        <f>IF('Données projet'!$A$62&gt;35,AI82+AH83-AQ82,IF(A83&lt;'Données projet'!$A$62,$AF$205^A83,IF(A83='Données projet'!$A$62,'Données projet'!$B$62,AI82+AH83-AQ82)))</f>
        <v>277.65874999999994</v>
      </c>
      <c r="AJ83" s="13">
        <f>AI83*VLOOKUP('Données projet'!$B$10,Paramètres!$A$1:$I$89,3,0)*VLOOKUP('Données projet'!$B$10,Paramètres!$A$1:$I$89,5,0)</f>
        <v>264.22006649999997</v>
      </c>
      <c r="AK83" s="13">
        <f t="shared" si="89"/>
        <v>63.621080932408354</v>
      </c>
      <c r="AL83" s="20">
        <f t="shared" si="58"/>
        <v>570.98999844477783</v>
      </c>
      <c r="AM83" s="59">
        <f t="shared" si="59"/>
        <v>841.718610083464</v>
      </c>
      <c r="AN83" s="59">
        <f ca="1">AVERAGE(OFFSET($AM$3,0,0,'Données projet'!$E$10+1,1))-AVERAGE(OFFSET($H$3,0,0,'Données projet'!$E$10+1,1))</f>
        <v>486.36097333679697</v>
      </c>
      <c r="AO83" s="59">
        <f t="shared" si="90"/>
        <v>308.47736602748159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19.85253999815215</v>
      </c>
      <c r="AV83" s="21">
        <f>EXP(-LN(2)/25)*AV82+(1-EXP(-LN(2)/25))/(LN(2)/25)*Calculateur!AQ83*Calculateur!AS83*VLOOKUP('Données projet'!$B$10,Paramètres!$A$1:$I$89,3,0)*0.475*44/12</f>
        <v>23.778778154954598</v>
      </c>
      <c r="AW83" s="21">
        <f>EXP(-LN(2)/2)*AW82+(1-EXP(-LN(2)/2))/(LN(2)/2)*AQ83*AT83*VLOOKUP('Données projet'!$B$10,Paramètres!$A$1:$I$89,3,0)*0.475*44/12</f>
        <v>0.73584461945359536</v>
      </c>
      <c r="AX83" s="21">
        <f t="shared" si="60"/>
        <v>44.367162772560341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288.28800000000001</v>
      </c>
      <c r="BF83" s="13">
        <f t="shared" si="91"/>
        <v>68.715516926722444</v>
      </c>
      <c r="BG83" s="20">
        <f t="shared" si="61"/>
        <v>621.78112531404156</v>
      </c>
      <c r="BH83" s="59">
        <f t="shared" si="62"/>
        <v>892.50973695272774</v>
      </c>
      <c r="BI83" s="59">
        <f ca="1">AVERAGE(OFFSET($BH$3,0,0,'Données projet'!$E$11+1,1))-AVERAGE(OFFSET($H$3,0,0,'Données projet'!$E$11+1,1))</f>
        <v>408.246209980743</v>
      </c>
      <c r="BJ83" s="59">
        <f t="shared" si="92"/>
        <v>394.10236303013903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57.078371244968004</v>
      </c>
      <c r="BQ83" s="21">
        <f>EXP(-LN(2)/25)*BQ82+(1-EXP(-LN(2)/25))/(LN(2)/25)*Calculateur!BL83*Calculateur!BN83*VLOOKUP('Données projet'!$B$11,Paramètres!$A$1:$I$89,3,0)*0.475*44/12</f>
        <v>56.35548673046695</v>
      </c>
      <c r="BR83" s="21">
        <f>EXP(-LN(2)/2)*BR82+(1-EXP(-LN(2)/2))/(LN(2)/2)*BL83*BO83*VLOOKUP('Données projet'!$B$11,Paramètres!$A$1:$I$89,3,0)*0.475*44/12</f>
        <v>68.541058577381563</v>
      </c>
      <c r="BS83" s="22">
        <f t="shared" si="63"/>
        <v>181.97491655281652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1093.5034085841019</v>
      </c>
      <c r="S84" s="59">
        <f ca="1">AVERAGE(OFFSET($R$3,0,0,'Données projet'!$E$9+1,1))-AVERAGE(OFFSET($H$3,0,0,'Données projet'!$E$9+1,1))</f>
        <v>737.40414421611001</v>
      </c>
      <c r="T84" s="59">
        <f t="shared" si="88"/>
        <v>245.32893490531674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9.4837500000000006</v>
      </c>
      <c r="AI84" s="13">
        <f>IF('Données projet'!$A$62&gt;35,AI83+AH84-AQ83,IF(A84&lt;'Données projet'!$A$62,$AF$205^A84,IF(A84='Données projet'!$A$62,'Données projet'!$B$62,AI83+AH84-AQ83)))</f>
        <v>287.14249999999993</v>
      </c>
      <c r="AJ84" s="13">
        <f>AI84*VLOOKUP('Données projet'!$B$10,Paramètres!$A$1:$I$89,3,0)*VLOOKUP('Données projet'!$B$10,Paramètres!$A$1:$I$89,5,0)</f>
        <v>273.24480299999993</v>
      </c>
      <c r="AK84" s="13">
        <f t="shared" si="89"/>
        <v>65.537418866724181</v>
      </c>
      <c r="AL84" s="20">
        <f t="shared" si="58"/>
        <v>590.04570308454447</v>
      </c>
      <c r="AM84" s="59">
        <f t="shared" si="59"/>
        <v>861.16645610804585</v>
      </c>
      <c r="AN84" s="59">
        <f ca="1">AVERAGE(OFFSET($AM$3,0,0,'Données projet'!$E$10+1,1))-AVERAGE(OFFSET($H$3,0,0,'Données projet'!$E$10+1,1))</f>
        <v>486.36097333679697</v>
      </c>
      <c r="AO84" s="59">
        <f t="shared" si="90"/>
        <v>308.47736602748159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19.463243797642136</v>
      </c>
      <c r="AV84" s="21">
        <f>EXP(-LN(2)/25)*AV83+(1-EXP(-LN(2)/25))/(LN(2)/25)*Calculateur!AQ84*Calculateur!AS84*VLOOKUP('Données projet'!$B$10,Paramètres!$A$1:$I$89,3,0)*0.475*44/12</f>
        <v>23.128546215835769</v>
      </c>
      <c r="AW84" s="21">
        <f>EXP(-LN(2)/2)*AW83+(1-EXP(-LN(2)/2))/(LN(2)/2)*AQ84*AT84*VLOOKUP('Données projet'!$B$10,Paramètres!$A$1:$I$89,3,0)*0.475*44/12</f>
        <v>0.52032072031527177</v>
      </c>
      <c r="AX84" s="21">
        <f t="shared" si="60"/>
        <v>43.112110733793173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408.246209980743</v>
      </c>
      <c r="BJ84" s="59">
        <f t="shared" si="92"/>
        <v>394.10236303013903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55.959099199223004</v>
      </c>
      <c r="BQ84" s="21">
        <f>EXP(-LN(2)/25)*BQ83+(1-EXP(-LN(2)/25))/(LN(2)/25)*Calculateur!BL84*Calculateur!BN84*VLOOKUP('Données projet'!$B$11,Paramètres!$A$1:$I$89,3,0)*0.475*44/12</f>
        <v>54.814442982216086</v>
      </c>
      <c r="BR84" s="21">
        <f>EXP(-LN(2)/2)*BR83+(1-EXP(-LN(2)/2))/(LN(2)/2)*BL84*BO84*VLOOKUP('Données projet'!$B$11,Paramètres!$A$1:$I$89,3,0)*0.475*44/12</f>
        <v>48.465847309770886</v>
      </c>
      <c r="BS84" s="22">
        <f t="shared" si="63"/>
        <v>159.23938949120998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1116.8015672003612</v>
      </c>
      <c r="S85" s="59">
        <f ca="1">AVERAGE(OFFSET($R$3,0,0,'Données projet'!$E$9+1,1))-AVERAGE(OFFSET($H$3,0,0,'Données projet'!$E$9+1,1))</f>
        <v>737.40414421611001</v>
      </c>
      <c r="T85" s="59">
        <f t="shared" si="88"/>
        <v>245.32893490531674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9.4837500000000006</v>
      </c>
      <c r="AI85" s="13">
        <f>IF('Données projet'!$A$62&gt;35,AI84+AH85-AQ84,IF(A85&lt;'Données projet'!$A$62,$AF$205^A85,IF(A85='Données projet'!$A$62,'Données projet'!$B$62,AI84+AH85-AQ84)))</f>
        <v>296.62624999999991</v>
      </c>
      <c r="AJ85" s="13">
        <f>AI85*VLOOKUP('Données projet'!$B$10,Paramètres!$A$1:$I$89,3,0)*VLOOKUP('Données projet'!$B$10,Paramètres!$A$1:$I$89,5,0)</f>
        <v>282.26953949999995</v>
      </c>
      <c r="AK85" s="13">
        <f t="shared" si="89"/>
        <v>67.446402243109091</v>
      </c>
      <c r="AL85" s="20">
        <f t="shared" si="58"/>
        <v>609.08859853591491</v>
      </c>
      <c r="AM85" s="59">
        <f t="shared" si="59"/>
        <v>880.59469016790194</v>
      </c>
      <c r="AN85" s="59">
        <f ca="1">AVERAGE(OFFSET($AM$3,0,0,'Données projet'!$E$10+1,1))-AVERAGE(OFFSET($H$3,0,0,'Données projet'!$E$10+1,1))</f>
        <v>486.36097333679697</v>
      </c>
      <c r="AO85" s="59">
        <f t="shared" si="90"/>
        <v>308.47736602748159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19.081581458176885</v>
      </c>
      <c r="AV85" s="21">
        <f>EXP(-LN(2)/25)*AV84+(1-EXP(-LN(2)/25))/(LN(2)/25)*Calculateur!AQ85*Calculateur!AS85*VLOOKUP('Données projet'!$B$10,Paramètres!$A$1:$I$89,3,0)*0.475*44/12</f>
        <v>22.496094903286355</v>
      </c>
      <c r="AW85" s="21">
        <f>EXP(-LN(2)/2)*AW84+(1-EXP(-LN(2)/2))/(LN(2)/2)*AQ85*AT85*VLOOKUP('Données projet'!$B$10,Paramètres!$A$1:$I$89,3,0)*0.475*44/12</f>
        <v>0.36792230972679768</v>
      </c>
      <c r="AX85" s="21">
        <f t="shared" si="60"/>
        <v>41.945598671190041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408.246209980743</v>
      </c>
      <c r="BJ85" s="59">
        <f t="shared" si="92"/>
        <v>394.10236303013903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54.861775395606529</v>
      </c>
      <c r="BQ85" s="21">
        <f>EXP(-LN(2)/25)*BQ84+(1-EXP(-LN(2)/25))/(LN(2)/25)*Calculateur!BL85*Calculateur!BN85*VLOOKUP('Données projet'!$B$11,Paramètres!$A$1:$I$89,3,0)*0.475*44/12</f>
        <v>53.315539156301114</v>
      </c>
      <c r="BR85" s="21">
        <f>EXP(-LN(2)/2)*BR84+(1-EXP(-LN(2)/2))/(LN(2)/2)*BL85*BO85*VLOOKUP('Données projet'!$B$11,Paramètres!$A$1:$I$89,3,0)*0.475*44/12</f>
        <v>34.270529288690788</v>
      </c>
      <c r="BS85" s="22">
        <f t="shared" si="63"/>
        <v>142.44784384059844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1028.9795738845428</v>
      </c>
      <c r="S86" s="59">
        <f ca="1">AVERAGE(OFFSET($R$3,0,0,'Données projet'!$E$9+1,1))-AVERAGE(OFFSET($H$3,0,0,'Données projet'!$E$9+1,1))</f>
        <v>737.40414421611001</v>
      </c>
      <c r="T86" s="59">
        <f t="shared" si="88"/>
        <v>245.32893490531674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306.11</v>
      </c>
      <c r="AG86" s="12">
        <f>VLOOKUP(A86,'Données projet'!$A$61:$I$81,9,0)</f>
        <v>9.4837500000000006</v>
      </c>
      <c r="AH86" s="12">
        <f t="array" ref="AH86">INDEX(AG:AG,MIN(IF(ISNUMBER(AG86:AG282),ROW(AG86:AG282),"")))</f>
        <v>9.4837500000000006</v>
      </c>
      <c r="AI86" s="13">
        <f>IF('Données projet'!$A$62&gt;35,AI85+AH86-AQ85,IF(A86&lt;'Données projet'!$A$62,$AF$205^A86,IF(A86='Données projet'!$A$62,'Données projet'!$B$62,AI85+AH86-AQ85)))</f>
        <v>306.1099999999999</v>
      </c>
      <c r="AJ86" s="13">
        <f>AI86*VLOOKUP('Données projet'!$B$10,Paramètres!$A$1:$I$89,3,0)*VLOOKUP('Données projet'!$B$10,Paramètres!$A$1:$I$89,5,0)</f>
        <v>291.29427599999991</v>
      </c>
      <c r="AK86" s="13">
        <f t="shared" si="89"/>
        <v>69.348293174982246</v>
      </c>
      <c r="AL86" s="20">
        <f t="shared" si="58"/>
        <v>628.11914131309391</v>
      </c>
      <c r="AM86" s="59">
        <f t="shared" si="59"/>
        <v>900.00388679019738</v>
      </c>
      <c r="AN86" s="59">
        <f ca="1">AVERAGE(OFFSET($AM$3,0,0,'Données projet'!$E$10+1,1))-AVERAGE(OFFSET($H$3,0,0,'Données projet'!$E$10+1,1))</f>
        <v>486.36097333679697</v>
      </c>
      <c r="AO86" s="59">
        <f t="shared" si="90"/>
        <v>308.47736602748159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49.980000000000018</v>
      </c>
      <c r="AR86" s="16">
        <f>IF(ISNA(VLOOKUP(A86,'Données projet'!$A$61:$I$81,5,0)),0%,VLOOKUP(A86,'Données projet'!$A$61:$I$81,5,0)*VLOOKUP('Données projet'!$B$10,Paramètres!$A$1:$I$89,7,0))</f>
        <v>0.15049999999999999</v>
      </c>
      <c r="AS86" s="16">
        <f>IF(ISNA(VLOOKUP(A86,'Données projet'!$A$61:$I$81,6,0)),0%,VLOOKUP(A86,'Données projet'!$A$61:$I$81,6,0)*VLOOKUP('Données projet'!$B$10,Paramètres!$A$1:$I$89,7,0))</f>
        <v>8.6000000000000007E-2</v>
      </c>
      <c r="AT86" s="16">
        <f>IF(ISNA(VLOOKUP(A86,'Données projet'!$A$61:$I$81,7,0)),0%,VLOOKUP(A86,'Données projet'!$A$61:$I$81,7,0))</f>
        <v>0.1</v>
      </c>
      <c r="AU86" s="21">
        <f>EXP(-LN(2)/35)*AU85+(1-EXP(-LN(2)/35))/(LN(2)/35)*AQ86*AR86*VLOOKUP('Données projet'!$B$10,Paramètres!$A$1:$I$89,3,0)*0.475*44/12</f>
        <v>26.620278106957642</v>
      </c>
      <c r="AV86" s="21">
        <f>EXP(-LN(2)/25)*AV85+(1-EXP(-LN(2)/25))/(LN(2)/25)*Calculateur!AQ86*Calculateur!AS86*VLOOKUP('Données projet'!$B$10,Paramètres!$A$1:$I$89,3,0)*0.475*44/12</f>
        <v>26.38477733047608</v>
      </c>
      <c r="AW86" s="21">
        <f>EXP(-LN(2)/2)*AW85+(1-EXP(-LN(2)/2))/(LN(2)/2)*AQ86*AT86*VLOOKUP('Données projet'!$B$10,Paramètres!$A$1:$I$89,3,0)*0.475*44/12</f>
        <v>4.7476656994261992</v>
      </c>
      <c r="AX86" s="21">
        <f t="shared" si="60"/>
        <v>57.752721136859925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408.246209980743</v>
      </c>
      <c r="BJ86" s="59">
        <f t="shared" si="92"/>
        <v>394.10236303013903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53.785969442477537</v>
      </c>
      <c r="BQ86" s="21">
        <f>EXP(-LN(2)/25)*BQ85+(1-EXP(-LN(2)/25))/(LN(2)/25)*Calculateur!BL86*Calculateur!BN86*VLOOKUP('Données projet'!$B$11,Paramètres!$A$1:$I$89,3,0)*0.475*44/12</f>
        <v>51.857622934329711</v>
      </c>
      <c r="BR86" s="21">
        <f>EXP(-LN(2)/2)*BR85+(1-EXP(-LN(2)/2))/(LN(2)/2)*BL86*BO86*VLOOKUP('Données projet'!$B$11,Paramètres!$A$1:$I$89,3,0)*0.475*44/12</f>
        <v>24.232923654885447</v>
      </c>
      <c r="BS86" s="22">
        <f t="shared" si="63"/>
        <v>129.87651603169269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1051.5141681368925</v>
      </c>
      <c r="S87" s="59">
        <f ca="1">AVERAGE(OFFSET($R$3,0,0,'Données projet'!$E$9+1,1))-AVERAGE(OFFSET($H$3,0,0,'Données projet'!$E$9+1,1))</f>
        <v>737.40414421611001</v>
      </c>
      <c r="T87" s="59">
        <f t="shared" si="88"/>
        <v>245.32893490531674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9.2740000000000009</v>
      </c>
      <c r="AI87" s="13">
        <f>IF('Données projet'!$A$62&gt;35,AI86+AH87-AQ86,IF(A87&lt;'Données projet'!$A$62,$AF$205^A87,IF(A87='Données projet'!$A$62,'Données projet'!$B$62,AI86+AH87-AQ86)))</f>
        <v>265.40399999999988</v>
      </c>
      <c r="AJ87" s="13">
        <f>AI87*VLOOKUP('Données projet'!$B$10,Paramètres!$A$1:$I$89,3,0)*VLOOKUP('Données projet'!$B$10,Paramètres!$A$1:$I$89,5,0)</f>
        <v>252.55844639999989</v>
      </c>
      <c r="AK87" s="13">
        <f t="shared" si="89"/>
        <v>61.133468574024647</v>
      </c>
      <c r="AL87" s="20">
        <f t="shared" si="58"/>
        <v>546.34675191309282</v>
      </c>
      <c r="AM87" s="59">
        <f t="shared" si="59"/>
        <v>818.60358243764313</v>
      </c>
      <c r="AN87" s="59">
        <f ca="1">AVERAGE(OFFSET($AM$3,0,0,'Données projet'!$E$10+1,1))-AVERAGE(OFFSET($H$3,0,0,'Données projet'!$E$10+1,1))</f>
        <v>486.36097333679697</v>
      </c>
      <c r="AO87" s="59">
        <f t="shared" si="90"/>
        <v>308.47736602748159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26.098270690046601</v>
      </c>
      <c r="AV87" s="21">
        <f>EXP(-LN(2)/25)*AV86+(1-EXP(-LN(2)/25))/(LN(2)/25)*Calculateur!AQ87*Calculateur!AS87*VLOOKUP('Données projet'!$B$10,Paramètres!$A$1:$I$89,3,0)*0.475*44/12</f>
        <v>25.663284206859075</v>
      </c>
      <c r="AW87" s="21">
        <f>EXP(-LN(2)/2)*AW86+(1-EXP(-LN(2)/2))/(LN(2)/2)*AQ87*AT87*VLOOKUP('Données projet'!$B$10,Paramètres!$A$1:$I$89,3,0)*0.475*44/12</f>
        <v>3.3571066108710386</v>
      </c>
      <c r="AX87" s="21">
        <f t="shared" si="60"/>
        <v>55.118661507776714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408.246209980743</v>
      </c>
      <c r="BJ87" s="59">
        <f t="shared" si="92"/>
        <v>394.10236303013903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52.731259387912566</v>
      </c>
      <c r="BQ87" s="21">
        <f>EXP(-LN(2)/25)*BQ86+(1-EXP(-LN(2)/25))/(LN(2)/25)*Calculateur!BL87*Calculateur!BN87*VLOOKUP('Données projet'!$B$11,Paramètres!$A$1:$I$89,3,0)*0.475*44/12</f>
        <v>50.439573508116595</v>
      </c>
      <c r="BR87" s="21">
        <f>EXP(-LN(2)/2)*BR86+(1-EXP(-LN(2)/2))/(LN(2)/2)*BL87*BO87*VLOOKUP('Données projet'!$B$11,Paramètres!$A$1:$I$89,3,0)*0.475*44/12</f>
        <v>17.135264644345398</v>
      </c>
      <c r="BS87" s="22">
        <f t="shared" si="63"/>
        <v>120.30609754037457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1074.0295498549121</v>
      </c>
      <c r="S88" s="59">
        <f ca="1">AVERAGE(OFFSET($R$3,0,0,'Données projet'!$E$9+1,1))-AVERAGE(OFFSET($H$3,0,0,'Données projet'!$E$9+1,1))</f>
        <v>737.40414421611001</v>
      </c>
      <c r="T88" s="59">
        <f t="shared" si="88"/>
        <v>245.32893490531674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9.2740000000000009</v>
      </c>
      <c r="AI88" s="13">
        <f>IF('Données projet'!$A$62&gt;35,AI87+AH88-AQ87,IF(A88&lt;'Données projet'!$A$62,$AF$205^A88,IF(A88='Données projet'!$A$62,'Données projet'!$B$62,AI87+AH88-AQ87)))</f>
        <v>274.67799999999988</v>
      </c>
      <c r="AJ88" s="13">
        <f>AI88*VLOOKUP('Données projet'!$B$10,Paramètres!$A$1:$I$89,3,0)*VLOOKUP('Données projet'!$B$10,Paramètres!$A$1:$I$89,5,0)</f>
        <v>261.38358479999988</v>
      </c>
      <c r="AK88" s="13">
        <f t="shared" si="89"/>
        <v>63.017211162903877</v>
      </c>
      <c r="AL88" s="20">
        <f t="shared" si="58"/>
        <v>564.9980529687241</v>
      </c>
      <c r="AM88" s="59">
        <f t="shared" si="59"/>
        <v>837.62051369700566</v>
      </c>
      <c r="AN88" s="59">
        <f ca="1">AVERAGE(OFFSET($AM$3,0,0,'Données projet'!$E$10+1,1))-AVERAGE(OFFSET($H$3,0,0,'Données projet'!$E$10+1,1))</f>
        <v>486.36097333679697</v>
      </c>
      <c r="AO88" s="59">
        <f t="shared" si="90"/>
        <v>308.47736602748159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25.586499520188099</v>
      </c>
      <c r="AV88" s="21">
        <f>EXP(-LN(2)/25)*AV87+(1-EXP(-LN(2)/25))/(LN(2)/25)*Calculateur!AQ88*Calculateur!AS88*VLOOKUP('Données projet'!$B$10,Paramètres!$A$1:$I$89,3,0)*0.475*44/12</f>
        <v>24.96152035064905</v>
      </c>
      <c r="AW88" s="21">
        <f>EXP(-LN(2)/2)*AW87+(1-EXP(-LN(2)/2))/(LN(2)/2)*AQ88*AT88*VLOOKUP('Données projet'!$B$10,Paramètres!$A$1:$I$89,3,0)*0.475*44/12</f>
        <v>2.3738328497130996</v>
      </c>
      <c r="AX88" s="21">
        <f t="shared" si="60"/>
        <v>52.921852720550248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408.246209980743</v>
      </c>
      <c r="BJ88" s="59">
        <f t="shared" si="92"/>
        <v>394.10236303013903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51.697231554208003</v>
      </c>
      <c r="BQ88" s="21">
        <f>EXP(-LN(2)/25)*BQ87+(1-EXP(-LN(2)/25))/(LN(2)/25)*Calculateur!BL88*Calculateur!BN88*VLOOKUP('Données projet'!$B$11,Paramètres!$A$1:$I$89,3,0)*0.475*44/12</f>
        <v>49.060300718035258</v>
      </c>
      <c r="BR88" s="21">
        <f>EXP(-LN(2)/2)*BR87+(1-EXP(-LN(2)/2))/(LN(2)/2)*BL88*BO88*VLOOKUP('Données projet'!$B$11,Paramètres!$A$1:$I$89,3,0)*0.475*44/12</f>
        <v>12.116461827442727</v>
      </c>
      <c r="BS88" s="22">
        <f t="shared" si="63"/>
        <v>112.87399409968597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1096.5262327960791</v>
      </c>
      <c r="S89" s="59">
        <f ca="1">AVERAGE(OFFSET($R$3,0,0,'Données projet'!$E$9+1,1))-AVERAGE(OFFSET($H$3,0,0,'Données projet'!$E$9+1,1))</f>
        <v>737.40414421611001</v>
      </c>
      <c r="T89" s="59">
        <f t="shared" si="88"/>
        <v>245.32893490531674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9.2740000000000009</v>
      </c>
      <c r="AI89" s="13">
        <f>IF('Données projet'!$A$62&gt;35,AI88+AH89-AQ88,IF(A89&lt;'Données projet'!$A$62,$AF$205^A89,IF(A89='Données projet'!$A$62,'Données projet'!$B$62,AI88+AH89-AQ88)))</f>
        <v>283.95199999999988</v>
      </c>
      <c r="AJ89" s="13">
        <f>AI89*VLOOKUP('Données projet'!$B$10,Paramètres!$A$1:$I$89,3,0)*VLOOKUP('Données projet'!$B$10,Paramètres!$A$1:$I$89,5,0)</f>
        <v>270.20872319999989</v>
      </c>
      <c r="AK89" s="13">
        <f t="shared" si="89"/>
        <v>64.893563626315952</v>
      </c>
      <c r="AL89" s="20">
        <f t="shared" si="58"/>
        <v>583.63648288916681</v>
      </c>
      <c r="AM89" s="59">
        <f t="shared" si="59"/>
        <v>856.61823095457157</v>
      </c>
      <c r="AN89" s="59">
        <f ca="1">AVERAGE(OFFSET($AM$3,0,0,'Données projet'!$E$10+1,1))-AVERAGE(OFFSET($H$3,0,0,'Données projet'!$E$10+1,1))</f>
        <v>486.36097333679697</v>
      </c>
      <c r="AO89" s="59">
        <f t="shared" si="90"/>
        <v>308.47736602748159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25.084763870820932</v>
      </c>
      <c r="AV89" s="21">
        <f>EXP(-LN(2)/25)*AV88+(1-EXP(-LN(2)/25))/(LN(2)/25)*Calculateur!AQ89*Calculateur!AS89*VLOOKUP('Données projet'!$B$10,Paramètres!$A$1:$I$89,3,0)*0.475*44/12</f>
        <v>24.278946263991248</v>
      </c>
      <c r="AW89" s="21">
        <f>EXP(-LN(2)/2)*AW88+(1-EXP(-LN(2)/2))/(LN(2)/2)*AQ89*AT89*VLOOKUP('Données projet'!$B$10,Paramètres!$A$1:$I$89,3,0)*0.475*44/12</f>
        <v>1.6785533054355193</v>
      </c>
      <c r="AX89" s="21">
        <f t="shared" si="60"/>
        <v>51.042263440247702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408.246209980743</v>
      </c>
      <c r="BJ89" s="59">
        <f t="shared" si="92"/>
        <v>394.10236303013903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50.683480375627688</v>
      </c>
      <c r="BQ89" s="21">
        <f>EXP(-LN(2)/25)*BQ88+(1-EXP(-LN(2)/25))/(LN(2)/25)*Calculateur!BL89*Calculateur!BN89*VLOOKUP('Données projet'!$B$11,Paramètres!$A$1:$I$89,3,0)*0.475*44/12</f>
        <v>47.718744214931498</v>
      </c>
      <c r="BR89" s="21">
        <f>EXP(-LN(2)/2)*BR88+(1-EXP(-LN(2)/2))/(LN(2)/2)*BL89*BO89*VLOOKUP('Données projet'!$B$11,Paramètres!$A$1:$I$89,3,0)*0.475*44/12</f>
        <v>8.5676323221727007</v>
      </c>
      <c r="BS89" s="22">
        <f t="shared" si="63"/>
        <v>106.96985691273188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1119.0047054432644</v>
      </c>
      <c r="S90" s="59">
        <f ca="1">AVERAGE(OFFSET($R$3,0,0,'Données projet'!$E$9+1,1))-AVERAGE(OFFSET($H$3,0,0,'Données projet'!$E$9+1,1))</f>
        <v>737.40414421611001</v>
      </c>
      <c r="T90" s="59">
        <f t="shared" si="88"/>
        <v>245.32893490531674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9.2740000000000009</v>
      </c>
      <c r="AI90" s="13">
        <f>IF('Données projet'!$A$62&gt;35,AI89+AH90-AQ89,IF(A90&lt;'Données projet'!$A$62,$AF$205^A90,IF(A90='Données projet'!$A$62,'Données projet'!$B$62,AI89+AH90-AQ89)))</f>
        <v>293.22599999999989</v>
      </c>
      <c r="AJ90" s="13">
        <f>AI90*VLOOKUP('Données projet'!$B$10,Paramètres!$A$1:$I$89,3,0)*VLOOKUP('Données projet'!$B$10,Paramètres!$A$1:$I$89,5,0)</f>
        <v>279.03386159999991</v>
      </c>
      <c r="AK90" s="13">
        <f t="shared" si="89"/>
        <v>66.762795009518257</v>
      </c>
      <c r="AL90" s="20">
        <f t="shared" si="58"/>
        <v>602.2625102615774</v>
      </c>
      <c r="AM90" s="59">
        <f t="shared" si="59"/>
        <v>875.59731283205224</v>
      </c>
      <c r="AN90" s="59">
        <f ca="1">AVERAGE(OFFSET($AM$3,0,0,'Données projet'!$E$10+1,1))-AVERAGE(OFFSET($H$3,0,0,'Données projet'!$E$10+1,1))</f>
        <v>486.36097333679697</v>
      </c>
      <c r="AO90" s="59">
        <f t="shared" si="90"/>
        <v>308.47736602748159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24.592866951509325</v>
      </c>
      <c r="AV90" s="21">
        <f>EXP(-LN(2)/25)*AV89+(1-EXP(-LN(2)/25))/(LN(2)/25)*Calculateur!AQ90*Calculateur!AS90*VLOOKUP('Données projet'!$B$10,Paramètres!$A$1:$I$89,3,0)*0.475*44/12</f>
        <v>23.615037201628112</v>
      </c>
      <c r="AW90" s="21">
        <f>EXP(-LN(2)/2)*AW89+(1-EXP(-LN(2)/2))/(LN(2)/2)*AQ90*AT90*VLOOKUP('Données projet'!$B$10,Paramètres!$A$1:$I$89,3,0)*0.475*44/12</f>
        <v>1.1869164248565498</v>
      </c>
      <c r="AX90" s="21">
        <f t="shared" si="60"/>
        <v>49.394820577993983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408.246209980743</v>
      </c>
      <c r="BJ90" s="59">
        <f t="shared" si="92"/>
        <v>394.10236303013903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49.689608239332166</v>
      </c>
      <c r="BQ90" s="21">
        <f>EXP(-LN(2)/25)*BQ89+(1-EXP(-LN(2)/25))/(LN(2)/25)*Calculateur!BL90*Calculateur!BN90*VLOOKUP('Données projet'!$B$11,Paramètres!$A$1:$I$89,3,0)*0.475*44/12</f>
        <v>46.413872644954502</v>
      </c>
      <c r="BR90" s="21">
        <f>EXP(-LN(2)/2)*BR89+(1-EXP(-LN(2)/2))/(LN(2)/2)*BL90*BO90*VLOOKUP('Données projet'!$B$11,Paramètres!$A$1:$I$89,3,0)*0.475*44/12</f>
        <v>6.0582309137213644</v>
      </c>
      <c r="BS90" s="22">
        <f t="shared" si="63"/>
        <v>102.16171179800803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1141.4654329805048</v>
      </c>
      <c r="S91" s="59">
        <f ca="1">AVERAGE(OFFSET($R$3,0,0,'Données projet'!$E$9+1,1))-AVERAGE(OFFSET($H$3,0,0,'Données projet'!$E$9+1,1))</f>
        <v>737.40414421611001</v>
      </c>
      <c r="T91" s="59">
        <f t="shared" si="88"/>
        <v>245.32893490531674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9.2740000000000009</v>
      </c>
      <c r="AI91" s="13">
        <f>IF('Données projet'!$A$62&gt;35,AI90+AH91-AQ90,IF(A91&lt;'Données projet'!$A$62,$AF$205^A91,IF(A91='Données projet'!$A$62,'Données projet'!$B$62,AI90+AH91-AQ90)))</f>
        <v>302.49999999999989</v>
      </c>
      <c r="AJ91" s="13">
        <f>AI91*VLOOKUP('Données projet'!$B$10,Paramètres!$A$1:$I$89,3,0)*VLOOKUP('Données projet'!$B$10,Paramètres!$A$1:$I$89,5,0)</f>
        <v>287.85899999999987</v>
      </c>
      <c r="AK91" s="13">
        <f t="shared" si="89"/>
        <v>68.625156372854391</v>
      </c>
      <c r="AL91" s="20">
        <f t="shared" si="58"/>
        <v>620.87657234938786</v>
      </c>
      <c r="AM91" s="59">
        <f t="shared" si="59"/>
        <v>894.55830471858155</v>
      </c>
      <c r="AN91" s="59">
        <f ca="1">AVERAGE(OFFSET($AM$3,0,0,'Données projet'!$E$10+1,1))-AVERAGE(OFFSET($H$3,0,0,'Données projet'!$E$10+1,1))</f>
        <v>486.36097333679697</v>
      </c>
      <c r="AO91" s="59">
        <f t="shared" si="90"/>
        <v>308.47736602748159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24.110615830757926</v>
      </c>
      <c r="AV91" s="21">
        <f>EXP(-LN(2)/25)*AV90+(1-EXP(-LN(2)/25))/(LN(2)/25)*Calculateur!AQ91*Calculateur!AS91*VLOOKUP('Données projet'!$B$10,Paramètres!$A$1:$I$89,3,0)*0.475*44/12</f>
        <v>22.969282767488757</v>
      </c>
      <c r="AW91" s="21">
        <f>EXP(-LN(2)/2)*AW90+(1-EXP(-LN(2)/2))/(LN(2)/2)*AQ91*AT91*VLOOKUP('Données projet'!$B$10,Paramètres!$A$1:$I$89,3,0)*0.475*44/12</f>
        <v>0.83927665271775964</v>
      </c>
      <c r="AX91" s="21">
        <f t="shared" si="60"/>
        <v>47.919175250964443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408.246209980743</v>
      </c>
      <c r="BJ91" s="59">
        <f t="shared" si="92"/>
        <v>394.10236303013903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48.715225329427255</v>
      </c>
      <c r="BQ91" s="21">
        <f>EXP(-LN(2)/25)*BQ90+(1-EXP(-LN(2)/25))/(LN(2)/25)*Calculateur!BL91*Calculateur!BN91*VLOOKUP('Données projet'!$B$11,Paramètres!$A$1:$I$89,3,0)*0.475*44/12</f>
        <v>45.144682856678742</v>
      </c>
      <c r="BR91" s="21">
        <f>EXP(-LN(2)/2)*BR90+(1-EXP(-LN(2)/2))/(LN(2)/2)*BL91*BO91*VLOOKUP('Données projet'!$B$11,Paramètres!$A$1:$I$89,3,0)*0.475*44/12</f>
        <v>4.2838161610863512</v>
      </c>
      <c r="BS91" s="22">
        <f t="shared" si="63"/>
        <v>98.143724347192347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1163.9088590601998</v>
      </c>
      <c r="S92" s="59">
        <f ca="1">AVERAGE(OFFSET($R$3,0,0,'Données projet'!$E$9+1,1))-AVERAGE(OFFSET($H$3,0,0,'Données projet'!$E$9+1,1))</f>
        <v>737.40414421611001</v>
      </c>
      <c r="T92" s="59">
        <f t="shared" si="88"/>
        <v>245.32893490531674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9.2740000000000009</v>
      </c>
      <c r="AI92" s="13">
        <f>IF('Données projet'!$A$62&gt;35,AI91+AH92-AQ91,IF(A92&lt;'Données projet'!$A$62,$AF$205^A92,IF(A92='Données projet'!$A$62,'Données projet'!$B$62,AI91+AH92-AQ91)))</f>
        <v>311.77399999999989</v>
      </c>
      <c r="AJ92" s="13">
        <f>AI92*VLOOKUP('Données projet'!$B$10,Paramètres!$A$1:$I$89,3,0)*VLOOKUP('Données projet'!$B$10,Paramètres!$A$1:$I$89,5,0)</f>
        <v>296.68413839999988</v>
      </c>
      <c r="AK92" s="13">
        <f t="shared" si="89"/>
        <v>70.480882508102439</v>
      </c>
      <c r="AL92" s="20">
        <f t="shared" si="58"/>
        <v>639.47907808161142</v>
      </c>
      <c r="AM92" s="59">
        <f t="shared" si="59"/>
        <v>913.50172179313495</v>
      </c>
      <c r="AN92" s="59">
        <f ca="1">AVERAGE(OFFSET($AM$3,0,0,'Données projet'!$E$10+1,1))-AVERAGE(OFFSET($H$3,0,0,'Données projet'!$E$10+1,1))</f>
        <v>486.36097333679697</v>
      </c>
      <c r="AO92" s="59">
        <f t="shared" si="90"/>
        <v>308.47736602748159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23.637821360340322</v>
      </c>
      <c r="AV92" s="21">
        <f>EXP(-LN(2)/25)*AV91+(1-EXP(-LN(2)/25))/(LN(2)/25)*Calculateur!AQ92*Calculateur!AS92*VLOOKUP('Données projet'!$B$10,Paramètres!$A$1:$I$89,3,0)*0.475*44/12</f>
        <v>22.341186522309695</v>
      </c>
      <c r="AW92" s="21">
        <f>EXP(-LN(2)/2)*AW91+(1-EXP(-LN(2)/2))/(LN(2)/2)*AQ92*AT92*VLOOKUP('Données projet'!$B$10,Paramètres!$A$1:$I$89,3,0)*0.475*44/12</f>
        <v>0.5934582124282749</v>
      </c>
      <c r="AX92" s="21">
        <f t="shared" si="60"/>
        <v>46.57246609507829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408.246209980743</v>
      </c>
      <c r="BJ92" s="59">
        <f t="shared" si="92"/>
        <v>394.10236303013903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47.759949474070687</v>
      </c>
      <c r="BQ92" s="21">
        <f>EXP(-LN(2)/25)*BQ91+(1-EXP(-LN(2)/25))/(LN(2)/25)*Calculateur!BL92*Calculateur!BN92*VLOOKUP('Données projet'!$B$11,Paramètres!$A$1:$I$89,3,0)*0.475*44/12</f>
        <v>43.91019912990717</v>
      </c>
      <c r="BR92" s="21">
        <f>EXP(-LN(2)/2)*BR91+(1-EXP(-LN(2)/2))/(LN(2)/2)*BL92*BO92*VLOOKUP('Données projet'!$B$11,Paramètres!$A$1:$I$89,3,0)*0.475*44/12</f>
        <v>3.0291154568606826</v>
      </c>
      <c r="BS92" s="22">
        <f t="shared" si="63"/>
        <v>94.69926406083853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1186.335407388731</v>
      </c>
      <c r="S93" s="59">
        <f ca="1">AVERAGE(OFFSET($R$3,0,0,'Données projet'!$E$9+1,1))-AVERAGE(OFFSET($H$3,0,0,'Données projet'!$E$9+1,1))</f>
        <v>737.40414421611001</v>
      </c>
      <c r="T93" s="59">
        <f t="shared" si="88"/>
        <v>245.32893490531674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9.2740000000000009</v>
      </c>
      <c r="AI93" s="13">
        <f>IF('Données projet'!$A$62&gt;35,AI92+AH93-AQ92,IF(A93&lt;'Données projet'!$A$62,$AF$205^A93,IF(A93='Données projet'!$A$62,'Données projet'!$B$62,AI92+AH93-AQ92)))</f>
        <v>321.04799999999989</v>
      </c>
      <c r="AJ93" s="13">
        <f>AI93*VLOOKUP('Données projet'!$B$10,Paramètres!$A$1:$I$89,3,0)*VLOOKUP('Données projet'!$B$10,Paramètres!$A$1:$I$89,5,0)</f>
        <v>305.5092767999999</v>
      </c>
      <c r="AK93" s="13">
        <f t="shared" si="89"/>
        <v>72.330193444868527</v>
      </c>
      <c r="AL93" s="20">
        <f t="shared" si="58"/>
        <v>658.07041067647913</v>
      </c>
      <c r="AM93" s="59">
        <f t="shared" si="59"/>
        <v>932.42805168070686</v>
      </c>
      <c r="AN93" s="59">
        <f ca="1">AVERAGE(OFFSET($AM$3,0,0,'Données projet'!$E$10+1,1))-AVERAGE(OFFSET($H$3,0,0,'Données projet'!$E$10+1,1))</f>
        <v>486.36097333679697</v>
      </c>
      <c r="AO93" s="59">
        <f t="shared" si="90"/>
        <v>308.47736602748159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23.174298101111454</v>
      </c>
      <c r="AV93" s="21">
        <f>EXP(-LN(2)/25)*AV92+(1-EXP(-LN(2)/25))/(LN(2)/25)*Calculateur!AQ93*Calculateur!AS93*VLOOKUP('Données projet'!$B$10,Paramètres!$A$1:$I$89,3,0)*0.475*44/12</f>
        <v>21.730265601985199</v>
      </c>
      <c r="AW93" s="21">
        <f>EXP(-LN(2)/2)*AW92+(1-EXP(-LN(2)/2))/(LN(2)/2)*AQ93*AT93*VLOOKUP('Données projet'!$B$10,Paramètres!$A$1:$I$89,3,0)*0.475*44/12</f>
        <v>0.41963832635887982</v>
      </c>
      <c r="AX93" s="21">
        <f t="shared" si="60"/>
        <v>45.324202029455535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408.246209980743</v>
      </c>
      <c r="BJ93" s="59">
        <f t="shared" si="92"/>
        <v>394.10236303013903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46.823405995576927</v>
      </c>
      <c r="BQ93" s="21">
        <f>EXP(-LN(2)/25)*BQ92+(1-EXP(-LN(2)/25))/(LN(2)/25)*Calculateur!BL93*Calculateur!BN93*VLOOKUP('Données projet'!$B$11,Paramètres!$A$1:$I$89,3,0)*0.475*44/12</f>
        <v>42.709472425562844</v>
      </c>
      <c r="BR93" s="21">
        <f>EXP(-LN(2)/2)*BR92+(1-EXP(-LN(2)/2))/(LN(2)/2)*BL93*BO93*VLOOKUP('Données projet'!$B$11,Paramètres!$A$1:$I$89,3,0)*0.475*44/12</f>
        <v>2.1419080805431756</v>
      </c>
      <c r="BS93" s="22">
        <f t="shared" si="63"/>
        <v>91.674786501682945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1078.1464195849126</v>
      </c>
      <c r="S94" s="59">
        <f ca="1">AVERAGE(OFFSET($R$3,0,0,'Données projet'!$E$9+1,1))-AVERAGE(OFFSET($H$3,0,0,'Données projet'!$E$9+1,1))</f>
        <v>737.40414421611001</v>
      </c>
      <c r="T94" s="59">
        <f t="shared" si="88"/>
        <v>245.32893490531674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9.2740000000000009</v>
      </c>
      <c r="AI94" s="13">
        <f>IF('Données projet'!$A$62&gt;35,AI93+AH94-AQ93,IF(A94&lt;'Données projet'!$A$62,$AF$205^A94,IF(A94='Données projet'!$A$62,'Données projet'!$B$62,AI93+AH94-AQ93)))</f>
        <v>330.32199999999989</v>
      </c>
      <c r="AJ94" s="13">
        <f>AI94*VLOOKUP('Données projet'!$B$10,Paramètres!$A$1:$I$89,3,0)*VLOOKUP('Données projet'!$B$10,Paramètres!$A$1:$I$89,5,0)</f>
        <v>314.33441519999985</v>
      </c>
      <c r="AK94" s="13">
        <f t="shared" si="89"/>
        <v>74.173295778029868</v>
      </c>
      <c r="AL94" s="20">
        <f t="shared" si="58"/>
        <v>676.65092995340171</v>
      </c>
      <c r="AM94" s="59">
        <f t="shared" si="59"/>
        <v>951.33775679624682</v>
      </c>
      <c r="AN94" s="59">
        <f ca="1">AVERAGE(OFFSET($AM$3,0,0,'Données projet'!$E$10+1,1))-AVERAGE(OFFSET($H$3,0,0,'Données projet'!$E$10+1,1))</f>
        <v>486.36097333679697</v>
      </c>
      <c r="AO94" s="59">
        <f t="shared" si="90"/>
        <v>308.47736602748159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22.719864250274792</v>
      </c>
      <c r="AV94" s="21">
        <f>EXP(-LN(2)/25)*AV93+(1-EXP(-LN(2)/25))/(LN(2)/25)*Calculateur!AQ94*Calculateur!AS94*VLOOKUP('Données projet'!$B$10,Paramètres!$A$1:$I$89,3,0)*0.475*44/12</f>
        <v>21.136050346353912</v>
      </c>
      <c r="AW94" s="21">
        <f>EXP(-LN(2)/2)*AW93+(1-EXP(-LN(2)/2))/(LN(2)/2)*AQ94*AT94*VLOOKUP('Données projet'!$B$10,Paramètres!$A$1:$I$89,3,0)*0.475*44/12</f>
        <v>0.29672910621413745</v>
      </c>
      <c r="AX94" s="21">
        <f t="shared" si="60"/>
        <v>44.152643702842845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408.246209980743</v>
      </c>
      <c r="BJ94" s="59">
        <f t="shared" si="92"/>
        <v>394.10236303013903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45.90522756346131</v>
      </c>
      <c r="BQ94" s="21">
        <f>EXP(-LN(2)/25)*BQ93+(1-EXP(-LN(2)/25))/(LN(2)/25)*Calculateur!BL94*Calculateur!BN94*VLOOKUP('Données projet'!$B$11,Paramètres!$A$1:$I$89,3,0)*0.475*44/12</f>
        <v>41.541579656092289</v>
      </c>
      <c r="BR94" s="21">
        <f>EXP(-LN(2)/2)*BR93+(1-EXP(-LN(2)/2))/(LN(2)/2)*BL94*BO94*VLOOKUP('Données projet'!$B$11,Paramètres!$A$1:$I$89,3,0)*0.475*44/12</f>
        <v>1.5145577284303413</v>
      </c>
      <c r="BS94" s="22">
        <f t="shared" si="63"/>
        <v>88.961364947983938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1099.8787575793936</v>
      </c>
      <c r="S95" s="59">
        <f ca="1">AVERAGE(OFFSET($R$3,0,0,'Données projet'!$E$9+1,1))-AVERAGE(OFFSET($H$3,0,0,'Données projet'!$E$9+1,1))</f>
        <v>737.40414421611001</v>
      </c>
      <c r="T95" s="59">
        <f t="shared" si="88"/>
        <v>245.32893490531674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9.2740000000000009</v>
      </c>
      <c r="AI95" s="13">
        <f>IF('Données projet'!$A$62&gt;35,AI94+AH95-AQ94,IF(A95&lt;'Données projet'!$A$62,$AF$205^A95,IF(A95='Données projet'!$A$62,'Données projet'!$B$62,AI94+AH95-AQ94)))</f>
        <v>339.59599999999989</v>
      </c>
      <c r="AJ95" s="13">
        <f>AI95*VLOOKUP('Données projet'!$B$10,Paramètres!$A$1:$I$89,3,0)*VLOOKUP('Données projet'!$B$10,Paramètres!$A$1:$I$89,5,0)</f>
        <v>323.15955359999992</v>
      </c>
      <c r="AK95" s="13">
        <f t="shared" si="89"/>
        <v>76.010383841911221</v>
      </c>
      <c r="AL95" s="20">
        <f t="shared" si="58"/>
        <v>695.22097437799528</v>
      </c>
      <c r="AM95" s="59">
        <f t="shared" si="59"/>
        <v>970.23127642110694</v>
      </c>
      <c r="AN95" s="59">
        <f ca="1">AVERAGE(OFFSET($AM$3,0,0,'Données projet'!$E$10+1,1))-AVERAGE(OFFSET($H$3,0,0,'Données projet'!$E$10+1,1))</f>
        <v>486.36097333679697</v>
      </c>
      <c r="AO95" s="59">
        <f t="shared" si="90"/>
        <v>308.47736602748159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22.274341570075759</v>
      </c>
      <c r="AV95" s="21">
        <f>EXP(-LN(2)/25)*AV94+(1-EXP(-LN(2)/25))/(LN(2)/25)*Calculateur!AQ95*Calculateur!AS95*VLOOKUP('Données projet'!$B$10,Paramètres!$A$1:$I$89,3,0)*0.475*44/12</f>
        <v>20.558083938136285</v>
      </c>
      <c r="AW95" s="21">
        <f>EXP(-LN(2)/2)*AW94+(1-EXP(-LN(2)/2))/(LN(2)/2)*AQ95*AT95*VLOOKUP('Données projet'!$B$10,Paramètres!$A$1:$I$89,3,0)*0.475*44/12</f>
        <v>0.20981916317943991</v>
      </c>
      <c r="AX95" s="21">
        <f t="shared" si="60"/>
        <v>43.042244671391479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408.246209980743</v>
      </c>
      <c r="BJ95" s="59">
        <f t="shared" si="92"/>
        <v>394.10236303013903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45.005054050365935</v>
      </c>
      <c r="BQ95" s="21">
        <f>EXP(-LN(2)/25)*BQ94+(1-EXP(-LN(2)/25))/(LN(2)/25)*Calculateur!BL95*Calculateur!BN95*VLOOKUP('Données projet'!$B$11,Paramètres!$A$1:$I$89,3,0)*0.475*44/12</f>
        <v>40.405622975819718</v>
      </c>
      <c r="BR95" s="21">
        <f>EXP(-LN(2)/2)*BR94+(1-EXP(-LN(2)/2))/(LN(2)/2)*BL95*BO95*VLOOKUP('Données projet'!$B$11,Paramètres!$A$1:$I$89,3,0)*0.475*44/12</f>
        <v>1.0709540402715878</v>
      </c>
      <c r="BS95" s="22">
        <f t="shared" si="63"/>
        <v>86.48163106645724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1121.5943016089827</v>
      </c>
      <c r="S96" s="59">
        <f ca="1">AVERAGE(OFFSET($R$3,0,0,'Données projet'!$E$9+1,1))-AVERAGE(OFFSET($H$3,0,0,'Données projet'!$E$9+1,1))</f>
        <v>737.40414421611001</v>
      </c>
      <c r="T96" s="59">
        <f t="shared" si="88"/>
        <v>245.32893490531674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348.87</v>
      </c>
      <c r="AG96" s="12">
        <f>VLOOKUP(A96,'Données projet'!$A$61:$I$81,9,0)</f>
        <v>9.2740000000000009</v>
      </c>
      <c r="AH96" s="12">
        <f t="array" ref="AH96">INDEX(AG:AG,MIN(IF(ISNUMBER(AG96:AG292),ROW(AG96:AG292),"")))</f>
        <v>9.2740000000000009</v>
      </c>
      <c r="AI96" s="13">
        <f>IF('Données projet'!$A$62&gt;35,AI95+AH96-AQ95,IF(A96&lt;'Données projet'!$A$62,$AF$205^A96,IF(A96='Données projet'!$A$62,'Données projet'!$B$62,AI95+AH96-AQ95)))</f>
        <v>348.86999999999989</v>
      </c>
      <c r="AJ96" s="13">
        <f>AI96*VLOOKUP('Données projet'!$B$10,Paramètres!$A$1:$I$89,3,0)*VLOOKUP('Données projet'!$B$10,Paramètres!$A$1:$I$89,5,0)</f>
        <v>331.98469199999994</v>
      </c>
      <c r="AK96" s="13">
        <f t="shared" si="89"/>
        <v>77.841640752593847</v>
      </c>
      <c r="AL96" s="20">
        <f t="shared" si="58"/>
        <v>713.78086287743406</v>
      </c>
      <c r="AM96" s="59">
        <f t="shared" si="59"/>
        <v>989.10902854927008</v>
      </c>
      <c r="AN96" s="59">
        <f ca="1">AVERAGE(OFFSET($AM$3,0,0,'Données projet'!$E$10+1,1))-AVERAGE(OFFSET($H$3,0,0,'Données projet'!$E$10+1,1))</f>
        <v>486.36097333679697</v>
      </c>
      <c r="AO96" s="59">
        <f t="shared" si="90"/>
        <v>308.47736602748159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67.45999999999998</v>
      </c>
      <c r="AR96" s="16">
        <f>IF(ISNA(VLOOKUP(A96,'Données projet'!$A$61:$I$81,5,0)),0%,VLOOKUP(A96,'Données projet'!$A$61:$I$81,5,0)*VLOOKUP('Données projet'!$B$10,Paramètres!$A$1:$I$89,7,0))</f>
        <v>0.215</v>
      </c>
      <c r="AS96" s="16">
        <f>IF(ISNA(VLOOKUP(A96,'Données projet'!$A$61:$I$81,6,0)),0%,VLOOKUP(A96,'Données projet'!$A$61:$I$81,6,0)*VLOOKUP('Données projet'!$B$10,Paramètres!$A$1:$I$89,7,0))</f>
        <v>8.6000000000000007E-2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37.095159374656312</v>
      </c>
      <c r="AV96" s="21">
        <f>EXP(-LN(2)/25)*AV95+(1-EXP(-LN(2)/25))/(LN(2)/25)*Calculateur!AQ96*Calculateur!AS96*VLOOKUP('Données projet'!$B$10,Paramètres!$A$1:$I$89,3,0)*0.475*44/12</f>
        <v>26.074933674140695</v>
      </c>
      <c r="AW96" s="21">
        <f>EXP(-LN(2)/2)*AW95+(1-EXP(-LN(2)/2))/(LN(2)/2)*AQ96*AT96*VLOOKUP('Données projet'!$B$10,Paramètres!$A$1:$I$89,3,0)*0.475*44/12</f>
        <v>0.14836455310706873</v>
      </c>
      <c r="AX96" s="21">
        <f t="shared" si="60"/>
        <v>63.318457601904079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408.246209980743</v>
      </c>
      <c r="BJ96" s="59">
        <f t="shared" si="92"/>
        <v>394.10236303013903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44.122532390810733</v>
      </c>
      <c r="BQ96" s="21">
        <f>EXP(-LN(2)/25)*BQ95+(1-EXP(-LN(2)/25))/(LN(2)/25)*Calculateur!BL96*Calculateur!BN96*VLOOKUP('Données projet'!$B$11,Paramètres!$A$1:$I$89,3,0)*0.475*44/12</f>
        <v>39.300729090706561</v>
      </c>
      <c r="BR96" s="21">
        <f>EXP(-LN(2)/2)*BR95+(1-EXP(-LN(2)/2))/(LN(2)/2)*BL96*BO96*VLOOKUP('Données projet'!$B$11,Paramètres!$A$1:$I$89,3,0)*0.475*44/12</f>
        <v>0.75727886421517066</v>
      </c>
      <c r="BS96" s="22">
        <f t="shared" si="63"/>
        <v>84.180540345732467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1143.2934712009014</v>
      </c>
      <c r="S97" s="59">
        <f ca="1">AVERAGE(OFFSET($R$3,0,0,'Données projet'!$E$9+1,1))-AVERAGE(OFFSET($H$3,0,0,'Données projet'!$E$9+1,1))</f>
        <v>737.40414421611001</v>
      </c>
      <c r="T97" s="59">
        <f t="shared" si="88"/>
        <v>245.32893490531674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8.9989999999999952</v>
      </c>
      <c r="AI97" s="13">
        <f>IF('Données projet'!$A$62&gt;35,AI96+AH97-AQ96,IF(A97&lt;'Données projet'!$A$62,$AF$205^A97,IF(A97='Données projet'!$A$62,'Données projet'!$B$62,AI96+AH97-AQ96)))</f>
        <v>290.40899999999993</v>
      </c>
      <c r="AJ97" s="13">
        <f>AI97*VLOOKUP('Données projet'!$B$10,Paramètres!$A$1:$I$89,3,0)*VLOOKUP('Données projet'!$B$10,Paramètres!$A$1:$I$89,5,0)</f>
        <v>276.35320439999992</v>
      </c>
      <c r="AK97" s="13">
        <f t="shared" si="89"/>
        <v>66.195749107226092</v>
      </c>
      <c r="AL97" s="20">
        <f t="shared" si="58"/>
        <v>596.60609402508533</v>
      </c>
      <c r="AM97" s="59">
        <f t="shared" si="59"/>
        <v>872.24660910232387</v>
      </c>
      <c r="AN97" s="59">
        <f ca="1">AVERAGE(OFFSET($AM$3,0,0,'Données projet'!$E$10+1,1))-AVERAGE(OFFSET($H$3,0,0,'Données projet'!$E$10+1,1))</f>
        <v>486.36097333679697</v>
      </c>
      <c r="AO97" s="59">
        <f t="shared" si="90"/>
        <v>308.47736602748159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36.367745925132404</v>
      </c>
      <c r="AV97" s="21">
        <f>EXP(-LN(2)/25)*AV96+(1-EXP(-LN(2)/25))/(LN(2)/25)*Calculateur!AQ97*Calculateur!AS97*VLOOKUP('Données projet'!$B$10,Paramètres!$A$1:$I$89,3,0)*0.475*44/12</f>
        <v>25.361913241600149</v>
      </c>
      <c r="AW97" s="21">
        <f>EXP(-LN(2)/2)*AW96+(1-EXP(-LN(2)/2))/(LN(2)/2)*AQ97*AT97*VLOOKUP('Données projet'!$B$10,Paramètres!$A$1:$I$89,3,0)*0.475*44/12</f>
        <v>0.10490958158971996</v>
      </c>
      <c r="AX97" s="21">
        <f t="shared" si="60"/>
        <v>61.834568748322276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408.246209980743</v>
      </c>
      <c r="BJ97" s="59">
        <f t="shared" si="92"/>
        <v>394.10236303013903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43.257316442714348</v>
      </c>
      <c r="BQ97" s="21">
        <f>EXP(-LN(2)/25)*BQ96+(1-EXP(-LN(2)/25))/(LN(2)/25)*Calculateur!BL97*Calculateur!BN97*VLOOKUP('Données projet'!$B$11,Paramètres!$A$1:$I$89,3,0)*0.475*44/12</f>
        <v>38.226048586985669</v>
      </c>
      <c r="BR97" s="21">
        <f>EXP(-LN(2)/2)*BR96+(1-EXP(-LN(2)/2))/(LN(2)/2)*BL97*BO97*VLOOKUP('Données projet'!$B$11,Paramètres!$A$1:$I$89,3,0)*0.475*44/12</f>
        <v>0.5354770201357939</v>
      </c>
      <c r="BS97" s="22">
        <f t="shared" si="63"/>
        <v>82.018842049835825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1164.9766670376391</v>
      </c>
      <c r="S98" s="59">
        <f ca="1">AVERAGE(OFFSET($R$3,0,0,'Données projet'!$E$9+1,1))-AVERAGE(OFFSET($H$3,0,0,'Données projet'!$E$9+1,1))</f>
        <v>737.40414421611001</v>
      </c>
      <c r="T98" s="59">
        <f t="shared" si="88"/>
        <v>245.32893490531674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8.9989999999999952</v>
      </c>
      <c r="AI98" s="13">
        <f>IF('Données projet'!$A$62&gt;35,AI97+AH98-AQ97,IF(A98&lt;'Données projet'!$A$62,$AF$205^A98,IF(A98='Données projet'!$A$62,'Données projet'!$B$62,AI97+AH98-AQ97)))</f>
        <v>299.4079999999999</v>
      </c>
      <c r="AJ98" s="13">
        <f>AI98*VLOOKUP('Données projet'!$B$10,Paramètres!$A$1:$I$89,3,0)*VLOOKUP('Données projet'!$B$10,Paramètres!$A$1:$I$89,5,0)</f>
        <v>284.91665279999989</v>
      </c>
      <c r="AK98" s="13">
        <f t="shared" si="89"/>
        <v>68.004983981001502</v>
      </c>
      <c r="AL98" s="20">
        <f t="shared" si="58"/>
        <v>614.67185072691063</v>
      </c>
      <c r="AM98" s="59">
        <f t="shared" si="59"/>
        <v>890.61929664567651</v>
      </c>
      <c r="AN98" s="59">
        <f ca="1">AVERAGE(OFFSET($AM$3,0,0,'Données projet'!$E$10+1,1))-AVERAGE(OFFSET($H$3,0,0,'Données projet'!$E$10+1,1))</f>
        <v>486.36097333679697</v>
      </c>
      <c r="AO98" s="59">
        <f t="shared" si="90"/>
        <v>308.47736602748159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35.654596609675266</v>
      </c>
      <c r="AV98" s="21">
        <f>EXP(-LN(2)/25)*AV97+(1-EXP(-LN(2)/25))/(LN(2)/25)*Calculateur!AQ98*Calculateur!AS98*VLOOKUP('Données projet'!$B$10,Paramètres!$A$1:$I$89,3,0)*0.475*44/12</f>
        <v>24.668390390283541</v>
      </c>
      <c r="AW98" s="21">
        <f>EXP(-LN(2)/2)*AW97+(1-EXP(-LN(2)/2))/(LN(2)/2)*AQ98*AT98*VLOOKUP('Données projet'!$B$10,Paramètres!$A$1:$I$89,3,0)*0.475*44/12</f>
        <v>7.4182276553534363E-2</v>
      </c>
      <c r="AX98" s="21">
        <f t="shared" si="60"/>
        <v>60.397169276512344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408.246209980743</v>
      </c>
      <c r="BJ98" s="59">
        <f t="shared" si="92"/>
        <v>394.10236303013903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42.409066851630513</v>
      </c>
      <c r="BQ98" s="21">
        <f>EXP(-LN(2)/25)*BQ97+(1-EXP(-LN(2)/25))/(LN(2)/25)*Calculateur!BL98*Calculateur!BN98*VLOOKUP('Données projet'!$B$11,Paramètres!$A$1:$I$89,3,0)*0.475*44/12</f>
        <v>37.180755278154017</v>
      </c>
      <c r="BR98" s="21">
        <f>EXP(-LN(2)/2)*BR97+(1-EXP(-LN(2)/2))/(LN(2)/2)*BL98*BO98*VLOOKUP('Données projet'!$B$11,Paramètres!$A$1:$I$89,3,0)*0.475*44/12</f>
        <v>0.37863943210758533</v>
      </c>
      <c r="BS98" s="22">
        <f t="shared" si="63"/>
        <v>79.968461561892113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1186.6442722985614</v>
      </c>
      <c r="S99" s="59">
        <f ca="1">AVERAGE(OFFSET($R$3,0,0,'Données projet'!$E$9+1,1))-AVERAGE(OFFSET($H$3,0,0,'Données projet'!$E$9+1,1))</f>
        <v>737.40414421611001</v>
      </c>
      <c r="T99" s="59">
        <f t="shared" si="88"/>
        <v>245.32893490531674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8.9989999999999952</v>
      </c>
      <c r="AI99" s="13">
        <f>IF('Données projet'!$A$62&gt;35,AI98+AH99-AQ98,IF(A99&lt;'Données projet'!$A$62,$AF$205^A99,IF(A99='Données projet'!$A$62,'Données projet'!$B$62,AI98+AH99-AQ98)))</f>
        <v>308.40699999999993</v>
      </c>
      <c r="AJ99" s="13">
        <f>AI99*VLOOKUP('Données projet'!$B$10,Paramètres!$A$1:$I$89,3,0)*VLOOKUP('Données projet'!$B$10,Paramètres!$A$1:$I$89,5,0)</f>
        <v>293.48010119999992</v>
      </c>
      <c r="AK99" s="13">
        <f t="shared" si="89"/>
        <v>69.807899272049525</v>
      </c>
      <c r="AL99" s="20">
        <f t="shared" si="58"/>
        <v>632.72660082215282</v>
      </c>
      <c r="AM99" s="59">
        <f t="shared" si="59"/>
        <v>908.97565301854024</v>
      </c>
      <c r="AN99" s="59">
        <f ca="1">AVERAGE(OFFSET($AM$3,0,0,'Données projet'!$E$10+1,1))-AVERAGE(OFFSET($H$3,0,0,'Données projet'!$E$10+1,1))</f>
        <v>486.36097333679697</v>
      </c>
      <c r="AO99" s="59">
        <f t="shared" si="90"/>
        <v>308.47736602748159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34.95543171731611</v>
      </c>
      <c r="AV99" s="21">
        <f>EXP(-LN(2)/25)*AV98+(1-EXP(-LN(2)/25))/(LN(2)/25)*Calculateur!AQ99*Calculateur!AS99*VLOOKUP('Données projet'!$B$10,Paramètres!$A$1:$I$89,3,0)*0.475*44/12</f>
        <v>23.993831957806968</v>
      </c>
      <c r="AW99" s="21">
        <f>EXP(-LN(2)/2)*AW98+(1-EXP(-LN(2)/2))/(LN(2)/2)*AQ99*AT99*VLOOKUP('Données projet'!$B$10,Paramètres!$A$1:$I$89,3,0)*0.475*44/12</f>
        <v>5.2454790794859978E-2</v>
      </c>
      <c r="AX99" s="21">
        <f t="shared" si="60"/>
        <v>59.001718465917939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408.246209980743</v>
      </c>
      <c r="BJ99" s="59">
        <f t="shared" si="92"/>
        <v>394.10236303013903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41.577450917646665</v>
      </c>
      <c r="BQ99" s="21">
        <f>EXP(-LN(2)/25)*BQ98+(1-EXP(-LN(2)/25))/(LN(2)/25)*Calculateur!BL99*Calculateur!BN99*VLOOKUP('Données projet'!$B$11,Paramètres!$A$1:$I$89,3,0)*0.475*44/12</f>
        <v>36.164045569821951</v>
      </c>
      <c r="BR99" s="21">
        <f>EXP(-LN(2)/2)*BR98+(1-EXP(-LN(2)/2))/(LN(2)/2)*BL99*BO99*VLOOKUP('Données projet'!$B$11,Paramètres!$A$1:$I$89,3,0)*0.475*44/12</f>
        <v>0.26773851006789695</v>
      </c>
      <c r="BS99" s="22">
        <f t="shared" si="63"/>
        <v>78.009234997536524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1208.2966538715837</v>
      </c>
      <c r="S100" s="59">
        <f ca="1">AVERAGE(OFFSET($R$3,0,0,'Données projet'!$E$9+1,1))-AVERAGE(OFFSET($H$3,0,0,'Données projet'!$E$9+1,1))</f>
        <v>737.40414421611001</v>
      </c>
      <c r="T100" s="59">
        <f t="shared" si="88"/>
        <v>245.32893490531674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8.9989999999999952</v>
      </c>
      <c r="AI100" s="13">
        <f>IF('Données projet'!$A$62&gt;35,AI99+AH100-AQ99,IF(A100&lt;'Données projet'!$A$62,$AF$205^A100,IF(A100='Données projet'!$A$62,'Données projet'!$B$62,AI99+AH100-AQ99)))</f>
        <v>317.40599999999995</v>
      </c>
      <c r="AJ100" s="13">
        <f>AI100*VLOOKUP('Données projet'!$B$10,Paramètres!$A$1:$I$89,3,0)*VLOOKUP('Données projet'!$B$10,Paramètres!$A$1:$I$89,5,0)</f>
        <v>302.04354959999995</v>
      </c>
      <c r="AK100" s="13">
        <f t="shared" si="89"/>
        <v>71.604700553278462</v>
      </c>
      <c r="AL100" s="20">
        <f t="shared" si="58"/>
        <v>650.77070235029328</v>
      </c>
      <c r="AM100" s="59">
        <f t="shared" si="59"/>
        <v>927.31612862967609</v>
      </c>
      <c r="AN100" s="59">
        <f ca="1">AVERAGE(OFFSET($AM$3,0,0,'Données projet'!$E$10+1,1))-AVERAGE(OFFSET($H$3,0,0,'Données projet'!$E$10+1,1))</f>
        <v>486.36097333679697</v>
      </c>
      <c r="AO100" s="59">
        <f t="shared" si="90"/>
        <v>308.47736602748159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34.269977022047641</v>
      </c>
      <c r="AV100" s="21">
        <f>EXP(-LN(2)/25)*AV99+(1-EXP(-LN(2)/25))/(LN(2)/25)*Calculateur!AQ100*Calculateur!AS100*VLOOKUP('Données projet'!$B$10,Paramètres!$A$1:$I$89,3,0)*0.475*44/12</f>
        <v>23.337719361139953</v>
      </c>
      <c r="AW100" s="21">
        <f>EXP(-LN(2)/2)*AW99+(1-EXP(-LN(2)/2))/(LN(2)/2)*AQ100*AT100*VLOOKUP('Données projet'!$B$10,Paramètres!$A$1:$I$89,3,0)*0.475*44/12</f>
        <v>3.7091138276767181E-2</v>
      </c>
      <c r="AX100" s="21">
        <f t="shared" si="60"/>
        <v>57.644787521464359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408.246209980743</v>
      </c>
      <c r="BJ100" s="59">
        <f t="shared" si="92"/>
        <v>394.10236303013903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40.762142464892605</v>
      </c>
      <c r="BQ100" s="21">
        <f>EXP(-LN(2)/25)*BQ99+(1-EXP(-LN(2)/25))/(LN(2)/25)*Calculateur!BL100*Calculateur!BN100*VLOOKUP('Données projet'!$B$11,Paramètres!$A$1:$I$89,3,0)*0.475*44/12</f>
        <v>35.17513784193067</v>
      </c>
      <c r="BR100" s="21">
        <f>EXP(-LN(2)/2)*BR99+(1-EXP(-LN(2)/2))/(LN(2)/2)*BL100*BO100*VLOOKUP('Données projet'!$B$11,Paramètres!$A$1:$I$89,3,0)*0.475*44/12</f>
        <v>0.18931971605379266</v>
      </c>
      <c r="BS100" s="22">
        <f t="shared" si="63"/>
        <v>76.126600022877071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1229.9341634504085</v>
      </c>
      <c r="S101" s="59">
        <f ca="1">AVERAGE(OFFSET($R$3,0,0,'Données projet'!$E$9+1,1))-AVERAGE(OFFSET($H$3,0,0,'Données projet'!$E$9+1,1))</f>
        <v>737.40414421611001</v>
      </c>
      <c r="T101" s="59">
        <f t="shared" si="88"/>
        <v>245.32893490531674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8.9989999999999952</v>
      </c>
      <c r="AI101" s="13">
        <f>IF('Données projet'!$A$62&gt;35,AI100+AH101-AQ100,IF(A101&lt;'Données projet'!$A$62,$AF$205^A101,IF(A101='Données projet'!$A$62,'Données projet'!$B$62,AI100+AH101-AQ100)))</f>
        <v>326.40499999999997</v>
      </c>
      <c r="AJ101" s="13">
        <f>AI101*VLOOKUP('Données projet'!$B$10,Paramètres!$A$1:$I$89,3,0)*VLOOKUP('Données projet'!$B$10,Paramètres!$A$1:$I$89,5,0)</f>
        <v>310.60699799999998</v>
      </c>
      <c r="AK101" s="13">
        <f t="shared" si="89"/>
        <v>73.395581077832844</v>
      </c>
      <c r="AL101" s="20">
        <f t="shared" si="58"/>
        <v>668.80449189389219</v>
      </c>
      <c r="AM101" s="59">
        <f t="shared" si="59"/>
        <v>945.64115082852356</v>
      </c>
      <c r="AN101" s="59">
        <f ca="1">AVERAGE(OFFSET($AM$3,0,0,'Données projet'!$E$10+1,1))-AVERAGE(OFFSET($H$3,0,0,'Données projet'!$E$10+1,1))</f>
        <v>486.36097333679697</v>
      </c>
      <c r="AO101" s="59">
        <f t="shared" si="90"/>
        <v>308.47736602748159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33.597963675267309</v>
      </c>
      <c r="AV101" s="21">
        <f>EXP(-LN(2)/25)*AV100+(1-EXP(-LN(2)/25))/(LN(2)/25)*Calculateur!AQ101*Calculateur!AS101*VLOOKUP('Données projet'!$B$10,Paramètres!$A$1:$I$89,3,0)*0.475*44/12</f>
        <v>22.699548197932259</v>
      </c>
      <c r="AW101" s="21">
        <f>EXP(-LN(2)/2)*AW100+(1-EXP(-LN(2)/2))/(LN(2)/2)*AQ101*AT101*VLOOKUP('Données projet'!$B$10,Paramètres!$A$1:$I$89,3,0)*0.475*44/12</f>
        <v>2.6227395397429989E-2</v>
      </c>
      <c r="AX101" s="21">
        <f t="shared" si="60"/>
        <v>56.323739268596995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408.246209980743</v>
      </c>
      <c r="BJ101" s="59">
        <f t="shared" si="92"/>
        <v>394.10236303013903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39.962821713608001</v>
      </c>
      <c r="BQ101" s="21">
        <f>EXP(-LN(2)/25)*BQ100+(1-EXP(-LN(2)/25))/(LN(2)/25)*Calculateur!BL101*Calculateur!BN101*VLOOKUP('Données projet'!$B$11,Paramètres!$A$1:$I$89,3,0)*0.475*44/12</f>
        <v>34.21327184786297</v>
      </c>
      <c r="BR101" s="21">
        <f>EXP(-LN(2)/2)*BR100+(1-EXP(-LN(2)/2))/(LN(2)/2)*BL101*BO101*VLOOKUP('Données projet'!$B$11,Paramètres!$A$1:$I$89,3,0)*0.475*44/12</f>
        <v>0.13386925503394848</v>
      </c>
      <c r="BS101" s="22">
        <f t="shared" si="63"/>
        <v>74.309962816504907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1251.557138530673</v>
      </c>
      <c r="S102" s="59">
        <f ca="1">AVERAGE(OFFSET($R$3,0,0,'Données projet'!$E$9+1,1))-AVERAGE(OFFSET($H$3,0,0,'Données projet'!$E$9+1,1))</f>
        <v>737.40414421611001</v>
      </c>
      <c r="T102" s="59">
        <f t="shared" si="88"/>
        <v>245.32893490531674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8.9989999999999952</v>
      </c>
      <c r="AI102" s="13">
        <f>IF('Données projet'!$A$62&gt;35,AI101+AH102-AQ101,IF(A102&lt;'Données projet'!$A$62,$AF$205^A102,IF(A102='Données projet'!$A$62,'Données projet'!$B$62,AI101+AH102-AQ101)))</f>
        <v>335.404</v>
      </c>
      <c r="AJ102" s="13">
        <f>AI102*VLOOKUP('Données projet'!$B$10,Paramètres!$A$1:$I$89,3,0)*VLOOKUP('Données projet'!$B$10,Paramètres!$A$1:$I$89,5,0)</f>
        <v>319.1704464</v>
      </c>
      <c r="AK102" s="13">
        <f t="shared" si="89"/>
        <v>75.180722836444687</v>
      </c>
      <c r="AL102" s="20">
        <f t="shared" si="58"/>
        <v>686.82828642014101</v>
      </c>
      <c r="AM102" s="59">
        <f t="shared" si="59"/>
        <v>963.9511257745512</v>
      </c>
      <c r="AN102" s="59">
        <f ca="1">AVERAGE(OFFSET($AM$3,0,0,'Données projet'!$E$10+1,1))-AVERAGE(OFFSET($H$3,0,0,'Données projet'!$E$10+1,1))</f>
        <v>486.36097333679697</v>
      </c>
      <c r="AO102" s="59">
        <f t="shared" si="90"/>
        <v>308.47736602748159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32.939128100329668</v>
      </c>
      <c r="AV102" s="21">
        <f>EXP(-LN(2)/25)*AV101+(1-EXP(-LN(2)/25))/(LN(2)/25)*Calculateur!AQ102*Calculateur!AS102*VLOOKUP('Données projet'!$B$10,Paramètres!$A$1:$I$89,3,0)*0.475*44/12</f>
        <v>22.078827858742443</v>
      </c>
      <c r="AW102" s="21">
        <f>EXP(-LN(2)/2)*AW101+(1-EXP(-LN(2)/2))/(LN(2)/2)*AQ102*AT102*VLOOKUP('Données projet'!$B$10,Paramètres!$A$1:$I$89,3,0)*0.475*44/12</f>
        <v>1.8545569138383591E-2</v>
      </c>
      <c r="AX102" s="21">
        <f t="shared" si="60"/>
        <v>55.036501528210493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408.246209980743</v>
      </c>
      <c r="BJ102" s="59">
        <f t="shared" si="92"/>
        <v>394.10236303013903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39.179175154718571</v>
      </c>
      <c r="BQ102" s="21">
        <f>EXP(-LN(2)/25)*BQ101+(1-EXP(-LN(2)/25))/(LN(2)/25)*Calculateur!BL102*Calculateur!BN102*VLOOKUP('Données projet'!$B$11,Paramètres!$A$1:$I$89,3,0)*0.475*44/12</f>
        <v>33.277708129985385</v>
      </c>
      <c r="BR102" s="21">
        <f>EXP(-LN(2)/2)*BR101+(1-EXP(-LN(2)/2))/(LN(2)/2)*BL102*BO102*VLOOKUP('Données projet'!$B$11,Paramètres!$A$1:$I$89,3,0)*0.475*44/12</f>
        <v>9.4659858026896332E-2</v>
      </c>
      <c r="BS102" s="22">
        <f t="shared" si="63"/>
        <v>72.551543142730864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1273.1659033165117</v>
      </c>
      <c r="S103" s="59">
        <f ca="1">AVERAGE(OFFSET($R$3,0,0,'Données projet'!$E$9+1,1))-AVERAGE(OFFSET($H$3,0,0,'Données projet'!$E$9+1,1))</f>
        <v>737.40414421611001</v>
      </c>
      <c r="T103" s="59">
        <f t="shared" si="88"/>
        <v>245.32893490531674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8.9989999999999952</v>
      </c>
      <c r="AI103" s="13">
        <f>IF('Données projet'!$A$62&gt;35,AI102+AH103-AQ102,IF(A103&lt;'Données projet'!$A$62,$AF$205^A103,IF(A103='Données projet'!$A$62,'Données projet'!$B$62,AI102+AH103-AQ102)))</f>
        <v>344.40300000000002</v>
      </c>
      <c r="AJ103" s="13">
        <f>AI103*VLOOKUP('Données projet'!$B$10,Paramètres!$A$1:$I$89,3,0)*VLOOKUP('Données projet'!$B$10,Paramètres!$A$1:$I$89,5,0)</f>
        <v>327.73389480000003</v>
      </c>
      <c r="AK103" s="13">
        <f t="shared" si="89"/>
        <v>76.960297498116987</v>
      </c>
      <c r="AL103" s="20">
        <f t="shared" si="58"/>
        <v>704.84238491922042</v>
      </c>
      <c r="AM103" s="59">
        <f t="shared" si="59"/>
        <v>982.24644010292968</v>
      </c>
      <c r="AN103" s="59">
        <f ca="1">AVERAGE(OFFSET($AM$3,0,0,'Données projet'!$E$10+1,1))-AVERAGE(OFFSET($H$3,0,0,'Données projet'!$E$10+1,1))</f>
        <v>486.36097333679697</v>
      </c>
      <c r="AO103" s="59">
        <f t="shared" si="90"/>
        <v>308.47736602748159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32.293211889166535</v>
      </c>
      <c r="AV103" s="21">
        <f>EXP(-LN(2)/25)*AV102+(1-EXP(-LN(2)/25))/(LN(2)/25)*Calculateur!AQ103*Calculateur!AS103*VLOOKUP('Données projet'!$B$10,Paramètres!$A$1:$I$89,3,0)*0.475*44/12</f>
        <v>21.475081149870036</v>
      </c>
      <c r="AW103" s="21">
        <f>EXP(-LN(2)/2)*AW102+(1-EXP(-LN(2)/2))/(LN(2)/2)*AQ103*AT103*VLOOKUP('Données projet'!$B$10,Paramètres!$A$1:$I$89,3,0)*0.475*44/12</f>
        <v>1.3113697698714994E-2</v>
      </c>
      <c r="AX103" s="21">
        <f t="shared" si="60"/>
        <v>53.781406736735285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408.246209980743</v>
      </c>
      <c r="BJ103" s="59">
        <f t="shared" si="92"/>
        <v>394.10236303013903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38.410895426871761</v>
      </c>
      <c r="BQ103" s="21">
        <f>EXP(-LN(2)/25)*BQ102+(1-EXP(-LN(2)/25))/(LN(2)/25)*Calculateur!BL103*Calculateur!BN103*VLOOKUP('Données projet'!$B$11,Paramètres!$A$1:$I$89,3,0)*0.475*44/12</f>
        <v>32.367727451172321</v>
      </c>
      <c r="BR103" s="21">
        <f>EXP(-LN(2)/2)*BR102+(1-EXP(-LN(2)/2))/(LN(2)/2)*BL103*BO103*VLOOKUP('Données projet'!$B$11,Paramètres!$A$1:$I$89,3,0)*0.475*44/12</f>
        <v>6.6934627516974238E-2</v>
      </c>
      <c r="BS103" s="22">
        <f t="shared" si="63"/>
        <v>70.845557505561047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1117.8586764250501</v>
      </c>
      <c r="S104" s="59">
        <f ca="1">AVERAGE(OFFSET($R$3,0,0,'Données projet'!$E$9+1,1))-AVERAGE(OFFSET($H$3,0,0,'Données projet'!$E$9+1,1))</f>
        <v>737.40414421611001</v>
      </c>
      <c r="T104" s="59">
        <f t="shared" si="88"/>
        <v>245.32893490531674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8.9989999999999952</v>
      </c>
      <c r="AI104" s="13">
        <f>IF('Données projet'!$A$62&gt;35,AI103+AH104-AQ103,IF(A104&lt;'Données projet'!$A$62,$AF$205^A104,IF(A104='Données projet'!$A$62,'Données projet'!$B$62,AI103+AH104-AQ103)))</f>
        <v>353.40200000000004</v>
      </c>
      <c r="AJ104" s="13">
        <f>AI104*VLOOKUP('Données projet'!$B$10,Paramètres!$A$1:$I$89,3,0)*VLOOKUP('Données projet'!$B$10,Paramètres!$A$1:$I$89,5,0)</f>
        <v>336.29734320000006</v>
      </c>
      <c r="AK104" s="13">
        <f t="shared" si="89"/>
        <v>78.734467249723195</v>
      </c>
      <c r="AL104" s="20">
        <f t="shared" si="58"/>
        <v>722.84706986660137</v>
      </c>
      <c r="AM104" s="59">
        <f t="shared" si="59"/>
        <v>1000.5274624136757</v>
      </c>
      <c r="AN104" s="59">
        <f ca="1">AVERAGE(OFFSET($AM$3,0,0,'Données projet'!$E$10+1,1))-AVERAGE(OFFSET($H$3,0,0,'Données projet'!$E$10+1,1))</f>
        <v>486.36097333679697</v>
      </c>
      <c r="AO104" s="59">
        <f t="shared" si="90"/>
        <v>308.47736602748159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31.659961700934325</v>
      </c>
      <c r="AV104" s="21">
        <f>EXP(-LN(2)/25)*AV103+(1-EXP(-LN(2)/25))/(LN(2)/25)*Calculateur!AQ104*Calculateur!AS104*VLOOKUP('Données projet'!$B$10,Paramètres!$A$1:$I$89,3,0)*0.475*44/12</f>
        <v>20.887843926501404</v>
      </c>
      <c r="AW104" s="21">
        <f>EXP(-LN(2)/2)*AW103+(1-EXP(-LN(2)/2))/(LN(2)/2)*AQ104*AT104*VLOOKUP('Données projet'!$B$10,Paramètres!$A$1:$I$89,3,0)*0.475*44/12</f>
        <v>9.2727845691917953E-3</v>
      </c>
      <c r="AX104" s="21">
        <f t="shared" si="60"/>
        <v>52.55707841200492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408.246209980743</v>
      </c>
      <c r="BJ104" s="59">
        <f t="shared" si="92"/>
        <v>394.10236303013903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37.657681195883661</v>
      </c>
      <c r="BQ104" s="21">
        <f>EXP(-LN(2)/25)*BQ103+(1-EXP(-LN(2)/25))/(LN(2)/25)*Calculateur!BL104*Calculateur!BN104*VLOOKUP('Données projet'!$B$11,Paramètres!$A$1:$I$89,3,0)*0.475*44/12</f>
        <v>31.482630241875206</v>
      </c>
      <c r="BR104" s="21">
        <f>EXP(-LN(2)/2)*BR103+(1-EXP(-LN(2)/2))/(LN(2)/2)*BL104*BO104*VLOOKUP('Données projet'!$B$11,Paramètres!$A$1:$I$89,3,0)*0.475*44/12</f>
        <v>4.7329929013448166E-2</v>
      </c>
      <c r="BS104" s="22">
        <f t="shared" si="63"/>
        <v>69.187641366772311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1138.6805534200319</v>
      </c>
      <c r="S105" s="59">
        <f ca="1">AVERAGE(OFFSET($R$3,0,0,'Données projet'!$E$9+1,1))-AVERAGE(OFFSET($H$3,0,0,'Données projet'!$E$9+1,1))</f>
        <v>737.40414421611001</v>
      </c>
      <c r="T105" s="59">
        <f t="shared" si="88"/>
        <v>245.32893490531674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8.9989999999999952</v>
      </c>
      <c r="AI105" s="13">
        <f>IF('Données projet'!$A$62&gt;35,AI104+AH105-AQ104,IF(A105&lt;'Données projet'!$A$62,$AF$205^A105,IF(A105='Données projet'!$A$62,'Données projet'!$B$62,AI104+AH105-AQ104)))</f>
        <v>362.40100000000007</v>
      </c>
      <c r="AJ105" s="13">
        <f>AI105*VLOOKUP('Données projet'!$B$10,Paramètres!$A$1:$I$89,3,0)*VLOOKUP('Données projet'!$B$10,Paramètres!$A$1:$I$89,5,0)</f>
        <v>344.86079160000008</v>
      </c>
      <c r="AK105" s="13">
        <f t="shared" si="89"/>
        <v>80.503385547683365</v>
      </c>
      <c r="AL105" s="20">
        <f t="shared" si="58"/>
        <v>740.84260853221531</v>
      </c>
      <c r="AM105" s="59">
        <f t="shared" si="59"/>
        <v>1018.7945446071983</v>
      </c>
      <c r="AN105" s="59">
        <f ca="1">AVERAGE(OFFSET($AM$3,0,0,'Données projet'!$E$10+1,1))-AVERAGE(OFFSET($H$3,0,0,'Données projet'!$E$10+1,1))</f>
        <v>486.36097333679697</v>
      </c>
      <c r="AO105" s="59">
        <f t="shared" si="90"/>
        <v>308.47736602748159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31.039129162648869</v>
      </c>
      <c r="AV105" s="21">
        <f>EXP(-LN(2)/25)*AV104+(1-EXP(-LN(2)/25))/(LN(2)/25)*Calculateur!AQ105*Calculateur!AS105*VLOOKUP('Données projet'!$B$10,Paramètres!$A$1:$I$89,3,0)*0.475*44/12</f>
        <v>20.316664735887251</v>
      </c>
      <c r="AW105" s="21">
        <f>EXP(-LN(2)/2)*AW104+(1-EXP(-LN(2)/2))/(LN(2)/2)*AQ105*AT105*VLOOKUP('Données projet'!$B$10,Paramètres!$A$1:$I$89,3,0)*0.475*44/12</f>
        <v>6.5568488493574972E-3</v>
      </c>
      <c r="AX105" s="21">
        <f t="shared" si="60"/>
        <v>51.362350747385477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408.246209980743</v>
      </c>
      <c r="BJ105" s="59">
        <f t="shared" si="92"/>
        <v>394.10236303013903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36.919237036549923</v>
      </c>
      <c r="BQ105" s="21">
        <f>EXP(-LN(2)/25)*BQ104+(1-EXP(-LN(2)/25))/(LN(2)/25)*Calculateur!BL105*Calculateur!BN105*VLOOKUP('Données projet'!$B$11,Paramètres!$A$1:$I$89,3,0)*0.475*44/12</f>
        <v>30.621736062311559</v>
      </c>
      <c r="BR105" s="21">
        <f>EXP(-LN(2)/2)*BR104+(1-EXP(-LN(2)/2))/(LN(2)/2)*BL105*BO105*VLOOKUP('Données projet'!$B$11,Paramètres!$A$1:$I$89,3,0)*0.475*44/12</f>
        <v>3.3467313758487119E-2</v>
      </c>
      <c r="BS105" s="22">
        <f t="shared" si="63"/>
        <v>67.574440412619978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1159.4878876407276</v>
      </c>
      <c r="S106" s="59">
        <f ca="1">AVERAGE(OFFSET($R$3,0,0,'Données projet'!$E$9+1,1))-AVERAGE(OFFSET($H$3,0,0,'Données projet'!$E$9+1,1))</f>
        <v>737.40414421611001</v>
      </c>
      <c r="T106" s="59">
        <f t="shared" si="88"/>
        <v>245.32893490531674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371.4</v>
      </c>
      <c r="AG106" s="12">
        <f>VLOOKUP(A106,'Données projet'!$A$61:$I$81,9,0)</f>
        <v>8.9989999999999952</v>
      </c>
      <c r="AH106" s="12">
        <f t="array" ref="AH106">INDEX(AG:AG,MIN(IF(ISNUMBER(AG106:AG302),ROW(AG106:AG302),"")))</f>
        <v>8.9989999999999952</v>
      </c>
      <c r="AI106" s="13">
        <f>IF('Données projet'!$A$62&gt;35,AI105+AH106-AQ105,IF(A106&lt;'Données projet'!$A$62,$AF$205^A106,IF(A106='Données projet'!$A$62,'Données projet'!$B$62,AI105+AH106-AQ105)))</f>
        <v>371.40000000000009</v>
      </c>
      <c r="AJ106" s="13">
        <f>AI106*VLOOKUP('Données projet'!$B$10,Paramètres!$A$1:$I$89,3,0)*VLOOKUP('Données projet'!$B$10,Paramètres!$A$1:$I$89,5,0)</f>
        <v>353.42424000000011</v>
      </c>
      <c r="AK106" s="13">
        <f t="shared" si="89"/>
        <v>82.267197792875848</v>
      </c>
      <c r="AL106" s="20">
        <f t="shared" si="58"/>
        <v>758.82925415592547</v>
      </c>
      <c r="AM106" s="59">
        <f t="shared" si="59"/>
        <v>1037.0480230856881</v>
      </c>
      <c r="AN106" s="59">
        <f ca="1">AVERAGE(OFFSET($AM$3,0,0,'Données projet'!$E$10+1,1))-AVERAGE(OFFSET($H$3,0,0,'Données projet'!$E$10+1,1))</f>
        <v>486.36097333679697</v>
      </c>
      <c r="AO106" s="59">
        <f t="shared" si="90"/>
        <v>308.47736602748159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67.759999999999991</v>
      </c>
      <c r="AR106" s="16">
        <f>IF(ISNA(VLOOKUP(A106,'Données projet'!$A$61:$I$81,5,0)),0%,VLOOKUP(A106,'Données projet'!$A$61:$I$81,5,0)*VLOOKUP('Données projet'!$B$10,Paramètres!$A$1:$I$89,7,0))</f>
        <v>0.215</v>
      </c>
      <c r="AS106" s="16">
        <f>IF(ISNA(VLOOKUP(A106,'Données projet'!$A$61:$I$81,6,0)),0%,VLOOKUP(A106,'Données projet'!$A$61:$I$81,6,0)*VLOOKUP('Données projet'!$B$10,Paramètres!$A$1:$I$89,7,0))</f>
        <v>8.6000000000000007E-2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45.755926610580673</v>
      </c>
      <c r="AV106" s="21">
        <f>EXP(-LN(2)/25)*AV105+(1-EXP(-LN(2)/25))/(LN(2)/25)*Calculateur!AQ106*Calculateur!AS106*VLOOKUP('Données projet'!$B$10,Paramètres!$A$1:$I$89,3,0)*0.475*44/12</f>
        <v>25.867149942164669</v>
      </c>
      <c r="AW106" s="21">
        <f>EXP(-LN(2)/2)*AW105+(1-EXP(-LN(2)/2))/(LN(2)/2)*AQ106*AT106*VLOOKUP('Données projet'!$B$10,Paramètres!$A$1:$I$89,3,0)*0.475*44/12</f>
        <v>4.6363922845958977E-3</v>
      </c>
      <c r="AX106" s="21">
        <f t="shared" si="60"/>
        <v>71.627712945029941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408.246209980743</v>
      </c>
      <c r="BJ106" s="59">
        <f t="shared" si="92"/>
        <v>394.10236303013903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36.195273316774255</v>
      </c>
      <c r="BQ106" s="21">
        <f>EXP(-LN(2)/25)*BQ105+(1-EXP(-LN(2)/25))/(LN(2)/25)*Calculateur!BL106*Calculateur!BN106*VLOOKUP('Données projet'!$B$11,Paramètres!$A$1:$I$89,3,0)*0.475*44/12</f>
        <v>29.784383079360538</v>
      </c>
      <c r="BR106" s="21">
        <f>EXP(-LN(2)/2)*BR105+(1-EXP(-LN(2)/2))/(LN(2)/2)*BL106*BO106*VLOOKUP('Données projet'!$B$11,Paramètres!$A$1:$I$89,3,0)*0.475*44/12</f>
        <v>2.3664964506724083E-2</v>
      </c>
      <c r="BS106" s="22">
        <f t="shared" si="63"/>
        <v>66.003321360641522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1180.2810219382718</v>
      </c>
      <c r="S107" s="59">
        <f ca="1">AVERAGE(OFFSET($R$3,0,0,'Données projet'!$E$9+1,1))-AVERAGE(OFFSET($H$3,0,0,'Données projet'!$E$9+1,1))</f>
        <v>737.40414421611001</v>
      </c>
      <c r="T107" s="59">
        <f t="shared" si="88"/>
        <v>245.32893490531674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8.7540000000000013</v>
      </c>
      <c r="AI107" s="13">
        <f>IF('Données projet'!$A$62&gt;35,AI106+AH107-AQ106,IF(A107&lt;'Données projet'!$A$62,$AF$205^A107,IF(A107='Données projet'!$A$62,'Données projet'!$B$62,AI106+AH107-AQ106)))</f>
        <v>312.39400000000012</v>
      </c>
      <c r="AJ107" s="13">
        <f>AI107*VLOOKUP('Données projet'!$B$10,Paramètres!$A$1:$I$89,3,0)*VLOOKUP('Données projet'!$B$10,Paramètres!$A$1:$I$89,5,0)</f>
        <v>297.27413040000016</v>
      </c>
      <c r="AK107" s="13">
        <f t="shared" si="89"/>
        <v>70.604713287138281</v>
      </c>
      <c r="AL107" s="20">
        <f t="shared" si="58"/>
        <v>640.72231942176609</v>
      </c>
      <c r="AM107" s="59">
        <f t="shared" si="59"/>
        <v>919.20329225282694</v>
      </c>
      <c r="AN107" s="59">
        <f ca="1">AVERAGE(OFFSET($AM$3,0,0,'Données projet'!$E$10+1,1))-AVERAGE(OFFSET($H$3,0,0,'Données projet'!$E$10+1,1))</f>
        <v>486.36097333679697</v>
      </c>
      <c r="AO107" s="59">
        <f t="shared" si="90"/>
        <v>308.47736602748159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44.858680798106697</v>
      </c>
      <c r="AV107" s="21">
        <f>EXP(-LN(2)/25)*AV106+(1-EXP(-LN(2)/25))/(LN(2)/25)*Calculateur!AQ107*Calculateur!AS107*VLOOKUP('Données projet'!$B$10,Paramètres!$A$1:$I$89,3,0)*0.475*44/12</f>
        <v>25.159811366701881</v>
      </c>
      <c r="AW107" s="21">
        <f>EXP(-LN(2)/2)*AW106+(1-EXP(-LN(2)/2))/(LN(2)/2)*AQ107*AT107*VLOOKUP('Données projet'!$B$10,Paramètres!$A$1:$I$89,3,0)*0.475*44/12</f>
        <v>3.2784244246787486E-3</v>
      </c>
      <c r="AX107" s="21">
        <f t="shared" si="60"/>
        <v>70.021770589233256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408.246209980743</v>
      </c>
      <c r="BJ107" s="59">
        <f t="shared" si="92"/>
        <v>394.10236303013903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35.485506083969121</v>
      </c>
      <c r="BQ107" s="21">
        <f>EXP(-LN(2)/25)*BQ106+(1-EXP(-LN(2)/25))/(LN(2)/25)*Calculateur!BL107*Calculateur!BN107*VLOOKUP('Données projet'!$B$11,Paramètres!$A$1:$I$89,3,0)*0.475*44/12</f>
        <v>28.969927557762791</v>
      </c>
      <c r="BR107" s="21">
        <f>EXP(-LN(2)/2)*BR106+(1-EXP(-LN(2)/2))/(LN(2)/2)*BL107*BO107*VLOOKUP('Données projet'!$B$11,Paramètres!$A$1:$I$89,3,0)*0.475*44/12</f>
        <v>1.6733656879243559E-2</v>
      </c>
      <c r="BS107" s="22">
        <f t="shared" si="63"/>
        <v>64.472167298611154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1201.060284902863</v>
      </c>
      <c r="S108" s="59">
        <f ca="1">AVERAGE(OFFSET($R$3,0,0,'Données projet'!$E$9+1,1))-AVERAGE(OFFSET($H$3,0,0,'Données projet'!$E$9+1,1))</f>
        <v>737.40414421611001</v>
      </c>
      <c r="T108" s="59">
        <f t="shared" si="88"/>
        <v>245.32893490531674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8.7540000000000013</v>
      </c>
      <c r="AI108" s="13">
        <f>IF('Données projet'!$A$62&gt;35,AI107+AH108-AQ107,IF(A108&lt;'Données projet'!$A$62,$AF$205^A108,IF(A108='Données projet'!$A$62,'Données projet'!$B$62,AI107+AH108-AQ107)))</f>
        <v>321.14800000000014</v>
      </c>
      <c r="AJ108" s="13">
        <f>AI108*VLOOKUP('Données projet'!$B$10,Paramètres!$A$1:$I$89,3,0)*VLOOKUP('Données projet'!$B$10,Paramètres!$A$1:$I$89,5,0)</f>
        <v>305.60443680000009</v>
      </c>
      <c r="AK108" s="13">
        <f t="shared" si="89"/>
        <v>72.350100063341856</v>
      </c>
      <c r="AL108" s="20">
        <f t="shared" si="58"/>
        <v>658.27081837032063</v>
      </c>
      <c r="AM108" s="59">
        <f t="shared" si="59"/>
        <v>937.00944645119239</v>
      </c>
      <c r="AN108" s="59">
        <f ca="1">AVERAGE(OFFSET($AM$3,0,0,'Données projet'!$E$10+1,1))-AVERAGE(OFFSET($H$3,0,0,'Données projet'!$E$10+1,1))</f>
        <v>486.36097333679697</v>
      </c>
      <c r="AO108" s="59">
        <f t="shared" si="90"/>
        <v>308.47736602748159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43.979029428749428</v>
      </c>
      <c r="AV108" s="21">
        <f>EXP(-LN(2)/25)*AV107+(1-EXP(-LN(2)/25))/(LN(2)/25)*Calculateur!AQ108*Calculateur!AS108*VLOOKUP('Données projet'!$B$10,Paramètres!$A$1:$I$89,3,0)*0.475*44/12</f>
        <v>24.471815001782442</v>
      </c>
      <c r="AW108" s="21">
        <f>EXP(-LN(2)/2)*AW107+(1-EXP(-LN(2)/2))/(LN(2)/2)*AQ108*AT108*VLOOKUP('Données projet'!$B$10,Paramètres!$A$1:$I$89,3,0)*0.475*44/12</f>
        <v>2.3181961422979488E-3</v>
      </c>
      <c r="AX108" s="21">
        <f t="shared" si="60"/>
        <v>68.453162626674171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408.246209980743</v>
      </c>
      <c r="BJ108" s="59">
        <f t="shared" si="92"/>
        <v>394.10236303013903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34.78965695368403</v>
      </c>
      <c r="BQ108" s="21">
        <f>EXP(-LN(2)/25)*BQ107+(1-EXP(-LN(2)/25))/(LN(2)/25)*Calculateur!BL108*Calculateur!BN108*VLOOKUP('Données projet'!$B$11,Paramètres!$A$1:$I$89,3,0)*0.475*44/12</f>
        <v>28.177743365233489</v>
      </c>
      <c r="BR108" s="21">
        <f>EXP(-LN(2)/2)*BR107+(1-EXP(-LN(2)/2))/(LN(2)/2)*BL108*BO108*VLOOKUP('Données projet'!$B$11,Paramètres!$A$1:$I$89,3,0)*0.475*44/12</f>
        <v>1.1832482253362041E-2</v>
      </c>
      <c r="BS108" s="22">
        <f t="shared" si="63"/>
        <v>62.97923280117088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1221.8259917974467</v>
      </c>
      <c r="S109" s="59">
        <f ca="1">AVERAGE(OFFSET($R$3,0,0,'Données projet'!$E$9+1,1))-AVERAGE(OFFSET($H$3,0,0,'Données projet'!$E$9+1,1))</f>
        <v>737.40414421611001</v>
      </c>
      <c r="T109" s="59">
        <f t="shared" si="88"/>
        <v>245.32893490531674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8.7540000000000013</v>
      </c>
      <c r="AI109" s="13">
        <f>IF('Données projet'!$A$62&gt;35,AI108+AH109-AQ108,IF(A109&lt;'Données projet'!$A$62,$AF$205^A109,IF(A109='Données projet'!$A$62,'Données projet'!$B$62,AI108+AH109-AQ108)))</f>
        <v>329.90200000000016</v>
      </c>
      <c r="AJ109" s="13">
        <f>AI109*VLOOKUP('Données projet'!$B$10,Paramètres!$A$1:$I$89,3,0)*VLOOKUP('Données projet'!$B$10,Paramètres!$A$1:$I$89,5,0)</f>
        <v>313.93474320000013</v>
      </c>
      <c r="AK109" s="13">
        <f t="shared" si="89"/>
        <v>74.089956981068127</v>
      </c>
      <c r="AL109" s="20">
        <f t="shared" si="58"/>
        <v>675.80968614869391</v>
      </c>
      <c r="AM109" s="59">
        <f t="shared" si="59"/>
        <v>954.80149973682296</v>
      </c>
      <c r="AN109" s="59">
        <f ca="1">AVERAGE(OFFSET($AM$3,0,0,'Données projet'!$E$10+1,1))-AVERAGE(OFFSET($H$3,0,0,'Données projet'!$E$10+1,1))</f>
        <v>486.36097333679697</v>
      </c>
      <c r="AO109" s="59">
        <f t="shared" si="90"/>
        <v>308.47736602748159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43.116627486210895</v>
      </c>
      <c r="AV109" s="21">
        <f>EXP(-LN(2)/25)*AV108+(1-EXP(-LN(2)/25))/(LN(2)/25)*Calculateur!AQ109*Calculateur!AS109*VLOOKUP('Données projet'!$B$10,Paramètres!$A$1:$I$89,3,0)*0.475*44/12</f>
        <v>23.80263193364188</v>
      </c>
      <c r="AW109" s="21">
        <f>EXP(-LN(2)/2)*AW108+(1-EXP(-LN(2)/2))/(LN(2)/2)*AQ109*AT109*VLOOKUP('Données projet'!$B$10,Paramètres!$A$1:$I$89,3,0)*0.475*44/12</f>
        <v>1.6392122123393743E-3</v>
      </c>
      <c r="AX109" s="21">
        <f t="shared" si="60"/>
        <v>66.920898632065118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408.246209980743</v>
      </c>
      <c r="BJ109" s="59">
        <f t="shared" si="92"/>
        <v>394.10236303013903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34.10745300041777</v>
      </c>
      <c r="BQ109" s="21">
        <f>EXP(-LN(2)/25)*BQ108+(1-EXP(-LN(2)/25))/(LN(2)/25)*Calculateur!BL109*Calculateur!BN109*VLOOKUP('Données projet'!$B$11,Paramètres!$A$1:$I$89,3,0)*0.475*44/12</f>
        <v>27.407221491108057</v>
      </c>
      <c r="BR109" s="21">
        <f>EXP(-LN(2)/2)*BR108+(1-EXP(-LN(2)/2))/(LN(2)/2)*BL109*BO109*VLOOKUP('Données projet'!$B$11,Paramètres!$A$1:$I$89,3,0)*0.475*44/12</f>
        <v>8.3668284396217797E-3</v>
      </c>
      <c r="BS109" s="22">
        <f t="shared" si="63"/>
        <v>61.523041319965444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1242.5784454078548</v>
      </c>
      <c r="S110" s="59">
        <f ca="1">AVERAGE(OFFSET($R$3,0,0,'Données projet'!$E$9+1,1))-AVERAGE(OFFSET($H$3,0,0,'Données projet'!$E$9+1,1))</f>
        <v>737.40414421611001</v>
      </c>
      <c r="T110" s="59">
        <f t="shared" si="88"/>
        <v>245.32893490531674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8.7540000000000013</v>
      </c>
      <c r="AI110" s="13">
        <f>IF('Données projet'!$A$62&gt;35,AI109+AH110-AQ109,IF(A110&lt;'Données projet'!$A$62,$AF$205^A110,IF(A110='Données projet'!$A$62,'Données projet'!$B$62,AI109+AH110-AQ109)))</f>
        <v>338.65600000000018</v>
      </c>
      <c r="AJ110" s="13">
        <f>AI110*VLOOKUP('Données projet'!$B$10,Paramètres!$A$1:$I$89,3,0)*VLOOKUP('Données projet'!$B$10,Paramètres!$A$1:$I$89,5,0)</f>
        <v>322.26504960000017</v>
      </c>
      <c r="AK110" s="13">
        <f t="shared" si="89"/>
        <v>75.824447642126486</v>
      </c>
      <c r="AL110" s="20">
        <f t="shared" si="58"/>
        <v>693.33920769670385</v>
      </c>
      <c r="AM110" s="59">
        <f t="shared" si="59"/>
        <v>972.5798145895775</v>
      </c>
      <c r="AN110" s="59">
        <f ca="1">AVERAGE(OFFSET($AM$3,0,0,'Données projet'!$E$10+1,1))-AVERAGE(OFFSET($H$3,0,0,'Données projet'!$E$10+1,1))</f>
        <v>486.36097333679697</v>
      </c>
      <c r="AO110" s="59">
        <f t="shared" si="90"/>
        <v>308.47736602748159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42.271136719752299</v>
      </c>
      <c r="AV110" s="21">
        <f>EXP(-LN(2)/25)*AV109+(1-EXP(-LN(2)/25))/(LN(2)/25)*Calculateur!AQ110*Calculateur!AS110*VLOOKUP('Données projet'!$B$10,Paramètres!$A$1:$I$89,3,0)*0.475*44/12</f>
        <v>23.15174771169043</v>
      </c>
      <c r="AW110" s="21">
        <f>EXP(-LN(2)/2)*AW109+(1-EXP(-LN(2)/2))/(LN(2)/2)*AQ110*AT110*VLOOKUP('Données projet'!$B$10,Paramètres!$A$1:$I$89,3,0)*0.475*44/12</f>
        <v>1.1590980711489744E-3</v>
      </c>
      <c r="AX110" s="21">
        <f t="shared" si="60"/>
        <v>65.424043529513881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408.246209980743</v>
      </c>
      <c r="BJ110" s="59">
        <f t="shared" si="92"/>
        <v>394.10236303013903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33.438626650571734</v>
      </c>
      <c r="BQ110" s="21">
        <f>EXP(-LN(2)/25)*BQ109+(1-EXP(-LN(2)/25))/(LN(2)/25)*Calculateur!BL110*Calculateur!BN110*VLOOKUP('Données projet'!$B$11,Paramètres!$A$1:$I$89,3,0)*0.475*44/12</f>
        <v>26.657769578150567</v>
      </c>
      <c r="BR110" s="21">
        <f>EXP(-LN(2)/2)*BR109+(1-EXP(-LN(2)/2))/(LN(2)/2)*BL110*BO110*VLOOKUP('Données projet'!$B$11,Paramètres!$A$1:$I$89,3,0)*0.475*44/12</f>
        <v>5.9162411266810207E-3</v>
      </c>
      <c r="BS110" s="22">
        <f t="shared" si="63"/>
        <v>60.102312469848982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1263.3179368186511</v>
      </c>
      <c r="S111" s="59">
        <f ca="1">AVERAGE(OFFSET($R$3,0,0,'Données projet'!$E$9+1,1))-AVERAGE(OFFSET($H$3,0,0,'Données projet'!$E$9+1,1))</f>
        <v>737.40414421611001</v>
      </c>
      <c r="T111" s="59">
        <f t="shared" si="88"/>
        <v>245.32893490531674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8.7540000000000013</v>
      </c>
      <c r="AI111" s="13">
        <f>IF('Données projet'!$A$62&gt;35,AI110+AH111-AQ110,IF(A111&lt;'Données projet'!$A$62,$AF$205^A111,IF(A111='Données projet'!$A$62,'Données projet'!$B$62,AI110+AH111-AQ110)))</f>
        <v>347.4100000000002</v>
      </c>
      <c r="AJ111" s="13">
        <f>AI111*VLOOKUP('Données projet'!$B$10,Paramètres!$A$1:$I$89,3,0)*VLOOKUP('Données projet'!$B$10,Paramètres!$A$1:$I$89,5,0)</f>
        <v>330.59535600000015</v>
      </c>
      <c r="AK111" s="13">
        <f t="shared" si="89"/>
        <v>77.553726708555331</v>
      </c>
      <c r="AL111" s="20">
        <f t="shared" si="58"/>
        <v>710.85965238406754</v>
      </c>
      <c r="AM111" s="59">
        <f t="shared" si="59"/>
        <v>990.34473657406693</v>
      </c>
      <c r="AN111" s="59">
        <f ca="1">AVERAGE(OFFSET($AM$3,0,0,'Données projet'!$E$10+1,1))-AVERAGE(OFFSET($H$3,0,0,'Données projet'!$E$10+1,1))</f>
        <v>486.36097333679697</v>
      </c>
      <c r="AO111" s="59">
        <f t="shared" si="90"/>
        <v>308.47736602748159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41.442225511525514</v>
      </c>
      <c r="AV111" s="21">
        <f>EXP(-LN(2)/25)*AV110+(1-EXP(-LN(2)/25))/(LN(2)/25)*Calculateur!AQ111*Calculateur!AS111*VLOOKUP('Données projet'!$B$10,Paramètres!$A$1:$I$89,3,0)*0.475*44/12</f>
        <v>22.518661953016757</v>
      </c>
      <c r="AW111" s="21">
        <f>EXP(-LN(2)/2)*AW110+(1-EXP(-LN(2)/2))/(LN(2)/2)*AQ111*AT111*VLOOKUP('Données projet'!$B$10,Paramètres!$A$1:$I$89,3,0)*0.475*44/12</f>
        <v>8.1960610616968715E-4</v>
      </c>
      <c r="AX111" s="21">
        <f t="shared" si="60"/>
        <v>63.961707070648437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408.246209980743</v>
      </c>
      <c r="BJ111" s="59">
        <f t="shared" si="92"/>
        <v>394.10236303013903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32.782915577502386</v>
      </c>
      <c r="BQ111" s="21">
        <f>EXP(-LN(2)/25)*BQ110+(1-EXP(-LN(2)/25))/(LN(2)/25)*Calculateur!BL111*Calculateur!BN111*VLOOKUP('Données projet'!$B$11,Paramètres!$A$1:$I$89,3,0)*0.475*44/12</f>
        <v>25.928811467164866</v>
      </c>
      <c r="BR111" s="21">
        <f>EXP(-LN(2)/2)*BR110+(1-EXP(-LN(2)/2))/(LN(2)/2)*BL111*BO111*VLOOKUP('Données projet'!$B$11,Paramètres!$A$1:$I$89,3,0)*0.475*44/12</f>
        <v>4.1834142198108899E-3</v>
      </c>
      <c r="BS111" s="22">
        <f t="shared" si="63"/>
        <v>58.715910458887066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1284.0447461227295</v>
      </c>
      <c r="S112" s="59">
        <f ca="1">AVERAGE(OFFSET($R$3,0,0,'Données projet'!$E$9+1,1))-AVERAGE(OFFSET($H$3,0,0,'Données projet'!$E$9+1,1))</f>
        <v>737.40414421611001</v>
      </c>
      <c r="T112" s="59">
        <f t="shared" si="88"/>
        <v>245.32893490531674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8.7540000000000013</v>
      </c>
      <c r="AI112" s="13">
        <f>IF('Données projet'!$A$62&gt;35,AI111+AH112-AQ111,IF(A112&lt;'Données projet'!$A$62,$AF$205^A112,IF(A112='Données projet'!$A$62,'Données projet'!$B$62,AI111+AH112-AQ111)))</f>
        <v>356.16400000000021</v>
      </c>
      <c r="AJ112" s="13">
        <f>AI112*VLOOKUP('Données projet'!$B$10,Paramètres!$A$1:$I$89,3,0)*VLOOKUP('Données projet'!$B$10,Paramètres!$A$1:$I$89,5,0)</f>
        <v>338.92566240000019</v>
      </c>
      <c r="AK112" s="13">
        <f t="shared" si="89"/>
        <v>79.27794060390417</v>
      </c>
      <c r="AL112" s="20">
        <f t="shared" si="58"/>
        <v>728.37127523180015</v>
      </c>
      <c r="AM112" s="59">
        <f t="shared" si="59"/>
        <v>1008.0965955843894</v>
      </c>
      <c r="AN112" s="59">
        <f ca="1">AVERAGE(OFFSET($AM$3,0,0,'Données projet'!$E$10+1,1))-AVERAGE(OFFSET($H$3,0,0,'Données projet'!$E$10+1,1))</f>
        <v>486.36097333679697</v>
      </c>
      <c r="AO112" s="59">
        <f t="shared" si="90"/>
        <v>308.47736602748159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40.629568746506138</v>
      </c>
      <c r="AV112" s="21">
        <f>EXP(-LN(2)/25)*AV111+(1-EXP(-LN(2)/25))/(LN(2)/25)*Calculateur!AQ112*Calculateur!AS112*VLOOKUP('Données projet'!$B$10,Paramètres!$A$1:$I$89,3,0)*0.475*44/12</f>
        <v>21.90288795770655</v>
      </c>
      <c r="AW112" s="21">
        <f>EXP(-LN(2)/2)*AW111+(1-EXP(-LN(2)/2))/(LN(2)/2)*AQ112*AT112*VLOOKUP('Données projet'!$B$10,Paramètres!$A$1:$I$89,3,0)*0.475*44/12</f>
        <v>5.7954903557448721E-4</v>
      </c>
      <c r="AX112" s="21">
        <f t="shared" si="60"/>
        <v>62.53303625324827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408.246209980743</v>
      </c>
      <c r="BJ112" s="59">
        <f t="shared" si="92"/>
        <v>394.10236303013903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32.140062598631665</v>
      </c>
      <c r="BQ112" s="21">
        <f>EXP(-LN(2)/25)*BQ111+(1-EXP(-LN(2)/25))/(LN(2)/25)*Calculateur!BL112*Calculateur!BN112*VLOOKUP('Données projet'!$B$11,Paramètres!$A$1:$I$89,3,0)*0.475*44/12</f>
        <v>25.219786754058308</v>
      </c>
      <c r="BR112" s="21">
        <f>EXP(-LN(2)/2)*BR111+(1-EXP(-LN(2)/2))/(LN(2)/2)*BL112*BO112*VLOOKUP('Données projet'!$B$11,Paramètres!$A$1:$I$89,3,0)*0.475*44/12</f>
        <v>2.9581205633405104E-3</v>
      </c>
      <c r="BS112" s="22">
        <f t="shared" si="63"/>
        <v>57.362807473253319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1304.759143071685</v>
      </c>
      <c r="S113" s="59">
        <f ca="1">AVERAGE(OFFSET($R$3,0,0,'Données projet'!$E$9+1,1))-AVERAGE(OFFSET($H$3,0,0,'Données projet'!$E$9+1,1))</f>
        <v>737.40414421611001</v>
      </c>
      <c r="T113" s="59">
        <f t="shared" si="88"/>
        <v>245.32893490531674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8.7540000000000013</v>
      </c>
      <c r="AI113" s="13">
        <f>IF('Données projet'!$A$62&gt;35,AI112+AH113-AQ112,IF(A113&lt;'Données projet'!$A$62,$AF$205^A113,IF(A113='Données projet'!$A$62,'Données projet'!$B$62,AI112+AH113-AQ112)))</f>
        <v>364.91800000000023</v>
      </c>
      <c r="AJ113" s="13">
        <f>AI113*VLOOKUP('Données projet'!$B$10,Paramètres!$A$1:$I$89,3,0)*VLOOKUP('Données projet'!$B$10,Paramètres!$A$1:$I$89,5,0)</f>
        <v>347.25596880000023</v>
      </c>
      <c r="AK113" s="13">
        <f t="shared" si="89"/>
        <v>80.997228143628277</v>
      </c>
      <c r="AL113" s="20">
        <f t="shared" si="58"/>
        <v>745.87431801015293</v>
      </c>
      <c r="AM113" s="59">
        <f t="shared" si="59"/>
        <v>1025.8357069649987</v>
      </c>
      <c r="AN113" s="59">
        <f ca="1">AVERAGE(OFFSET($AM$3,0,0,'Données projet'!$E$10+1,1))-AVERAGE(OFFSET($H$3,0,0,'Données projet'!$E$10+1,1))</f>
        <v>486.36097333679697</v>
      </c>
      <c r="AO113" s="59">
        <f t="shared" si="90"/>
        <v>308.47736602748159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39.832847684977111</v>
      </c>
      <c r="AV113" s="21">
        <f>EXP(-LN(2)/25)*AV112+(1-EXP(-LN(2)/25))/(LN(2)/25)*Calculateur!AQ113*Calculateur!AS113*VLOOKUP('Données projet'!$B$10,Paramètres!$A$1:$I$89,3,0)*0.475*44/12</f>
        <v>21.303952334680247</v>
      </c>
      <c r="AW113" s="21">
        <f>EXP(-LN(2)/2)*AW112+(1-EXP(-LN(2)/2))/(LN(2)/2)*AQ113*AT113*VLOOKUP('Données projet'!$B$10,Paramètres!$A$1:$I$89,3,0)*0.475*44/12</f>
        <v>4.0980305308484357E-4</v>
      </c>
      <c r="AX113" s="21">
        <f t="shared" si="60"/>
        <v>61.137209822710446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408.246209980743</v>
      </c>
      <c r="BJ113" s="59">
        <f t="shared" si="92"/>
        <v>394.10236303013903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31.509815574574997</v>
      </c>
      <c r="BQ113" s="21">
        <f>EXP(-LN(2)/25)*BQ112+(1-EXP(-LN(2)/25))/(LN(2)/25)*Calculateur!BL113*Calculateur!BN113*VLOOKUP('Données projet'!$B$11,Paramètres!$A$1:$I$89,3,0)*0.475*44/12</f>
        <v>24.53015035901764</v>
      </c>
      <c r="BR113" s="21">
        <f>EXP(-LN(2)/2)*BR112+(1-EXP(-LN(2)/2))/(LN(2)/2)*BL113*BO113*VLOOKUP('Données projet'!$B$11,Paramètres!$A$1:$I$89,3,0)*0.475*44/12</f>
        <v>2.0917071099054449E-3</v>
      </c>
      <c r="BS113" s="22">
        <f t="shared" si="63"/>
        <v>56.042057640702545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1186.6736268172033</v>
      </c>
      <c r="S114" s="59">
        <f ca="1">AVERAGE(OFFSET($R$3,0,0,'Données projet'!$E$9+1,1))-AVERAGE(OFFSET($H$3,0,0,'Données projet'!$E$9+1,1))</f>
        <v>737.40414421611001</v>
      </c>
      <c r="T114" s="59">
        <f t="shared" si="88"/>
        <v>245.32893490531674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8.7540000000000013</v>
      </c>
      <c r="AI114" s="13">
        <f>IF('Données projet'!$A$62&gt;35,AI113+AH114-AQ113,IF(A114&lt;'Données projet'!$A$62,$AF$205^A114,IF(A114='Données projet'!$A$62,'Données projet'!$B$62,AI113+AH114-AQ113)))</f>
        <v>373.67200000000025</v>
      </c>
      <c r="AJ114" s="13">
        <f>AI114*VLOOKUP('Données projet'!$B$10,Paramètres!$A$1:$I$89,3,0)*VLOOKUP('Données projet'!$B$10,Paramètres!$A$1:$I$89,5,0)</f>
        <v>355.58627520000022</v>
      </c>
      <c r="AK114" s="13">
        <f t="shared" si="89"/>
        <v>82.711721103289179</v>
      </c>
      <c r="AL114" s="20">
        <f t="shared" si="58"/>
        <v>763.36901022822894</v>
      </c>
      <c r="AM114" s="59">
        <f t="shared" si="59"/>
        <v>1043.5623725228525</v>
      </c>
      <c r="AN114" s="59">
        <f ca="1">AVERAGE(OFFSET($AM$3,0,0,'Données projet'!$E$10+1,1))-AVERAGE(OFFSET($H$3,0,0,'Données projet'!$E$10+1,1))</f>
        <v>486.36097333679697</v>
      </c>
      <c r="AO114" s="59">
        <f t="shared" si="90"/>
        <v>308.47736602748159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39.051749837512801</v>
      </c>
      <c r="AV114" s="21">
        <f>EXP(-LN(2)/25)*AV113+(1-EXP(-LN(2)/25))/(LN(2)/25)*Calculateur!AQ114*Calculateur!AS114*VLOOKUP('Données projet'!$B$10,Paramètres!$A$1:$I$89,3,0)*0.475*44/12</f>
        <v>20.721394637762252</v>
      </c>
      <c r="AW114" s="21">
        <f>EXP(-LN(2)/2)*AW113+(1-EXP(-LN(2)/2))/(LN(2)/2)*AQ114*AT114*VLOOKUP('Données projet'!$B$10,Paramètres!$A$1:$I$89,3,0)*0.475*44/12</f>
        <v>2.897745177872436E-4</v>
      </c>
      <c r="AX114" s="21">
        <f t="shared" si="60"/>
        <v>59.773434249792842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408.246209980743</v>
      </c>
      <c r="BJ114" s="59">
        <f t="shared" si="92"/>
        <v>394.10236303013903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30.891927310247354</v>
      </c>
      <c r="BQ114" s="21">
        <f>EXP(-LN(2)/25)*BQ113+(1-EXP(-LN(2)/25))/(LN(2)/25)*Calculateur!BL114*Calculateur!BN114*VLOOKUP('Données projet'!$B$11,Paramètres!$A$1:$I$89,3,0)*0.475*44/12</f>
        <v>23.859372107465759</v>
      </c>
      <c r="BR114" s="21">
        <f>EXP(-LN(2)/2)*BR113+(1-EXP(-LN(2)/2))/(LN(2)/2)*BL114*BO114*VLOOKUP('Données projet'!$B$11,Paramètres!$A$1:$I$89,3,0)*0.475*44/12</f>
        <v>1.4790602816702552E-3</v>
      </c>
      <c r="BS114" s="22">
        <f t="shared" si="63"/>
        <v>54.752778477994781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1207.2034706741829</v>
      </c>
      <c r="S115" s="59">
        <f ca="1">AVERAGE(OFFSET($R$3,0,0,'Données projet'!$E$9+1,1))-AVERAGE(OFFSET($H$3,0,0,'Données projet'!$E$9+1,1))</f>
        <v>737.40414421611001</v>
      </c>
      <c r="T115" s="59">
        <f t="shared" si="88"/>
        <v>245.32893490531674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8.7540000000000013</v>
      </c>
      <c r="AI115" s="13">
        <f>IF('Données projet'!$A$62&gt;35,AI114+AH115-AQ114,IF(A115&lt;'Données projet'!$A$62,$AF$205^A115,IF(A115='Données projet'!$A$62,'Données projet'!$B$62,AI114+AH115-AQ114)))</f>
        <v>382.42600000000027</v>
      </c>
      <c r="AJ115" s="13">
        <f>AI115*VLOOKUP('Données projet'!$B$10,Paramètres!$A$1:$I$89,3,0)*VLOOKUP('Données projet'!$B$10,Paramètres!$A$1:$I$89,5,0)</f>
        <v>363.91658160000026</v>
      </c>
      <c r="AK115" s="13">
        <f t="shared" si="89"/>
        <v>84.421544732010858</v>
      </c>
      <c r="AL115" s="20">
        <f t="shared" si="58"/>
        <v>780.85557002825271</v>
      </c>
      <c r="AM115" s="59">
        <f t="shared" si="59"/>
        <v>1061.2768814438236</v>
      </c>
      <c r="AN115" s="59">
        <f ca="1">AVERAGE(OFFSET($AM$3,0,0,'Données projet'!$E$10+1,1))-AVERAGE(OFFSET($H$3,0,0,'Données projet'!$E$10+1,1))</f>
        <v>486.36097333679697</v>
      </c>
      <c r="AO115" s="59">
        <f t="shared" si="90"/>
        <v>308.47736602748159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38.285968842414626</v>
      </c>
      <c r="AV115" s="21">
        <f>EXP(-LN(2)/25)*AV114+(1-EXP(-LN(2)/25))/(LN(2)/25)*Calculateur!AQ115*Calculateur!AS115*VLOOKUP('Données projet'!$B$10,Paramètres!$A$1:$I$89,3,0)*0.475*44/12</f>
        <v>20.154767011701857</v>
      </c>
      <c r="AW115" s="21">
        <f>EXP(-LN(2)/2)*AW114+(1-EXP(-LN(2)/2))/(LN(2)/2)*AQ115*AT115*VLOOKUP('Données projet'!$B$10,Paramètres!$A$1:$I$89,3,0)*0.475*44/12</f>
        <v>2.0490152654242179E-4</v>
      </c>
      <c r="AX115" s="21">
        <f t="shared" si="60"/>
        <v>58.440940755643027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408.246209980743</v>
      </c>
      <c r="BJ115" s="59">
        <f t="shared" si="92"/>
        <v>394.10236303013903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30.286155457908549</v>
      </c>
      <c r="BQ115" s="21">
        <f>EXP(-LN(2)/25)*BQ114+(1-EXP(-LN(2)/25))/(LN(2)/25)*Calculateur!BL115*Calculateur!BN115*VLOOKUP('Données projet'!$B$11,Paramètres!$A$1:$I$89,3,0)*0.475*44/12</f>
        <v>23.206936322477262</v>
      </c>
      <c r="BR115" s="21">
        <f>EXP(-LN(2)/2)*BR114+(1-EXP(-LN(2)/2))/(LN(2)/2)*BL115*BO115*VLOOKUP('Données projet'!$B$11,Paramètres!$A$1:$I$89,3,0)*0.475*44/12</f>
        <v>1.0458535549527225E-3</v>
      </c>
      <c r="BS115" s="22">
        <f t="shared" si="63"/>
        <v>53.494137633940767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1227.7205144027616</v>
      </c>
      <c r="S116" s="59">
        <f ca="1">AVERAGE(OFFSET($R$3,0,0,'Données projet'!$E$9+1,1))-AVERAGE(OFFSET($H$3,0,0,'Données projet'!$E$9+1,1))</f>
        <v>737.40414421611001</v>
      </c>
      <c r="T116" s="59">
        <f t="shared" si="88"/>
        <v>245.32893490531674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391.18</v>
      </c>
      <c r="AG116" s="12">
        <f>VLOOKUP(A116,'Données projet'!$A$61:$I$81,9,0)</f>
        <v>8.7540000000000013</v>
      </c>
      <c r="AH116" s="12">
        <f t="array" ref="AH116">INDEX(AG:AG,MIN(IF(ISNUMBER(AG116:AG312),ROW(AG116:AG312),"")))</f>
        <v>8.7540000000000013</v>
      </c>
      <c r="AI116" s="13">
        <f>IF('Données projet'!$A$62&gt;35,AI115+AH116-AQ115,IF(A116&lt;'Données projet'!$A$62,$AF$205^A116,IF(A116='Données projet'!$A$62,'Données projet'!$B$62,AI115+AH116-AQ115)))</f>
        <v>391.18000000000029</v>
      </c>
      <c r="AJ116" s="13">
        <f>AI116*VLOOKUP('Données projet'!$B$10,Paramètres!$A$1:$I$89,3,0)*VLOOKUP('Données projet'!$B$10,Paramètres!$A$1:$I$89,5,0)</f>
        <v>372.2468880000003</v>
      </c>
      <c r="AK116" s="13">
        <f t="shared" si="89"/>
        <v>86.126818217596863</v>
      </c>
      <c r="AL116" s="20">
        <f t="shared" si="58"/>
        <v>798.33420499564829</v>
      </c>
      <c r="AM116" s="59">
        <f t="shared" si="59"/>
        <v>1078.979511124536</v>
      </c>
      <c r="AN116" s="59">
        <f ca="1">AVERAGE(OFFSET($AM$3,0,0,'Données projet'!$E$10+1,1))-AVERAGE(OFFSET($H$3,0,0,'Données projet'!$E$10+1,1))</f>
        <v>486.36097333679697</v>
      </c>
      <c r="AO116" s="59">
        <f t="shared" si="90"/>
        <v>308.47736602748159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68.670000000000016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53.066477256577429</v>
      </c>
      <c r="AV116" s="21">
        <f>EXP(-LN(2)/25)*AV115+(1-EXP(-LN(2)/25))/(LN(2)/25)*Calculateur!AQ116*Calculateur!AS116*VLOOKUP('Données projet'!$B$10,Paramètres!$A$1:$I$89,3,0)*0.475*44/12</f>
        <v>25.791681996552835</v>
      </c>
      <c r="AW116" s="21">
        <f>EXP(-LN(2)/2)*AW115+(1-EXP(-LN(2)/2))/(LN(2)/2)*AQ116*AT116*VLOOKUP('Données projet'!$B$10,Paramètres!$A$1:$I$89,3,0)*0.475*44/12</f>
        <v>1.448872588936218E-4</v>
      </c>
      <c r="AX116" s="21">
        <f t="shared" si="60"/>
        <v>78.858304140389166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408.246209980743</v>
      </c>
      <c r="BJ116" s="59">
        <f t="shared" si="92"/>
        <v>394.10236303013903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29.69226242210976</v>
      </c>
      <c r="BQ116" s="21">
        <f>EXP(-LN(2)/25)*BQ115+(1-EXP(-LN(2)/25))/(LN(2)/25)*Calculateur!BL116*Calculateur!BN116*VLOOKUP('Données projet'!$B$11,Paramètres!$A$1:$I$89,3,0)*0.475*44/12</f>
        <v>22.572341428339382</v>
      </c>
      <c r="BR116" s="21">
        <f>EXP(-LN(2)/2)*BR115+(1-EXP(-LN(2)/2))/(LN(2)/2)*BL116*BO116*VLOOKUP('Données projet'!$B$11,Paramètres!$A$1:$I$89,3,0)*0.475*44/12</f>
        <v>7.3953014083512759E-4</v>
      </c>
      <c r="BS116" s="22">
        <f t="shared" si="63"/>
        <v>52.265343380589975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1248.2250425685213</v>
      </c>
      <c r="S117" s="59">
        <f ca="1">AVERAGE(OFFSET($R$3,0,0,'Données projet'!$E$9+1,1))-AVERAGE(OFFSET($H$3,0,0,'Données projet'!$E$9+1,1))</f>
        <v>737.40414421611001</v>
      </c>
      <c r="T117" s="59">
        <f t="shared" si="88"/>
        <v>245.32893490531674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8.7019999999999982</v>
      </c>
      <c r="AI117" s="13">
        <f>IF('Données projet'!$A$62&gt;35,AI116+AH117-AQ116,IF(A117&lt;'Données projet'!$A$62,$AF$205^A117,IF(A117='Données projet'!$A$62,'Données projet'!$B$62,AI116+AH117-AQ116)))</f>
        <v>331.21200000000027</v>
      </c>
      <c r="AJ117" s="13">
        <f>AI117*VLOOKUP('Données projet'!$B$10,Paramètres!$A$1:$I$89,3,0)*VLOOKUP('Données projet'!$B$10,Paramètres!$A$1:$I$89,5,0)</f>
        <v>315.18133920000031</v>
      </c>
      <c r="AK117" s="13">
        <f t="shared" si="89"/>
        <v>74.349853920870757</v>
      </c>
      <c r="AL117" s="20">
        <f t="shared" si="58"/>
        <v>678.43349468551708</v>
      </c>
      <c r="AM117" s="59">
        <f t="shared" si="59"/>
        <v>959.29890972022258</v>
      </c>
      <c r="AN117" s="59">
        <f ca="1">AVERAGE(OFFSET($AM$3,0,0,'Données projet'!$E$10+1,1))-AVERAGE(OFFSET($H$3,0,0,'Données projet'!$E$10+1,1))</f>
        <v>486.36097333679697</v>
      </c>
      <c r="AO117" s="59">
        <f t="shared" si="90"/>
        <v>308.47736602748159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52.025876004931064</v>
      </c>
      <c r="AV117" s="21">
        <f>EXP(-LN(2)/25)*AV116+(1-EXP(-LN(2)/25))/(LN(2)/25)*Calculateur!AQ117*Calculateur!AS117*VLOOKUP('Données projet'!$B$10,Paramètres!$A$1:$I$89,3,0)*0.475*44/12</f>
        <v>25.08640709603149</v>
      </c>
      <c r="AW117" s="21">
        <f>EXP(-LN(2)/2)*AW116+(1-EXP(-LN(2)/2))/(LN(2)/2)*AQ117*AT117*VLOOKUP('Données projet'!$B$10,Paramètres!$A$1:$I$89,3,0)*0.475*44/12</f>
        <v>1.0245076327121089E-4</v>
      </c>
      <c r="AX117" s="21">
        <f t="shared" si="60"/>
        <v>77.112385551725822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408.246209980743</v>
      </c>
      <c r="BJ117" s="59">
        <f t="shared" si="92"/>
        <v>394.10236303013903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29.110015266504004</v>
      </c>
      <c r="BQ117" s="21">
        <f>EXP(-LN(2)/25)*BQ116+(1-EXP(-LN(2)/25))/(LN(2)/25)*Calculateur!BL117*Calculateur!BN117*VLOOKUP('Données projet'!$B$11,Paramètres!$A$1:$I$89,3,0)*0.475*44/12</f>
        <v>21.955099564953596</v>
      </c>
      <c r="BR117" s="21">
        <f>EXP(-LN(2)/2)*BR116+(1-EXP(-LN(2)/2))/(LN(2)/2)*BL117*BO117*VLOOKUP('Données projet'!$B$11,Paramètres!$A$1:$I$89,3,0)*0.475*44/12</f>
        <v>5.2292677747636123E-4</v>
      </c>
      <c r="BS117" s="22">
        <f t="shared" si="63"/>
        <v>51.065637758235077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1268.7173287645007</v>
      </c>
      <c r="S118" s="59">
        <f ca="1">AVERAGE(OFFSET($R$3,0,0,'Données projet'!$E$9+1,1))-AVERAGE(OFFSET($H$3,0,0,'Données projet'!$E$9+1,1))</f>
        <v>737.40414421611001</v>
      </c>
      <c r="T118" s="59">
        <f t="shared" si="88"/>
        <v>245.32893490531674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8.7019999999999982</v>
      </c>
      <c r="AI118" s="13">
        <f>IF('Données projet'!$A$62&gt;35,AI117+AH118-AQ117,IF(A118&lt;'Données projet'!$A$62,$AF$205^A118,IF(A118='Données projet'!$A$62,'Données projet'!$B$62,AI117+AH118-AQ117)))</f>
        <v>339.91400000000027</v>
      </c>
      <c r="AJ118" s="13">
        <f>AI118*VLOOKUP('Données projet'!$B$10,Paramètres!$A$1:$I$89,3,0)*VLOOKUP('Données projet'!$B$10,Paramètres!$A$1:$I$89,5,0)</f>
        <v>323.46216240000024</v>
      </c>
      <c r="AK118" s="13">
        <f t="shared" si="89"/>
        <v>76.073272094226141</v>
      </c>
      <c r="AL118" s="20">
        <f t="shared" si="58"/>
        <v>695.85754841077744</v>
      </c>
      <c r="AM118" s="59">
        <f t="shared" si="59"/>
        <v>976.93925395387464</v>
      </c>
      <c r="AN118" s="59">
        <f ca="1">AVERAGE(OFFSET($AM$3,0,0,'Données projet'!$E$10+1,1))-AVERAGE(OFFSET($H$3,0,0,'Données projet'!$E$10+1,1))</f>
        <v>486.36097333679697</v>
      </c>
      <c r="AO118" s="59">
        <f t="shared" si="90"/>
        <v>308.47736602748159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51.005680309125388</v>
      </c>
      <c r="AV118" s="21">
        <f>EXP(-LN(2)/25)*AV117+(1-EXP(-LN(2)/25))/(LN(2)/25)*Calculateur!AQ118*Calculateur!AS118*VLOOKUP('Données projet'!$B$10,Paramètres!$A$1:$I$89,3,0)*0.475*44/12</f>
        <v>24.400417974753694</v>
      </c>
      <c r="AW118" s="21">
        <f>EXP(-LN(2)/2)*AW117+(1-EXP(-LN(2)/2))/(LN(2)/2)*AQ118*AT118*VLOOKUP('Données projet'!$B$10,Paramètres!$A$1:$I$89,3,0)*0.475*44/12</f>
        <v>7.2443629446810901E-5</v>
      </c>
      <c r="AX118" s="21">
        <f t="shared" si="60"/>
        <v>75.406170727508538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408.246209980743</v>
      </c>
      <c r="BJ118" s="59">
        <f t="shared" si="92"/>
        <v>394.10236303013903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28.539185622483977</v>
      </c>
      <c r="BQ118" s="21">
        <f>EXP(-LN(2)/25)*BQ117+(1-EXP(-LN(2)/25))/(LN(2)/25)*Calculateur!BL118*Calculateur!BN118*VLOOKUP('Données projet'!$B$11,Paramètres!$A$1:$I$89,3,0)*0.475*44/12</f>
        <v>21.354736212781432</v>
      </c>
      <c r="BR118" s="21">
        <f>EXP(-LN(2)/2)*BR117+(1-EXP(-LN(2)/2))/(LN(2)/2)*BL118*BO118*VLOOKUP('Données projet'!$B$11,Paramètres!$A$1:$I$89,3,0)*0.475*44/12</f>
        <v>3.697650704175638E-4</v>
      </c>
      <c r="BS118" s="22">
        <f t="shared" si="63"/>
        <v>49.894291600335826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1289.1976362706939</v>
      </c>
      <c r="S119" s="59">
        <f ca="1">AVERAGE(OFFSET($R$3,0,0,'Données projet'!$E$9+1,1))-AVERAGE(OFFSET($H$3,0,0,'Données projet'!$E$9+1,1))</f>
        <v>737.40414421611001</v>
      </c>
      <c r="T119" s="59">
        <f t="shared" si="88"/>
        <v>245.32893490531674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8.7019999999999982</v>
      </c>
      <c r="AI119" s="13">
        <f>IF('Données projet'!$A$62&gt;35,AI118+AH119-AQ118,IF(A119&lt;'Données projet'!$A$62,$AF$205^A119,IF(A119='Données projet'!$A$62,'Données projet'!$B$62,AI118+AH119-AQ118)))</f>
        <v>348.61600000000027</v>
      </c>
      <c r="AJ119" s="13">
        <f>AI119*VLOOKUP('Données projet'!$B$10,Paramètres!$A$1:$I$89,3,0)*VLOOKUP('Données projet'!$B$10,Paramètres!$A$1:$I$89,5,0)</f>
        <v>331.74298560000028</v>
      </c>
      <c r="AK119" s="13">
        <f t="shared" si="89"/>
        <v>77.791561690435074</v>
      </c>
      <c r="AL119" s="20">
        <f t="shared" si="58"/>
        <v>713.27266986417487</v>
      </c>
      <c r="AM119" s="59">
        <f t="shared" si="59"/>
        <v>994.56691375889636</v>
      </c>
      <c r="AN119" s="59">
        <f ca="1">AVERAGE(OFFSET($AM$3,0,0,'Données projet'!$E$10+1,1))-AVERAGE(OFFSET($H$3,0,0,'Données projet'!$E$10+1,1))</f>
        <v>486.36097333679697</v>
      </c>
      <c r="AO119" s="59">
        <f t="shared" si="90"/>
        <v>308.47736602748159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50.005490028656531</v>
      </c>
      <c r="AV119" s="21">
        <f>EXP(-LN(2)/25)*AV118+(1-EXP(-LN(2)/25))/(LN(2)/25)*Calculateur!AQ119*Calculateur!AS119*VLOOKUP('Données projet'!$B$10,Paramètres!$A$1:$I$89,3,0)*0.475*44/12</f>
        <v>23.733187262071841</v>
      </c>
      <c r="AW119" s="21">
        <f>EXP(-LN(2)/2)*AW118+(1-EXP(-LN(2)/2))/(LN(2)/2)*AQ119*AT119*VLOOKUP('Données projet'!$B$10,Paramètres!$A$1:$I$89,3,0)*0.475*44/12</f>
        <v>5.1225381635605447E-5</v>
      </c>
      <c r="AX119" s="21">
        <f t="shared" si="60"/>
        <v>73.738728516110015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408.246209980743</v>
      </c>
      <c r="BJ119" s="59">
        <f t="shared" si="92"/>
        <v>394.10236303013903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27.979549599611481</v>
      </c>
      <c r="BQ119" s="21">
        <f>EXP(-LN(2)/25)*BQ118+(1-EXP(-LN(2)/25))/(LN(2)/25)*Calculateur!BL119*Calculateur!BN119*VLOOKUP('Données projet'!$B$11,Paramètres!$A$1:$I$89,3,0)*0.475*44/12</f>
        <v>20.770789828046155</v>
      </c>
      <c r="BR119" s="21">
        <f>EXP(-LN(2)/2)*BR118+(1-EXP(-LN(2)/2))/(LN(2)/2)*BL119*BO119*VLOOKUP('Données projet'!$B$11,Paramètres!$A$1:$I$89,3,0)*0.475*44/12</f>
        <v>2.6146338873818062E-4</v>
      </c>
      <c r="BS119" s="22">
        <f t="shared" si="63"/>
        <v>48.750600891046375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1309.6662186592116</v>
      </c>
      <c r="S120" s="59">
        <f ca="1">AVERAGE(OFFSET($R$3,0,0,'Données projet'!$E$9+1,1))-AVERAGE(OFFSET($H$3,0,0,'Données projet'!$E$9+1,1))</f>
        <v>737.40414421611001</v>
      </c>
      <c r="T120" s="59">
        <f t="shared" si="88"/>
        <v>245.32893490531674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8.7019999999999982</v>
      </c>
      <c r="AI120" s="13">
        <f>IF('Données projet'!$A$62&gt;35,AI119+AH120-AQ119,IF(A120&lt;'Données projet'!$A$62,$AF$205^A120,IF(A120='Données projet'!$A$62,'Données projet'!$B$62,AI119+AH120-AQ119)))</f>
        <v>357.31800000000027</v>
      </c>
      <c r="AJ120" s="13">
        <f>AI120*VLOOKUP('Données projet'!$B$10,Paramètres!$A$1:$I$89,3,0)*VLOOKUP('Données projet'!$B$10,Paramètres!$A$1:$I$89,5,0)</f>
        <v>340.02380880000027</v>
      </c>
      <c r="AK120" s="13">
        <f t="shared" si="89"/>
        <v>79.504865450570179</v>
      </c>
      <c r="AL120" s="20">
        <f t="shared" si="58"/>
        <v>730.67910765307681</v>
      </c>
      <c r="AM120" s="59">
        <f t="shared" si="59"/>
        <v>1012.1822028341865</v>
      </c>
      <c r="AN120" s="59">
        <f ca="1">AVERAGE(OFFSET($AM$3,0,0,'Données projet'!$E$10+1,1))-AVERAGE(OFFSET($H$3,0,0,'Données projet'!$E$10+1,1))</f>
        <v>486.36097333679697</v>
      </c>
      <c r="AO120" s="59">
        <f t="shared" si="90"/>
        <v>308.47736602748159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49.024912869531839</v>
      </c>
      <c r="AV120" s="21">
        <f>EXP(-LN(2)/25)*AV119+(1-EXP(-LN(2)/25))/(LN(2)/25)*Calculateur!AQ120*Calculateur!AS120*VLOOKUP('Données projet'!$B$10,Paramètres!$A$1:$I$89,3,0)*0.475*44/12</f>
        <v>23.08420200831641</v>
      </c>
      <c r="AW120" s="21">
        <f>EXP(-LN(2)/2)*AW119+(1-EXP(-LN(2)/2))/(LN(2)/2)*AQ120*AT120*VLOOKUP('Données projet'!$B$10,Paramètres!$A$1:$I$89,3,0)*0.475*44/12</f>
        <v>3.622181472340545E-5</v>
      </c>
      <c r="AX120" s="21">
        <f t="shared" si="60"/>
        <v>72.109151099662967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408.246209980743</v>
      </c>
      <c r="BJ120" s="59">
        <f t="shared" si="92"/>
        <v>394.10236303013903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27.430887697803243</v>
      </c>
      <c r="BQ120" s="21">
        <f>EXP(-LN(2)/25)*BQ119+(1-EXP(-LN(2)/25))/(LN(2)/25)*Calculateur!BL120*Calculateur!BN120*VLOOKUP('Données projet'!$B$11,Paramètres!$A$1:$I$89,3,0)*0.475*44/12</f>
        <v>20.202811487909869</v>
      </c>
      <c r="BR120" s="21">
        <f>EXP(-LN(2)/2)*BR119+(1-EXP(-LN(2)/2))/(LN(2)/2)*BL120*BO120*VLOOKUP('Données projet'!$B$11,Paramètres!$A$1:$I$89,3,0)*0.475*44/12</f>
        <v>1.848825352087819E-4</v>
      </c>
      <c r="BS120" s="22">
        <f t="shared" si="63"/>
        <v>47.633884068248321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1330.1233203506649</v>
      </c>
      <c r="S121" s="59">
        <f ca="1">AVERAGE(OFFSET($R$3,0,0,'Données projet'!$E$9+1,1))-AVERAGE(OFFSET($H$3,0,0,'Données projet'!$E$9+1,1))</f>
        <v>737.40414421611001</v>
      </c>
      <c r="T121" s="59">
        <f t="shared" si="88"/>
        <v>245.32893490531674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8.7019999999999982</v>
      </c>
      <c r="AI121" s="13">
        <f>IF('Données projet'!$A$62&gt;35,AI120+AH121-AQ120,IF(A121&lt;'Données projet'!$A$62,$AF$205^A121,IF(A121='Données projet'!$A$62,'Données projet'!$B$62,AI120+AH121-AQ120)))</f>
        <v>366.02000000000027</v>
      </c>
      <c r="AJ121" s="13">
        <f>AI121*VLOOKUP('Données projet'!$B$10,Paramètres!$A$1:$I$89,3,0)*VLOOKUP('Données projet'!$B$10,Paramètres!$A$1:$I$89,5,0)</f>
        <v>348.30463200000025</v>
      </c>
      <c r="AK121" s="13">
        <f t="shared" si="89"/>
        <v>81.213318766761901</v>
      </c>
      <c r="AL121" s="20">
        <f t="shared" si="58"/>
        <v>748.07709758544399</v>
      </c>
      <c r="AM121" s="59">
        <f t="shared" si="59"/>
        <v>1029.7854209500445</v>
      </c>
      <c r="AN121" s="59">
        <f ca="1">AVERAGE(OFFSET($AM$3,0,0,'Données projet'!$E$10+1,1))-AVERAGE(OFFSET($H$3,0,0,'Données projet'!$E$10+1,1))</f>
        <v>486.36097333679697</v>
      </c>
      <c r="AO121" s="59">
        <f t="shared" si="90"/>
        <v>308.47736602748159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48.063564230404566</v>
      </c>
      <c r="AV121" s="21">
        <f>EXP(-LN(2)/25)*AV120+(1-EXP(-LN(2)/25))/(LN(2)/25)*Calculateur!AQ121*Calculateur!AS121*VLOOKUP('Données projet'!$B$10,Paramètres!$A$1:$I$89,3,0)*0.475*44/12</f>
        <v>22.452963290453575</v>
      </c>
      <c r="AW121" s="21">
        <f>EXP(-LN(2)/2)*AW120+(1-EXP(-LN(2)/2))/(LN(2)/2)*AQ121*AT121*VLOOKUP('Données projet'!$B$10,Paramètres!$A$1:$I$89,3,0)*0.475*44/12</f>
        <v>2.5612690817802723E-5</v>
      </c>
      <c r="AX121" s="21">
        <f t="shared" si="60"/>
        <v>70.516553133548967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408.246209980743</v>
      </c>
      <c r="BJ121" s="59">
        <f t="shared" si="92"/>
        <v>394.10236303013903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26.892984721238751</v>
      </c>
      <c r="BQ121" s="21">
        <f>EXP(-LN(2)/25)*BQ120+(1-EXP(-LN(2)/25))/(LN(2)/25)*Calculateur!BL121*Calculateur!BN121*VLOOKUP('Données projet'!$B$11,Paramètres!$A$1:$I$89,3,0)*0.475*44/12</f>
        <v>19.650364545353291</v>
      </c>
      <c r="BR121" s="21">
        <f>EXP(-LN(2)/2)*BR120+(1-EXP(-LN(2)/2))/(LN(2)/2)*BL121*BO121*VLOOKUP('Données projet'!$B$11,Paramètres!$A$1:$I$89,3,0)*0.475*44/12</f>
        <v>1.3073169436909031E-4</v>
      </c>
      <c r="BS121" s="22">
        <f t="shared" si="63"/>
        <v>46.543479998286415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1350.5691771266629</v>
      </c>
      <c r="S122" s="59">
        <f ca="1">AVERAGE(OFFSET($R$3,0,0,'Données projet'!$E$9+1,1))-AVERAGE(OFFSET($H$3,0,0,'Données projet'!$E$9+1,1))</f>
        <v>737.40414421611001</v>
      </c>
      <c r="T122" s="59">
        <f t="shared" si="88"/>
        <v>245.32893490531674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8.7019999999999982</v>
      </c>
      <c r="AI122" s="13">
        <f>IF('Données projet'!$A$62&gt;35,AI121+AH122-AQ121,IF(A122&lt;'Données projet'!$A$62,$AF$205^A122,IF(A122='Données projet'!$A$62,'Données projet'!$B$62,AI121+AH122-AQ121)))</f>
        <v>374.72200000000026</v>
      </c>
      <c r="AJ122" s="13">
        <f>AI122*VLOOKUP('Données projet'!$B$10,Paramètres!$A$1:$I$89,3,0)*VLOOKUP('Données projet'!$B$10,Paramètres!$A$1:$I$89,5,0)</f>
        <v>356.58545520000024</v>
      </c>
      <c r="AK122" s="13">
        <f t="shared" si="89"/>
        <v>82.917050226144909</v>
      </c>
      <c r="AL122" s="20">
        <f t="shared" si="58"/>
        <v>765.46686361720276</v>
      </c>
      <c r="AM122" s="59">
        <f t="shared" si="59"/>
        <v>1047.3768549151318</v>
      </c>
      <c r="AN122" s="59">
        <f ca="1">AVERAGE(OFFSET($AM$3,0,0,'Données projet'!$E$10+1,1))-AVERAGE(OFFSET($H$3,0,0,'Données projet'!$E$10+1,1))</f>
        <v>486.36097333679697</v>
      </c>
      <c r="AO122" s="59">
        <f t="shared" si="90"/>
        <v>308.47736602748159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47.121067051725809</v>
      </c>
      <c r="AV122" s="21">
        <f>EXP(-LN(2)/25)*AV121+(1-EXP(-LN(2)/25))/(LN(2)/25)*Calculateur!AQ122*Calculateur!AS122*VLOOKUP('Données projet'!$B$10,Paramètres!$A$1:$I$89,3,0)*0.475*44/12</f>
        <v>21.838985828526098</v>
      </c>
      <c r="AW122" s="21">
        <f>EXP(-LN(2)/2)*AW121+(1-EXP(-LN(2)/2))/(LN(2)/2)*AQ122*AT122*VLOOKUP('Données projet'!$B$10,Paramètres!$A$1:$I$89,3,0)*0.475*44/12</f>
        <v>1.8110907361702725E-5</v>
      </c>
      <c r="AX122" s="21">
        <f t="shared" si="60"/>
        <v>68.96007099115927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408.246209980743</v>
      </c>
      <c r="BJ122" s="59">
        <f t="shared" si="92"/>
        <v>394.10236303013903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26.365629693956269</v>
      </c>
      <c r="BQ122" s="21">
        <f>EXP(-LN(2)/25)*BQ121+(1-EXP(-LN(2)/25))/(LN(2)/25)*Calculateur!BL122*Calculateur!BN122*VLOOKUP('Données projet'!$B$11,Paramètres!$A$1:$I$89,3,0)*0.475*44/12</f>
        <v>19.113024293492845</v>
      </c>
      <c r="BR122" s="21">
        <f>EXP(-LN(2)/2)*BR121+(1-EXP(-LN(2)/2))/(LN(2)/2)*BL122*BO122*VLOOKUP('Données projet'!$B$11,Paramètres!$A$1:$I$89,3,0)*0.475*44/12</f>
        <v>9.2441267604390949E-5</v>
      </c>
      <c r="BS122" s="22">
        <f t="shared" si="63"/>
        <v>45.478746428716718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1371.0040166027391</v>
      </c>
      <c r="S123" s="59">
        <f ca="1">AVERAGE(OFFSET($R$3,0,0,'Données projet'!$E$9+1,1))-AVERAGE(OFFSET($H$3,0,0,'Données projet'!$E$9+1,1))</f>
        <v>737.40414421611001</v>
      </c>
      <c r="T123" s="59">
        <f t="shared" si="88"/>
        <v>245.32893490531674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8.7019999999999982</v>
      </c>
      <c r="AI123" s="13">
        <f>IF('Données projet'!$A$62&gt;35,AI122+AH123-AQ122,IF(A123&lt;'Données projet'!$A$62,$AF$205^A123,IF(A123='Données projet'!$A$62,'Données projet'!$B$62,AI122+AH123-AQ122)))</f>
        <v>383.42400000000026</v>
      </c>
      <c r="AJ123" s="13">
        <f>AI123*VLOOKUP('Données projet'!$B$10,Paramètres!$A$1:$I$89,3,0)*VLOOKUP('Données projet'!$B$10,Paramètres!$A$1:$I$89,5,0)</f>
        <v>364.86627840000023</v>
      </c>
      <c r="AK123" s="13">
        <f t="shared" si="89"/>
        <v>84.61618210285377</v>
      </c>
      <c r="AL123" s="20">
        <f t="shared" si="58"/>
        <v>782.84861870913744</v>
      </c>
      <c r="AM123" s="59">
        <f t="shared" si="59"/>
        <v>1064.956779452614</v>
      </c>
      <c r="AN123" s="59">
        <f ca="1">AVERAGE(OFFSET($AM$3,0,0,'Données projet'!$E$10+1,1))-AVERAGE(OFFSET($H$3,0,0,'Données projet'!$E$10+1,1))</f>
        <v>486.36097333679697</v>
      </c>
      <c r="AO123" s="59">
        <f t="shared" si="90"/>
        <v>308.47736602748159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46.197051667854431</v>
      </c>
      <c r="AV123" s="21">
        <f>EXP(-LN(2)/25)*AV122+(1-EXP(-LN(2)/25))/(LN(2)/25)*Calculateur!AQ123*Calculateur!AS123*VLOOKUP('Données projet'!$B$10,Paramètres!$A$1:$I$89,3,0)*0.475*44/12</f>
        <v>21.241797612582701</v>
      </c>
      <c r="AW123" s="21">
        <f>EXP(-LN(2)/2)*AW122+(1-EXP(-LN(2)/2))/(LN(2)/2)*AQ123*AT123*VLOOKUP('Données projet'!$B$10,Paramètres!$A$1:$I$89,3,0)*0.475*44/12</f>
        <v>1.2806345408901362E-5</v>
      </c>
      <c r="AX123" s="21">
        <f t="shared" si="60"/>
        <v>67.438862086782535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408.246209980743</v>
      </c>
      <c r="BJ123" s="59">
        <f t="shared" si="92"/>
        <v>394.10236303013903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25.848615777103987</v>
      </c>
      <c r="BQ123" s="21">
        <f>EXP(-LN(2)/25)*BQ122+(1-EXP(-LN(2)/25))/(LN(2)/25)*Calculateur!BL123*Calculateur!BN123*VLOOKUP('Données projet'!$B$11,Paramètres!$A$1:$I$89,3,0)*0.475*44/12</f>
        <v>18.590377639077019</v>
      </c>
      <c r="BR123" s="21">
        <f>EXP(-LN(2)/2)*BR122+(1-EXP(-LN(2)/2))/(LN(2)/2)*BL123*BO123*VLOOKUP('Données projet'!$B$11,Paramètres!$A$1:$I$89,3,0)*0.475*44/12</f>
        <v>6.5365847184545154E-5</v>
      </c>
      <c r="BS123" s="22">
        <f t="shared" si="63"/>
        <v>44.439058782028191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1266.7746005217791</v>
      </c>
      <c r="S124" s="59">
        <f ca="1">AVERAGE(OFFSET($R$3,0,0,'Données projet'!$E$9+1,1))-AVERAGE(OFFSET($H$3,0,0,'Données projet'!$E$9+1,1))</f>
        <v>737.40414421611001</v>
      </c>
      <c r="T124" s="59">
        <f t="shared" si="88"/>
        <v>245.32893490531674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8.7019999999999982</v>
      </c>
      <c r="AI124" s="13">
        <f>IF('Données projet'!$A$62&gt;35,AI123+AH124-AQ123,IF(A124&lt;'Données projet'!$A$62,$AF$205^A124,IF(A124='Données projet'!$A$62,'Données projet'!$B$62,AI123+AH124-AQ123)))</f>
        <v>392.12600000000026</v>
      </c>
      <c r="AJ124" s="13">
        <f>AI124*VLOOKUP('Données projet'!$B$10,Paramètres!$A$1:$I$89,3,0)*VLOOKUP('Données projet'!$B$10,Paramètres!$A$1:$I$89,5,0)</f>
        <v>373.14710160000027</v>
      </c>
      <c r="AK124" s="13">
        <f t="shared" si="89"/>
        <v>86.310830804095133</v>
      </c>
      <c r="AL124" s="20">
        <f t="shared" si="58"/>
        <v>800.22256560379947</v>
      </c>
      <c r="AM124" s="59">
        <f t="shared" si="59"/>
        <v>1082.5254579959837</v>
      </c>
      <c r="AN124" s="59">
        <f ca="1">AVERAGE(OFFSET($AM$3,0,0,'Données projet'!$E$10+1,1))-AVERAGE(OFFSET($H$3,0,0,'Données projet'!$E$10+1,1))</f>
        <v>486.36097333679697</v>
      </c>
      <c r="AO124" s="59">
        <f t="shared" si="90"/>
        <v>308.47736602748159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45.291155662067034</v>
      </c>
      <c r="AV124" s="21">
        <f>EXP(-LN(2)/25)*AV123+(1-EXP(-LN(2)/25))/(LN(2)/25)*Calculateur!AQ124*Calculateur!AS124*VLOOKUP('Données projet'!$B$10,Paramètres!$A$1:$I$89,3,0)*0.475*44/12</f>
        <v>20.660939539809039</v>
      </c>
      <c r="AW124" s="21">
        <f>EXP(-LN(2)/2)*AW123+(1-EXP(-LN(2)/2))/(LN(2)/2)*AQ124*AT124*VLOOKUP('Données projet'!$B$10,Paramètres!$A$1:$I$89,3,0)*0.475*44/12</f>
        <v>9.0554536808513626E-6</v>
      </c>
      <c r="AX124" s="21">
        <f t="shared" si="60"/>
        <v>65.952104257329751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408.246209980743</v>
      </c>
      <c r="BJ124" s="59">
        <f t="shared" si="92"/>
        <v>394.10236303013903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25.34174018781383</v>
      </c>
      <c r="BQ124" s="21">
        <f>EXP(-LN(2)/25)*BQ123+(1-EXP(-LN(2)/25))/(LN(2)/25)*Calculateur!BL124*Calculateur!BN124*VLOOKUP('Données projet'!$B$11,Paramètres!$A$1:$I$89,3,0)*0.475*44/12</f>
        <v>18.082022784910986</v>
      </c>
      <c r="BR124" s="21">
        <f>EXP(-LN(2)/2)*BR123+(1-EXP(-LN(2)/2))/(LN(2)/2)*BL124*BO124*VLOOKUP('Données projet'!$B$11,Paramètres!$A$1:$I$89,3,0)*0.475*44/12</f>
        <v>4.6220633802195475E-5</v>
      </c>
      <c r="BS124" s="22">
        <f t="shared" si="63"/>
        <v>43.423809193358622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1287.2727810806939</v>
      </c>
      <c r="S125" s="59">
        <f ca="1">AVERAGE(OFFSET($R$3,0,0,'Données projet'!$E$9+1,1))-AVERAGE(OFFSET($H$3,0,0,'Données projet'!$E$9+1,1))</f>
        <v>737.40414421611001</v>
      </c>
      <c r="T125" s="59">
        <f t="shared" si="88"/>
        <v>245.32893490531674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8.7019999999999982</v>
      </c>
      <c r="AI125" s="13">
        <f>IF('Données projet'!$A$62&gt;35,AI124+AH125-AQ124,IF(A125&lt;'Données projet'!$A$62,$AF$205^A125,IF(A125='Données projet'!$A$62,'Données projet'!$B$62,AI124+AH125-AQ124)))</f>
        <v>400.82800000000026</v>
      </c>
      <c r="AJ125" s="13">
        <f>AI125*VLOOKUP('Données projet'!$B$10,Paramètres!$A$1:$I$89,3,0)*VLOOKUP('Données projet'!$B$10,Paramètres!$A$1:$I$89,5,0)</f>
        <v>381.42792480000026</v>
      </c>
      <c r="AK125" s="13">
        <f t="shared" si="89"/>
        <v>88.001107275506357</v>
      </c>
      <c r="AL125" s="20">
        <f t="shared" si="58"/>
        <v>817.58889753150731</v>
      </c>
      <c r="AM125" s="59">
        <f t="shared" si="59"/>
        <v>1100.0831434136492</v>
      </c>
      <c r="AN125" s="59">
        <f ca="1">AVERAGE(OFFSET($AM$3,0,0,'Données projet'!$E$10+1,1))-AVERAGE(OFFSET($H$3,0,0,'Données projet'!$E$10+1,1))</f>
        <v>486.36097333679697</v>
      </c>
      <c r="AO125" s="59">
        <f t="shared" si="90"/>
        <v>308.47736602748159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44.403023724411121</v>
      </c>
      <c r="AV125" s="21">
        <f>EXP(-LN(2)/25)*AV124+(1-EXP(-LN(2)/25))/(LN(2)/25)*Calculateur!AQ125*Calculateur!AS125*VLOOKUP('Données projet'!$B$10,Paramètres!$A$1:$I$89,3,0)*0.475*44/12</f>
        <v>20.095965061581371</v>
      </c>
      <c r="AW125" s="21">
        <f>EXP(-LN(2)/2)*AW124+(1-EXP(-LN(2)/2))/(LN(2)/2)*AQ125*AT125*VLOOKUP('Données projet'!$B$10,Paramètres!$A$1:$I$89,3,0)*0.475*44/12</f>
        <v>6.4031727044506809E-6</v>
      </c>
      <c r="AX125" s="21">
        <f t="shared" si="60"/>
        <v>64.4989951891652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408.246209980743</v>
      </c>
      <c r="BJ125" s="59">
        <f t="shared" si="92"/>
        <v>394.10236303013903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24.844804119666069</v>
      </c>
      <c r="BQ125" s="21">
        <f>EXP(-LN(2)/25)*BQ124+(1-EXP(-LN(2)/25))/(LN(2)/25)*Calculateur!BL125*Calculateur!BN125*VLOOKUP('Données projet'!$B$11,Paramètres!$A$1:$I$89,3,0)*0.475*44/12</f>
        <v>17.587568920965346</v>
      </c>
      <c r="BR125" s="21">
        <f>EXP(-LN(2)/2)*BR124+(1-EXP(-LN(2)/2))/(LN(2)/2)*BL125*BO125*VLOOKUP('Données projet'!$B$11,Paramètres!$A$1:$I$89,3,0)*0.475*44/12</f>
        <v>3.2682923592272577E-5</v>
      </c>
      <c r="BS125" s="22">
        <f t="shared" si="63"/>
        <v>42.432405723555007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1307.7595453904921</v>
      </c>
      <c r="S126" s="59">
        <f ca="1">AVERAGE(OFFSET($R$3,0,0,'Données projet'!$E$9+1,1))-AVERAGE(OFFSET($H$3,0,0,'Données projet'!$E$9+1,1))</f>
        <v>737.40414421611001</v>
      </c>
      <c r="T126" s="59">
        <f t="shared" si="88"/>
        <v>245.32893490531674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409.53</v>
      </c>
      <c r="AG126" s="12">
        <f>VLOOKUP(A126,'Données projet'!$A$61:$I$81,9,0)</f>
        <v>8.7019999999999982</v>
      </c>
      <c r="AH126" s="12">
        <f t="array" ref="AH126">INDEX(AG:AG,MIN(IF(ISNUMBER(AG126:AG322),ROW(AG126:AG322),"")))</f>
        <v>8.7019999999999982</v>
      </c>
      <c r="AI126" s="13">
        <f>IF('Données projet'!$A$62&gt;35,AI125+AH126-AQ125,IF(A126&lt;'Données projet'!$A$62,$AF$205^A126,IF(A126='Données projet'!$A$62,'Données projet'!$B$62,AI125+AH126-AQ125)))</f>
        <v>409.53000000000026</v>
      </c>
      <c r="AJ126" s="13">
        <f>AI126*VLOOKUP('Données projet'!$B$10,Paramètres!$A$1:$I$89,3,0)*VLOOKUP('Données projet'!$B$10,Paramètres!$A$1:$I$89,5,0)</f>
        <v>389.70874800000024</v>
      </c>
      <c r="AK126" s="13">
        <f t="shared" si="89"/>
        <v>89.687117370320195</v>
      </c>
      <c r="AL126" s="20">
        <f t="shared" si="58"/>
        <v>834.94779885330809</v>
      </c>
      <c r="AM126" s="59">
        <f t="shared" si="59"/>
        <v>1117.6300786701588</v>
      </c>
      <c r="AN126" s="59">
        <f ca="1">AVERAGE(OFFSET($AM$3,0,0,'Données projet'!$E$10+1,1))-AVERAGE(OFFSET($H$3,0,0,'Données projet'!$E$10+1,1))</f>
        <v>486.36097333679697</v>
      </c>
      <c r="AO126" s="59">
        <f t="shared" si="90"/>
        <v>308.47736602748159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203.78999999999996</v>
      </c>
      <c r="AR126" s="16">
        <f>IF(ISNA(VLOOKUP(A126,'Données projet'!$A$61:$I$81,5,0)),0%,VLOOKUP(A126,'Données projet'!$A$61:$I$81,5,0)*VLOOKUP('Données projet'!$B$10,Paramètres!$A$1:$I$89,7,0))</f>
        <v>0.19350000000000001</v>
      </c>
      <c r="AS126" s="16">
        <f>IF(ISNA(VLOOKUP(A126,'Données projet'!$A$61:$I$81,6,0)),0%,VLOOKUP(A126,'Données projet'!$A$61:$I$81,6,0)*VLOOKUP('Données projet'!$B$10,Paramètres!$A$1:$I$89,7,0))</f>
        <v>2.1500000000000002E-2</v>
      </c>
      <c r="AT126" s="16">
        <f>IF(ISNA(VLOOKUP(A126,'Données projet'!$A$61:$I$81,7,0)),0%,VLOOKUP(A126,'Données projet'!$A$61:$I$81,7,0))</f>
        <v>0.05</v>
      </c>
      <c r="AU126" s="21">
        <f>EXP(-LN(2)/35)*AU125+(1-EXP(-LN(2)/35))/(LN(2)/35)*AQ126*AR126*VLOOKUP('Données projet'!$B$10,Paramètres!$A$1:$I$89,3,0)*0.475*44/12</f>
        <v>85.014851503672929</v>
      </c>
      <c r="AV126" s="21">
        <f>EXP(-LN(2)/25)*AV125+(1-EXP(-LN(2)/25))/(LN(2)/25)*Calculateur!AQ126*Calculateur!AS126*VLOOKUP('Données projet'!$B$10,Paramètres!$A$1:$I$89,3,0)*0.475*44/12</f>
        <v>24.137463330120998</v>
      </c>
      <c r="AW126" s="21">
        <f>EXP(-LN(2)/2)*AW125+(1-EXP(-LN(2)/2))/(LN(2)/2)*AQ126*AT126*VLOOKUP('Données projet'!$B$10,Paramètres!$A$1:$I$89,3,0)*0.475*44/12</f>
        <v>9.1487511572740559</v>
      </c>
      <c r="AX126" s="21">
        <f t="shared" si="60"/>
        <v>118.30106599106799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408.246209980743</v>
      </c>
      <c r="BJ126" s="59">
        <f t="shared" si="92"/>
        <v>394.10236303013903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24.357612664713614</v>
      </c>
      <c r="BQ126" s="21">
        <f>EXP(-LN(2)/25)*BQ125+(1-EXP(-LN(2)/25))/(LN(2)/25)*Calculateur!BL126*Calculateur!BN126*VLOOKUP('Données projet'!$B$11,Paramètres!$A$1:$I$89,3,0)*0.475*44/12</f>
        <v>17.106635923931496</v>
      </c>
      <c r="BR126" s="21">
        <f>EXP(-LN(2)/2)*BR125+(1-EXP(-LN(2)/2))/(LN(2)/2)*BL126*BO126*VLOOKUP('Données projet'!$B$11,Paramètres!$A$1:$I$89,3,0)*0.475*44/12</f>
        <v>2.3110316901097737E-5</v>
      </c>
      <c r="BS126" s="22">
        <f t="shared" si="63"/>
        <v>41.464271698962008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1328.2351337111747</v>
      </c>
      <c r="S127" s="59">
        <f ca="1">AVERAGE(OFFSET($R$3,0,0,'Données projet'!$E$9+1,1))-AVERAGE(OFFSET($H$3,0,0,'Données projet'!$E$9+1,1))</f>
        <v>737.40414421611001</v>
      </c>
      <c r="T127" s="59">
        <f t="shared" si="88"/>
        <v>245.32893490531674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4.8499999999999943</v>
      </c>
      <c r="AI127" s="13">
        <f>IF('Données projet'!$A$62&gt;35,AI126+AH127-AQ126,IF(A127&lt;'Données projet'!$A$62,$AF$205^A127,IF(A127='Données projet'!$A$62,'Données projet'!$B$62,AI126+AH127-AQ126)))</f>
        <v>210.59000000000026</v>
      </c>
      <c r="AJ127" s="13">
        <f>AI127*VLOOKUP('Données projet'!$B$10,Paramètres!$A$1:$I$89,3,0)*VLOOKUP('Données projet'!$B$10,Paramètres!$A$1:$I$89,5,0)</f>
        <v>200.39744400000023</v>
      </c>
      <c r="AK127" s="13">
        <f t="shared" si="89"/>
        <v>49.831503792487226</v>
      </c>
      <c r="AL127" s="20">
        <f t="shared" si="58"/>
        <v>435.81541740524904</v>
      </c>
      <c r="AM127" s="59">
        <f t="shared" si="59"/>
        <v>718.68246918842237</v>
      </c>
      <c r="AN127" s="59">
        <f ca="1">AVERAGE(OFFSET($AM$3,0,0,'Données projet'!$E$10+1,1))-AVERAGE(OFFSET($H$3,0,0,'Données projet'!$E$10+1,1))</f>
        <v>486.36097333679697</v>
      </c>
      <c r="AO127" s="59">
        <f t="shared" si="90"/>
        <v>308.47736602748159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83.347762119625173</v>
      </c>
      <c r="AV127" s="21">
        <f>EXP(-LN(2)/25)*AV126+(1-EXP(-LN(2)/25))/(LN(2)/25)*Calculateur!AQ127*Calculateur!AS127*VLOOKUP('Données projet'!$B$10,Paramètres!$A$1:$I$89,3,0)*0.475*44/12</f>
        <v>23.47742312602481</v>
      </c>
      <c r="AW127" s="21">
        <f>EXP(-LN(2)/2)*AW126+(1-EXP(-LN(2)/2))/(LN(2)/2)*AQ127*AT127*VLOOKUP('Données projet'!$B$10,Paramètres!$A$1:$I$89,3,0)*0.475*44/12</f>
        <v>6.4691439826967594</v>
      </c>
      <c r="AX127" s="21">
        <f t="shared" si="60"/>
        <v>113.29432922834674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408.246209980743</v>
      </c>
      <c r="BJ127" s="59">
        <f t="shared" si="92"/>
        <v>394.10236303013903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23.879974737035329</v>
      </c>
      <c r="BQ127" s="21">
        <f>EXP(-LN(2)/25)*BQ126+(1-EXP(-LN(2)/25))/(LN(2)/25)*Calculateur!BL127*Calculateur!BN127*VLOOKUP('Données projet'!$B$11,Paramètres!$A$1:$I$89,3,0)*0.475*44/12</f>
        <v>16.638854064992703</v>
      </c>
      <c r="BR127" s="21">
        <f>EXP(-LN(2)/2)*BR126+(1-EXP(-LN(2)/2))/(LN(2)/2)*BL127*BO127*VLOOKUP('Données projet'!$B$11,Paramètres!$A$1:$I$89,3,0)*0.475*44/12</f>
        <v>1.6341461796136289E-5</v>
      </c>
      <c r="BS127" s="22">
        <f t="shared" si="63"/>
        <v>40.518845143489827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1348.6997776450021</v>
      </c>
      <c r="S128" s="59">
        <f ca="1">AVERAGE(OFFSET($R$3,0,0,'Données projet'!$E$9+1,1))-AVERAGE(OFFSET($H$3,0,0,'Données projet'!$E$9+1,1))</f>
        <v>737.40414421611001</v>
      </c>
      <c r="T128" s="59">
        <f t="shared" si="88"/>
        <v>245.32893490531674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215.44</v>
      </c>
      <c r="AG128" s="12">
        <f>VLOOKUP(A128,'Données projet'!$A$61:$I$81,9,0)</f>
        <v>4.8499999999999943</v>
      </c>
      <c r="AH128" s="12">
        <f t="array" ref="AH128">INDEX(AG:AG,MIN(IF(ISNUMBER(AG128:AG324),ROW(AG128:AG324),"")))</f>
        <v>4.8499999999999943</v>
      </c>
      <c r="AI128" s="13">
        <f>IF('Données projet'!$A$62&gt;35,AI127+AH128-AQ127,IF(A128&lt;'Données projet'!$A$62,$AF$205^A128,IF(A128='Données projet'!$A$62,'Données projet'!$B$62,AI127+AH128-AQ127)))</f>
        <v>215.44000000000025</v>
      </c>
      <c r="AJ128" s="13">
        <f>AI128*VLOOKUP('Données projet'!$B$10,Paramètres!$A$1:$I$89,3,0)*VLOOKUP('Données projet'!$B$10,Paramètres!$A$1:$I$89,5,0)</f>
        <v>205.01270400000027</v>
      </c>
      <c r="AK128" s="13">
        <f t="shared" si="89"/>
        <v>50.844216177769056</v>
      </c>
      <c r="AL128" s="20">
        <f t="shared" si="58"/>
        <v>445.61746930961482</v>
      </c>
      <c r="AM128" s="59">
        <f t="shared" si="59"/>
        <v>728.66608767858338</v>
      </c>
      <c r="AN128" s="59">
        <f ca="1">AVERAGE(OFFSET($AM$3,0,0,'Données projet'!$E$10+1,1))-AVERAGE(OFFSET($H$3,0,0,'Données projet'!$E$10+1,1))</f>
        <v>486.36097333679697</v>
      </c>
      <c r="AO128" s="59">
        <f t="shared" si="90"/>
        <v>308.47736602748159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70.609999999999985</v>
      </c>
      <c r="AR128" s="16">
        <f>IF(ISNA(VLOOKUP(A128,'Données projet'!$A$61:$I$81,5,0)),0%,VLOOKUP(A128,'Données projet'!$A$61:$I$81,5,0)*VLOOKUP('Données projet'!$B$10,Paramètres!$A$1:$I$89,7,0))</f>
        <v>0.19350000000000001</v>
      </c>
      <c r="AS128" s="16">
        <f>IF(ISNA(VLOOKUP(A128,'Données projet'!$A$61:$I$81,6,0)),0%,VLOOKUP(A128,'Données projet'!$A$61:$I$81,6,0)*VLOOKUP('Données projet'!$B$10,Paramètres!$A$1:$I$89,7,0))</f>
        <v>2.1500000000000002E-2</v>
      </c>
      <c r="AT128" s="16">
        <f>IF(ISNA(VLOOKUP(A128,'Données projet'!$A$61:$I$81,7,0)),0%,VLOOKUP(A128,'Données projet'!$A$61:$I$81,7,0))</f>
        <v>0.05</v>
      </c>
      <c r="AU128" s="21">
        <f>EXP(-LN(2)/35)*AU127+(1-EXP(-LN(2)/35))/(LN(2)/35)*AQ128*AR128*VLOOKUP('Données projet'!$B$10,Paramètres!$A$1:$I$89,3,0)*0.475*44/12</f>
        <v>96.08640633302457</v>
      </c>
      <c r="AV128" s="21">
        <f>EXP(-LN(2)/25)*AV127+(1-EXP(-LN(2)/25))/(LN(2)/25)*Calculateur!AQ128*Calculateur!AS128*VLOOKUP('Données projet'!$B$10,Paramètres!$A$1:$I$89,3,0)*0.475*44/12</f>
        <v>24.426148516534532</v>
      </c>
      <c r="AW128" s="21">
        <f>EXP(-LN(2)/2)*AW127+(1-EXP(-LN(2)/2))/(LN(2)/2)*AQ128*AT128*VLOOKUP('Données projet'!$B$10,Paramètres!$A$1:$I$89,3,0)*0.475*44/12</f>
        <v>7.7442710568858573</v>
      </c>
      <c r="AX128" s="21">
        <f t="shared" si="60"/>
        <v>128.25682590644496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408.246209980743</v>
      </c>
      <c r="BJ128" s="59">
        <f t="shared" si="92"/>
        <v>394.10236303013903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23.411702997788449</v>
      </c>
      <c r="BQ128" s="21">
        <f>EXP(-LN(2)/25)*BQ127+(1-EXP(-LN(2)/25))/(LN(2)/25)*Calculateur!BL128*Calculateur!BN128*VLOOKUP('Données projet'!$B$11,Paramètres!$A$1:$I$89,3,0)*0.475*44/12</f>
        <v>16.183863725586171</v>
      </c>
      <c r="BR128" s="21">
        <f>EXP(-LN(2)/2)*BR127+(1-EXP(-LN(2)/2))/(LN(2)/2)*BL128*BO128*VLOOKUP('Données projet'!$B$11,Paramètres!$A$1:$I$89,3,0)*0.475*44/12</f>
        <v>1.1555158450548869E-5</v>
      </c>
      <c r="BS128" s="22">
        <f t="shared" si="63"/>
        <v>39.595578278533068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1369.1537006174876</v>
      </c>
      <c r="S129" s="59">
        <f ca="1">AVERAGE(OFFSET($R$3,0,0,'Données projet'!$E$9+1,1))-AVERAGE(OFFSET($H$3,0,0,'Données projet'!$E$9+1,1))</f>
        <v>737.40414421611001</v>
      </c>
      <c r="T129" s="59">
        <f t="shared" si="88"/>
        <v>245.32893490531674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3.3249999999999886</v>
      </c>
      <c r="AI129" s="13">
        <f>IF('Données projet'!$A$62&gt;35,AI128+AH129-AQ128,IF(A129&lt;'Données projet'!$A$62,$AF$205^A129,IF(A129='Données projet'!$A$62,'Données projet'!$B$62,AI128+AH129-AQ128)))</f>
        <v>148.15500000000026</v>
      </c>
      <c r="AJ129" s="13">
        <f>AI129*VLOOKUP('Données projet'!$B$10,Paramètres!$A$1:$I$89,3,0)*VLOOKUP('Données projet'!$B$10,Paramètres!$A$1:$I$89,5,0)</f>
        <v>140.98429800000025</v>
      </c>
      <c r="AK129" s="13">
        <f t="shared" si="89"/>
        <v>36.522402318303413</v>
      </c>
      <c r="AL129" s="20">
        <f t="shared" si="58"/>
        <v>309.15750305437888</v>
      </c>
      <c r="AM129" s="59">
        <f t="shared" si="59"/>
        <v>592.38453823480108</v>
      </c>
      <c r="AN129" s="59">
        <f ca="1">AVERAGE(OFFSET($AM$3,0,0,'Données projet'!$E$10+1,1))-AVERAGE(OFFSET($H$3,0,0,'Données projet'!$E$10+1,1))</f>
        <v>486.36097333679697</v>
      </c>
      <c r="AO129" s="59">
        <f t="shared" si="90"/>
        <v>308.47736602748159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94.20221051175487</v>
      </c>
      <c r="AV129" s="21">
        <f>EXP(-LN(2)/25)*AV128+(1-EXP(-LN(2)/25))/(LN(2)/25)*Calculateur!AQ129*Calculateur!AS129*VLOOKUP('Données projet'!$B$10,Paramètres!$A$1:$I$89,3,0)*0.475*44/12</f>
        <v>23.758214200834573</v>
      </c>
      <c r="AW129" s="21">
        <f>EXP(-LN(2)/2)*AW128+(1-EXP(-LN(2)/2))/(LN(2)/2)*AQ129*AT129*VLOOKUP('Données projet'!$B$10,Paramètres!$A$1:$I$89,3,0)*0.475*44/12</f>
        <v>5.4760265796707017</v>
      </c>
      <c r="AX129" s="21">
        <f t="shared" si="60"/>
        <v>123.43645129226014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408.246209980743</v>
      </c>
      <c r="BJ129" s="59">
        <f t="shared" si="92"/>
        <v>394.10236303013903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22.952613781730641</v>
      </c>
      <c r="BQ129" s="21">
        <f>EXP(-LN(2)/25)*BQ128+(1-EXP(-LN(2)/25))/(LN(2)/25)*Calculateur!BL129*Calculateur!BN129*VLOOKUP('Données projet'!$B$11,Paramètres!$A$1:$I$89,3,0)*0.475*44/12</f>
        <v>15.741315120937612</v>
      </c>
      <c r="BR129" s="21">
        <f>EXP(-LN(2)/2)*BR128+(1-EXP(-LN(2)/2))/(LN(2)/2)*BL129*BO129*VLOOKUP('Données projet'!$B$11,Paramètres!$A$1:$I$89,3,0)*0.475*44/12</f>
        <v>8.1707308980681443E-6</v>
      </c>
      <c r="BS129" s="22">
        <f t="shared" si="63"/>
        <v>38.693937073399155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1389.5971183217146</v>
      </c>
      <c r="S130" s="59">
        <f ca="1">AVERAGE(OFFSET($R$3,0,0,'Données projet'!$E$9+1,1))-AVERAGE(OFFSET($H$3,0,0,'Données projet'!$E$9+1,1))</f>
        <v>737.40414421611001</v>
      </c>
      <c r="T130" s="59">
        <f t="shared" si="88"/>
        <v>245.32893490531674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151.47999999999999</v>
      </c>
      <c r="AG130" s="12">
        <f>VLOOKUP(A130,'Données projet'!$A$61:$I$81,9,0)</f>
        <v>3.3249999999999886</v>
      </c>
      <c r="AH130" s="12">
        <f t="array" ref="AH130">INDEX(AG:AG,MIN(IF(ISNUMBER(AG130:AG326),ROW(AG130:AG326),"")))</f>
        <v>3.3249999999999886</v>
      </c>
      <c r="AI130" s="13">
        <f>IF('Données projet'!$A$62&gt;35,AI129+AH130-AQ129,IF(A130&lt;'Données projet'!$A$62,$AF$205^A130,IF(A130='Données projet'!$A$62,'Données projet'!$B$62,AI129+AH130-AQ129)))</f>
        <v>151.48000000000025</v>
      </c>
      <c r="AJ130" s="13">
        <f>AI130*VLOOKUP('Données projet'!$B$10,Paramètres!$A$1:$I$89,3,0)*VLOOKUP('Données projet'!$B$10,Paramètres!$A$1:$I$89,5,0)</f>
        <v>144.14836800000023</v>
      </c>
      <c r="AK130" s="13">
        <f t="shared" si="89"/>
        <v>37.245717260811411</v>
      </c>
      <c r="AL130" s="20">
        <f t="shared" si="58"/>
        <v>315.92803182924689</v>
      </c>
      <c r="AM130" s="59">
        <f t="shared" si="59"/>
        <v>599.33038868832432</v>
      </c>
      <c r="AN130" s="59">
        <f ca="1">AVERAGE(OFFSET($AM$3,0,0,'Données projet'!$E$10+1,1))-AVERAGE(OFFSET($H$3,0,0,'Données projet'!$E$10+1,1))</f>
        <v>486.36097333679697</v>
      </c>
      <c r="AO130" s="59">
        <f t="shared" si="90"/>
        <v>308.47736602748159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46.039999999999992</v>
      </c>
      <c r="AR130" s="16">
        <f>IF(ISNA(VLOOKUP(A130,'Données projet'!$A$61:$I$81,5,0)),0%,VLOOKUP(A130,'Données projet'!$A$61:$I$81,5,0)*VLOOKUP('Données projet'!$B$10,Paramètres!$A$1:$I$89,7,0))</f>
        <v>0.19350000000000001</v>
      </c>
      <c r="AS130" s="16">
        <f>IF(ISNA(VLOOKUP(A130,'Données projet'!$A$61:$I$81,6,0)),0%,VLOOKUP(A130,'Données projet'!$A$61:$I$81,6,0)*VLOOKUP('Données projet'!$B$10,Paramètres!$A$1:$I$89,7,0))</f>
        <v>2.1500000000000002E-2</v>
      </c>
      <c r="AT130" s="16">
        <f>IF(ISNA(VLOOKUP(A130,'Données projet'!$A$61:$I$81,7,0)),0%,VLOOKUP(A130,'Données projet'!$A$61:$I$81,7,0))</f>
        <v>0.05</v>
      </c>
      <c r="AU130" s="21">
        <f>EXP(-LN(2)/35)*AU129+(1-EXP(-LN(2)/35))/(LN(2)/35)*AQ130*AR130*VLOOKUP('Données projet'!$B$10,Paramètres!$A$1:$I$89,3,0)*0.475*44/12</f>
        <v>101.72665075790898</v>
      </c>
      <c r="AV130" s="21">
        <f>EXP(-LN(2)/25)*AV129+(1-EXP(-LN(2)/25))/(LN(2)/25)*Calculateur!AQ130*Calculateur!AS130*VLOOKUP('Données projet'!$B$10,Paramètres!$A$1:$I$89,3,0)*0.475*44/12</f>
        <v>24.145743276292311</v>
      </c>
      <c r="AW130" s="21">
        <f>EXP(-LN(2)/2)*AW129+(1-EXP(-LN(2)/2))/(LN(2)/2)*AQ130*AT130*VLOOKUP('Données projet'!$B$10,Paramètres!$A$1:$I$89,3,0)*0.475*44/12</f>
        <v>5.9390097363253265</v>
      </c>
      <c r="AX130" s="21">
        <f t="shared" si="60"/>
        <v>131.81140377052662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408.246209980743</v>
      </c>
      <c r="BJ130" s="59">
        <f t="shared" si="92"/>
        <v>394.10236303013903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22.502527025182953</v>
      </c>
      <c r="BQ130" s="21">
        <f>EXP(-LN(2)/25)*BQ129+(1-EXP(-LN(2)/25))/(LN(2)/25)*Calculateur!BL130*Calculateur!BN130*VLOOKUP('Données projet'!$B$11,Paramètres!$A$1:$I$89,3,0)*0.475*44/12</f>
        <v>15.310868031155788</v>
      </c>
      <c r="BR130" s="21">
        <f>EXP(-LN(2)/2)*BR129+(1-EXP(-LN(2)/2))/(LN(2)/2)*BL130*BO130*VLOOKUP('Données projet'!$B$11,Paramètres!$A$1:$I$89,3,0)*0.475*44/12</f>
        <v>5.7775792252744343E-6</v>
      </c>
      <c r="BS130" s="22">
        <f t="shared" si="63"/>
        <v>37.813400833917967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1410.030239129469</v>
      </c>
      <c r="S131" s="59">
        <f ca="1">AVERAGE(OFFSET($R$3,0,0,'Données projet'!$E$9+1,1))-AVERAGE(OFFSET($H$3,0,0,'Données projet'!$E$9+1,1))</f>
        <v>737.40414421611001</v>
      </c>
      <c r="T131" s="59">
        <f t="shared" si="88"/>
        <v>245.32893490531674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2.4366666666666674</v>
      </c>
      <c r="AI131" s="13">
        <f>IF('Données projet'!$A$62&gt;35,AI130+AH131-AQ130,IF(A131&lt;'Données projet'!$A$62,$AF$205^A131,IF(A131='Données projet'!$A$62,'Données projet'!$B$62,AI130+AH131-AQ130)))</f>
        <v>107.87666666666692</v>
      </c>
      <c r="AJ131" s="13">
        <f>AI131*VLOOKUP('Données projet'!$B$10,Paramètres!$A$1:$I$89,3,0)*VLOOKUP('Données projet'!$B$10,Paramètres!$A$1:$I$89,5,0)</f>
        <v>102.65543600000025</v>
      </c>
      <c r="AK131" s="13">
        <f t="shared" si="89"/>
        <v>27.593650392739352</v>
      </c>
      <c r="AL131" s="20">
        <f t="shared" si="58"/>
        <v>226.85049213402147</v>
      </c>
      <c r="AM131" s="59">
        <f t="shared" si="59"/>
        <v>510.42512923259</v>
      </c>
      <c r="AN131" s="59">
        <f ca="1">AVERAGE(OFFSET($AM$3,0,0,'Données projet'!$E$10+1,1))-AVERAGE(OFFSET($H$3,0,0,'Données projet'!$E$10+1,1))</f>
        <v>486.36097333679697</v>
      </c>
      <c r="AO131" s="59">
        <f t="shared" si="90"/>
        <v>308.47736602748159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99.731853183676705</v>
      </c>
      <c r="AV131" s="21">
        <f>EXP(-LN(2)/25)*AV130+(1-EXP(-LN(2)/25))/(LN(2)/25)*Calculateur!AQ131*Calculateur!AS131*VLOOKUP('Données projet'!$B$10,Paramètres!$A$1:$I$89,3,0)*0.475*44/12</f>
        <v>23.485476656632645</v>
      </c>
      <c r="AW131" s="21">
        <f>EXP(-LN(2)/2)*AW130+(1-EXP(-LN(2)/2))/(LN(2)/2)*AQ131*AT131*VLOOKUP('Données projet'!$B$10,Paramètres!$A$1:$I$89,3,0)*0.475*44/12</f>
        <v>4.1995140580885684</v>
      </c>
      <c r="AX131" s="21">
        <f t="shared" si="60"/>
        <v>127.41684389839791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408.246209980743</v>
      </c>
      <c r="BJ131" s="59">
        <f t="shared" si="92"/>
        <v>394.10236303013903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22.061266195405352</v>
      </c>
      <c r="BQ131" s="21">
        <f>EXP(-LN(2)/25)*BQ130+(1-EXP(-LN(2)/25))/(LN(2)/25)*Calculateur!BL131*Calculateur!BN131*VLOOKUP('Données projet'!$B$11,Paramètres!$A$1:$I$89,3,0)*0.475*44/12</f>
        <v>14.892191539680278</v>
      </c>
      <c r="BR131" s="21">
        <f>EXP(-LN(2)/2)*BR130+(1-EXP(-LN(2)/2))/(LN(2)/2)*BL131*BO131*VLOOKUP('Données projet'!$B$11,Paramètres!$A$1:$I$89,3,0)*0.475*44/12</f>
        <v>4.0853654490340721E-6</v>
      </c>
      <c r="BS131" s="22">
        <f t="shared" si="63"/>
        <v>36.953461820451075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1430.4532644722774</v>
      </c>
      <c r="S132" s="59">
        <f ca="1">AVERAGE(OFFSET($R$3,0,0,'Données projet'!$E$9+1,1))-AVERAGE(OFFSET($H$3,0,0,'Données projet'!$E$9+1,1))</f>
        <v>737.40414421611001</v>
      </c>
      <c r="T132" s="59">
        <f t="shared" si="88"/>
        <v>245.32893490531674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2.4366666666666674</v>
      </c>
      <c r="AI132" s="13">
        <f>IF('Données projet'!$A$62&gt;35,AI131+AH132-AQ131,IF(A132&lt;'Données projet'!$A$62,$AF$205^A132,IF(A132='Données projet'!$A$62,'Données projet'!$B$62,AI131+AH132-AQ131)))</f>
        <v>110.31333333333359</v>
      </c>
      <c r="AJ132" s="13">
        <f>AI132*VLOOKUP('Données projet'!$B$10,Paramètres!$A$1:$I$89,3,0)*VLOOKUP('Données projet'!$B$10,Paramètres!$A$1:$I$89,5,0)</f>
        <v>104.97416800000025</v>
      </c>
      <c r="AK132" s="13">
        <f t="shared" si="89"/>
        <v>28.143655751142813</v>
      </c>
      <c r="AL132" s="20">
        <f t="shared" ref="AL132:AL153" si="112">(AJ132+AK132)*0.475*44/12</f>
        <v>231.84687636657415</v>
      </c>
      <c r="AM132" s="59">
        <f t="shared" ref="AM132:AM195" si="113">AL132+(AD132+AE132)*44/12</f>
        <v>515.59080502763948</v>
      </c>
      <c r="AN132" s="59">
        <f ca="1">AVERAGE(OFFSET($AM$3,0,0,'Données projet'!$E$10+1,1))-AVERAGE(OFFSET($H$3,0,0,'Données projet'!$E$10+1,1))</f>
        <v>486.36097333679697</v>
      </c>
      <c r="AO132" s="59">
        <f t="shared" si="90"/>
        <v>308.47736602748159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97.776172373168748</v>
      </c>
      <c r="AV132" s="21">
        <f>EXP(-LN(2)/25)*AV131+(1-EXP(-LN(2)/25))/(LN(2)/25)*Calculateur!AQ132*Calculateur!AS132*VLOOKUP('Données projet'!$B$10,Paramètres!$A$1:$I$89,3,0)*0.475*44/12</f>
        <v>22.843265062409486</v>
      </c>
      <c r="AW132" s="21">
        <f>EXP(-LN(2)/2)*AW131+(1-EXP(-LN(2)/2))/(LN(2)/2)*AQ132*AT132*VLOOKUP('Données projet'!$B$10,Paramètres!$A$1:$I$89,3,0)*0.475*44/12</f>
        <v>2.9695048681626637</v>
      </c>
      <c r="AX132" s="21">
        <f t="shared" ref="AX132:AX153" si="114">SUM(AU132:AW132)</f>
        <v>123.58894230374089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408.246209980743</v>
      </c>
      <c r="BJ132" s="59">
        <f t="shared" si="92"/>
        <v>394.10236303013903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21.62865822135716</v>
      </c>
      <c r="BQ132" s="21">
        <f>EXP(-LN(2)/25)*BQ131+(1-EXP(-LN(2)/25))/(LN(2)/25)*Calculateur!BL132*Calculateur!BN132*VLOOKUP('Données projet'!$B$11,Paramètres!$A$1:$I$89,3,0)*0.475*44/12</f>
        <v>14.484963778881404</v>
      </c>
      <c r="BR132" s="21">
        <f>EXP(-LN(2)/2)*BR131+(1-EXP(-LN(2)/2))/(LN(2)/2)*BL132*BO132*VLOOKUP('Données projet'!$B$11,Paramètres!$A$1:$I$89,3,0)*0.475*44/12</f>
        <v>2.8887896126372172E-6</v>
      </c>
      <c r="BS132" s="22">
        <f t="shared" ref="BS132:BS153" si="117">SUM(BP132:BR132)</f>
        <v>36.113624889028173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1450.8663891951021</v>
      </c>
      <c r="S133" s="59">
        <f ca="1">AVERAGE(OFFSET($R$3,0,0,'Données projet'!$E$9+1,1))-AVERAGE(OFFSET($H$3,0,0,'Données projet'!$E$9+1,1))</f>
        <v>737.40414421611001</v>
      </c>
      <c r="T133" s="59">
        <f t="shared" ref="T133:T196" si="142">$T$3</f>
        <v>245.32893490531674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112.75</v>
      </c>
      <c r="AG133" s="12">
        <f>VLOOKUP(A133,'Données projet'!$A$61:$I$81,9,0)</f>
        <v>2.4366666666666674</v>
      </c>
      <c r="AH133" s="12">
        <f t="array" ref="AH133">INDEX(AG:AG,MIN(IF(ISNUMBER(AG133:AG329),ROW(AG133:AG329),"")))</f>
        <v>2.4366666666666674</v>
      </c>
      <c r="AI133" s="13">
        <f>IF('Données projet'!$A$62&gt;35,AI132+AH133-AQ132,IF(A133&lt;'Données projet'!$A$62,$AF$205^A133,IF(A133='Données projet'!$A$62,'Données projet'!$B$62,AI132+AH133-AQ132)))</f>
        <v>112.75000000000026</v>
      </c>
      <c r="AJ133" s="13">
        <f>AI133*VLOOKUP('Données projet'!$B$10,Paramètres!$A$1:$I$89,3,0)*VLOOKUP('Données projet'!$B$10,Paramètres!$A$1:$I$89,5,0)</f>
        <v>107.29290000000026</v>
      </c>
      <c r="AK133" s="13">
        <f t="shared" ref="AK133:AK153" si="143">EXP(-1.0587+0.8836*LN(AJ133)+0.284)</f>
        <v>28.692248678828363</v>
      </c>
      <c r="AL133" s="20">
        <f t="shared" si="112"/>
        <v>236.84080061562653</v>
      </c>
      <c r="AM133" s="59">
        <f t="shared" si="113"/>
        <v>520.75108400905867</v>
      </c>
      <c r="AN133" s="59">
        <f ca="1">AVERAGE(OFFSET($AM$3,0,0,'Données projet'!$E$10+1,1))-AVERAGE(OFFSET($H$3,0,0,'Données projet'!$E$10+1,1))</f>
        <v>486.36097333679697</v>
      </c>
      <c r="AO133" s="59">
        <f t="shared" ref="AO133:AO196" si="144">$AO$3</f>
        <v>308.47736602748159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112.75</v>
      </c>
      <c r="AR133" s="16">
        <f>IF(ISNA(VLOOKUP(A133,'Données projet'!$A$61:$I$81,5,0)),0%,VLOOKUP(A133,'Données projet'!$A$61:$I$81,5,0)*VLOOKUP('Données projet'!$B$10,Paramètres!$A$1:$I$89,7,0))</f>
        <v>0.19350000000000001</v>
      </c>
      <c r="AS133" s="16">
        <f>IF(ISNA(VLOOKUP(A133,'Données projet'!$A$61:$I$81,6,0)),0%,VLOOKUP(A133,'Données projet'!$A$61:$I$81,6,0)*VLOOKUP('Données projet'!$B$10,Paramètres!$A$1:$I$89,7,0))</f>
        <v>2.1500000000000002E-2</v>
      </c>
      <c r="AT133" s="16">
        <f>IF(ISNA(VLOOKUP(A133,'Données projet'!$A$61:$I$81,7,0)),0%,VLOOKUP(A133,'Données projet'!$A$61:$I$81,7,0))</f>
        <v>0.05</v>
      </c>
      <c r="AU133" s="21">
        <f>EXP(-LN(2)/35)*AU132+(1-EXP(-LN(2)/35))/(LN(2)/35)*AQ133*AR133*VLOOKUP('Données projet'!$B$10,Paramètres!$A$1:$I$89,3,0)*0.475*44/12</f>
        <v>118.80970654859827</v>
      </c>
      <c r="AV133" s="21">
        <f>EXP(-LN(2)/25)*AV132+(1-EXP(-LN(2)/25))/(LN(2)/25)*Calculateur!AQ133*Calculateur!AS133*VLOOKUP('Données projet'!$B$10,Paramètres!$A$1:$I$89,3,0)*0.475*44/12</f>
        <v>24.758670219839001</v>
      </c>
      <c r="AW133" s="21">
        <f>EXP(-LN(2)/2)*AW132+(1-EXP(-LN(2)/2))/(LN(2)/2)*AQ133*AT133*VLOOKUP('Données projet'!$B$10,Paramètres!$A$1:$I$89,3,0)*0.475*44/12</f>
        <v>7.1614439738475077</v>
      </c>
      <c r="AX133" s="21">
        <f t="shared" si="114"/>
        <v>150.72982074228477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408.246209980743</v>
      </c>
      <c r="BJ133" s="59">
        <f t="shared" ref="BJ133:BJ196" si="146">$BJ$3</f>
        <v>394.10236303013903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21.204533425815242</v>
      </c>
      <c r="BQ133" s="21">
        <f>EXP(-LN(2)/25)*BQ132+(1-EXP(-LN(2)/25))/(LN(2)/25)*Calculateur!BL133*Calculateur!BN133*VLOOKUP('Données projet'!$B$11,Paramètres!$A$1:$I$89,3,0)*0.475*44/12</f>
        <v>14.088871682616753</v>
      </c>
      <c r="BR133" s="21">
        <f>EXP(-LN(2)/2)*BR132+(1-EXP(-LN(2)/2))/(LN(2)/2)*BL133*BO133*VLOOKUP('Données projet'!$B$11,Paramètres!$A$1:$I$89,3,0)*0.475*44/12</f>
        <v>2.0426827245170361E-6</v>
      </c>
      <c r="BS133" s="22">
        <f t="shared" si="117"/>
        <v>35.293407151114721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1328.5356547771471</v>
      </c>
      <c r="S134" s="59">
        <f ca="1">AVERAGE(OFFSET($R$3,0,0,'Données projet'!$E$9+1,1))-AVERAGE(OFFSET($H$3,0,0,'Données projet'!$E$9+1,1))</f>
        <v>737.40414421611001</v>
      </c>
      <c r="T134" s="59">
        <f t="shared" si="142"/>
        <v>245.32893490531674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2.5579538487363607E-13</v>
      </c>
      <c r="AJ134" s="13">
        <f>AI134*VLOOKUP('Données projet'!$B$10,Paramètres!$A$1:$I$89,3,0)*VLOOKUP('Données projet'!$B$10,Paramètres!$A$1:$I$89,5,0)</f>
        <v>2.4341488824575211E-13</v>
      </c>
      <c r="AK134" s="13">
        <f t="shared" si="143"/>
        <v>3.2970717324875541E-12</v>
      </c>
      <c r="AL134" s="20">
        <f t="shared" si="112"/>
        <v>6.1663475311105072E-12</v>
      </c>
      <c r="AM134" s="59">
        <f t="shared" si="113"/>
        <v>284.07375224311187</v>
      </c>
      <c r="AN134" s="59">
        <f ca="1">AVERAGE(OFFSET($AM$3,0,0,'Données projet'!$E$10+1,1))-AVERAGE(OFFSET($H$3,0,0,'Données projet'!$E$10+1,1))</f>
        <v>486.36097333679697</v>
      </c>
      <c r="AO134" s="59">
        <f t="shared" si="144"/>
        <v>308.47736602748159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116.47992066994576</v>
      </c>
      <c r="AV134" s="21">
        <f>EXP(-LN(2)/25)*AV133+(1-EXP(-LN(2)/25))/(LN(2)/25)*Calculateur!AQ134*Calculateur!AS134*VLOOKUP('Données projet'!$B$10,Paramètres!$A$1:$I$89,3,0)*0.475*44/12</f>
        <v>24.081643080675622</v>
      </c>
      <c r="AW134" s="21">
        <f>EXP(-LN(2)/2)*AW133+(1-EXP(-LN(2)/2))/(LN(2)/2)*AQ134*AT134*VLOOKUP('Données projet'!$B$10,Paramètres!$A$1:$I$89,3,0)*0.475*44/12</f>
        <v>5.0639055969951094</v>
      </c>
      <c r="AX134" s="21">
        <f t="shared" si="114"/>
        <v>145.6254693476165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408.246209980743</v>
      </c>
      <c r="BJ134" s="59">
        <f t="shared" si="146"/>
        <v>394.10236303013903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20.788725458823318</v>
      </c>
      <c r="BQ134" s="21">
        <f>EXP(-LN(2)/25)*BQ133+(1-EXP(-LN(2)/25))/(LN(2)/25)*Calculateur!BL134*Calculateur!BN134*VLOOKUP('Données projet'!$B$11,Paramètres!$A$1:$I$89,3,0)*0.475*44/12</f>
        <v>13.703610745554037</v>
      </c>
      <c r="BR134" s="21">
        <f>EXP(-LN(2)/2)*BR133+(1-EXP(-LN(2)/2))/(LN(2)/2)*BL134*BO134*VLOOKUP('Données projet'!$B$11,Paramètres!$A$1:$I$89,3,0)*0.475*44/12</f>
        <v>1.4443948063186086E-6</v>
      </c>
      <c r="BS134" s="22">
        <f t="shared" si="117"/>
        <v>34.492337648772157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1349.164650226096</v>
      </c>
      <c r="S135" s="59">
        <f ca="1">AVERAGE(OFFSET($R$3,0,0,'Données projet'!$E$9+1,1))-AVERAGE(OFFSET($H$3,0,0,'Données projet'!$E$9+1,1))</f>
        <v>737.40414421611001</v>
      </c>
      <c r="T135" s="59">
        <f t="shared" si="142"/>
        <v>245.32893490531674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2.5579538487363607E-13</v>
      </c>
      <c r="AJ135" s="13">
        <f>AI135*VLOOKUP('Données projet'!$B$10,Paramètres!$A$1:$I$89,3,0)*VLOOKUP('Données projet'!$B$10,Paramètres!$A$1:$I$89,5,0)</f>
        <v>2.4341488824575211E-13</v>
      </c>
      <c r="AK135" s="13">
        <f t="shared" si="143"/>
        <v>3.2970717324875541E-12</v>
      </c>
      <c r="AL135" s="20">
        <f t="shared" si="112"/>
        <v>6.1663475311105072E-12</v>
      </c>
      <c r="AM135" s="59">
        <f t="shared" si="113"/>
        <v>284.2343852737053</v>
      </c>
      <c r="AN135" s="59">
        <f ca="1">AVERAGE(OFFSET($AM$3,0,0,'Données projet'!$E$10+1,1))-AVERAGE(OFFSET($H$3,0,0,'Données projet'!$E$10+1,1))</f>
        <v>486.36097333679697</v>
      </c>
      <c r="AO135" s="59">
        <f t="shared" si="144"/>
        <v>308.47736602748159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114.19582047134455</v>
      </c>
      <c r="AV135" s="21">
        <f>EXP(-LN(2)/25)*AV134+(1-EXP(-LN(2)/25))/(LN(2)/25)*Calculateur!AQ135*Calculateur!AS135*VLOOKUP('Données projet'!$B$10,Paramètres!$A$1:$I$89,3,0)*0.475*44/12</f>
        <v>23.423129284235976</v>
      </c>
      <c r="AW135" s="21">
        <f>EXP(-LN(2)/2)*AW134+(1-EXP(-LN(2)/2))/(LN(2)/2)*AQ135*AT135*VLOOKUP('Données projet'!$B$10,Paramètres!$A$1:$I$89,3,0)*0.475*44/12</f>
        <v>3.5807219869237543</v>
      </c>
      <c r="AX135" s="21">
        <f t="shared" si="114"/>
        <v>141.19967174250428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408.246209980743</v>
      </c>
      <c r="BJ135" s="59">
        <f t="shared" si="146"/>
        <v>394.10236303013903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20.381071232446288</v>
      </c>
      <c r="BQ135" s="21">
        <f>EXP(-LN(2)/25)*BQ134+(1-EXP(-LN(2)/25))/(LN(2)/25)*Calculateur!BL135*Calculateur!BN135*VLOOKUP('Données projet'!$B$11,Paramètres!$A$1:$I$89,3,0)*0.475*44/12</f>
        <v>13.328884789075293</v>
      </c>
      <c r="BR135" s="21">
        <f>EXP(-LN(2)/2)*BR134+(1-EXP(-LN(2)/2))/(LN(2)/2)*BL135*BO135*VLOOKUP('Données projet'!$B$11,Paramètres!$A$1:$I$89,3,0)*0.475*44/12</f>
        <v>1.021341362258518E-6</v>
      </c>
      <c r="BS135" s="22">
        <f t="shared" si="117"/>
        <v>33.709957042862939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1369.7831431760178</v>
      </c>
      <c r="S136" s="59">
        <f ca="1">AVERAGE(OFFSET($R$3,0,0,'Données projet'!$E$9+1,1))-AVERAGE(OFFSET($H$3,0,0,'Données projet'!$E$9+1,1))</f>
        <v>737.40414421611001</v>
      </c>
      <c r="T136" s="59">
        <f t="shared" si="142"/>
        <v>245.32893490531674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2.5579538487363607E-13</v>
      </c>
      <c r="AJ136" s="13">
        <f>AI136*VLOOKUP('Données projet'!$B$10,Paramètres!$A$1:$I$89,3,0)*VLOOKUP('Données projet'!$B$10,Paramètres!$A$1:$I$89,5,0)</f>
        <v>2.4341488824575211E-13</v>
      </c>
      <c r="AK136" s="13">
        <f t="shared" si="143"/>
        <v>3.2970717324875541E-12</v>
      </c>
      <c r="AL136" s="20">
        <f t="shared" si="112"/>
        <v>6.1663475311105072E-12</v>
      </c>
      <c r="AM136" s="59">
        <f t="shared" si="113"/>
        <v>284.39223168033953</v>
      </c>
      <c r="AN136" s="59">
        <f ca="1">AVERAGE(OFFSET($AM$3,0,0,'Données projet'!$E$10+1,1))-AVERAGE(OFFSET($H$3,0,0,'Données projet'!$E$10+1,1))</f>
        <v>486.36097333679697</v>
      </c>
      <c r="AO136" s="59">
        <f t="shared" si="144"/>
        <v>308.47736602748159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111.95651008447435</v>
      </c>
      <c r="AV136" s="21">
        <f>EXP(-LN(2)/25)*AV135+(1-EXP(-LN(2)/25))/(LN(2)/25)*Calculateur!AQ136*Calculateur!AS136*VLOOKUP('Données projet'!$B$10,Paramètres!$A$1:$I$89,3,0)*0.475*44/12</f>
        <v>22.78262258218971</v>
      </c>
      <c r="AW136" s="21">
        <f>EXP(-LN(2)/2)*AW135+(1-EXP(-LN(2)/2))/(LN(2)/2)*AQ136*AT136*VLOOKUP('Données projet'!$B$10,Paramètres!$A$1:$I$89,3,0)*0.475*44/12</f>
        <v>2.5319527984975552</v>
      </c>
      <c r="AX136" s="21">
        <f t="shared" si="114"/>
        <v>137.2710854651616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408.246209980743</v>
      </c>
      <c r="BJ136" s="59">
        <f t="shared" si="146"/>
        <v>394.10236303013903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19.981410856803986</v>
      </c>
      <c r="BQ136" s="21">
        <f>EXP(-LN(2)/25)*BQ135+(1-EXP(-LN(2)/25))/(LN(2)/25)*Calculateur!BL136*Calculateur!BN136*VLOOKUP('Données projet'!$B$11,Paramètres!$A$1:$I$89,3,0)*0.475*44/12</f>
        <v>12.964405733582442</v>
      </c>
      <c r="BR136" s="21">
        <f>EXP(-LN(2)/2)*BR135+(1-EXP(-LN(2)/2))/(LN(2)/2)*BL136*BO136*VLOOKUP('Données projet'!$B$11,Paramètres!$A$1:$I$89,3,0)*0.475*44/12</f>
        <v>7.2219740315930429E-7</v>
      </c>
      <c r="BS136" s="22">
        <f t="shared" si="117"/>
        <v>32.945817312583834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1390.3913476768578</v>
      </c>
      <c r="S137" s="59">
        <f ca="1">AVERAGE(OFFSET($R$3,0,0,'Données projet'!$E$9+1,1))-AVERAGE(OFFSET($H$3,0,0,'Données projet'!$E$9+1,1))</f>
        <v>737.40414421611001</v>
      </c>
      <c r="T137" s="59">
        <f t="shared" si="142"/>
        <v>245.32893490531674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2.5579538487363607E-13</v>
      </c>
      <c r="AJ137" s="13">
        <f>AI137*VLOOKUP('Données projet'!$B$10,Paramètres!$A$1:$I$89,3,0)*VLOOKUP('Données projet'!$B$10,Paramètres!$A$1:$I$89,5,0)</f>
        <v>2.4341488824575211E-13</v>
      </c>
      <c r="AK137" s="13">
        <f t="shared" si="143"/>
        <v>3.2970717324875541E-12</v>
      </c>
      <c r="AL137" s="20">
        <f t="shared" si="112"/>
        <v>6.1663475311105072E-12</v>
      </c>
      <c r="AM137" s="59">
        <f t="shared" si="113"/>
        <v>284.54733980471042</v>
      </c>
      <c r="AN137" s="59">
        <f ca="1">AVERAGE(OFFSET($AM$3,0,0,'Données projet'!$E$10+1,1))-AVERAGE(OFFSET($H$3,0,0,'Données projet'!$E$10+1,1))</f>
        <v>486.36097333679697</v>
      </c>
      <c r="AO137" s="59">
        <f t="shared" si="144"/>
        <v>308.47736602748159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109.7611112084462</v>
      </c>
      <c r="AV137" s="21">
        <f>EXP(-LN(2)/25)*AV136+(1-EXP(-LN(2)/25))/(LN(2)/25)*Calculateur!AQ137*Calculateur!AS137*VLOOKUP('Données projet'!$B$10,Paramètres!$A$1:$I$89,3,0)*0.475*44/12</f>
        <v>22.159630569593681</v>
      </c>
      <c r="AW137" s="21">
        <f>EXP(-LN(2)/2)*AW136+(1-EXP(-LN(2)/2))/(LN(2)/2)*AQ137*AT137*VLOOKUP('Données projet'!$B$10,Paramètres!$A$1:$I$89,3,0)*0.475*44/12</f>
        <v>1.7903609934618776</v>
      </c>
      <c r="AX137" s="21">
        <f t="shared" si="114"/>
        <v>133.71110277150177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408.246209980743</v>
      </c>
      <c r="BJ137" s="59">
        <f t="shared" si="146"/>
        <v>394.10236303013903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19.589587577359271</v>
      </c>
      <c r="BQ137" s="21">
        <f>EXP(-LN(2)/25)*BQ136+(1-EXP(-LN(2)/25))/(LN(2)/25)*Calculateur!BL137*Calculateur!BN137*VLOOKUP('Données projet'!$B$11,Paramètres!$A$1:$I$89,3,0)*0.475*44/12</f>
        <v>12.609893377029163</v>
      </c>
      <c r="BR137" s="21">
        <f>EXP(-LN(2)/2)*BR136+(1-EXP(-LN(2)/2))/(LN(2)/2)*BL137*BO137*VLOOKUP('Données projet'!$B$11,Paramètres!$A$1:$I$89,3,0)*0.475*44/12</f>
        <v>5.1067068112925902E-7</v>
      </c>
      <c r="BS137" s="22">
        <f t="shared" si="117"/>
        <v>32.199481465059115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1410.9894703203668</v>
      </c>
      <c r="S138" s="59">
        <f ca="1">AVERAGE(OFFSET($R$3,0,0,'Données projet'!$E$9+1,1))-AVERAGE(OFFSET($H$3,0,0,'Données projet'!$E$9+1,1))</f>
        <v>737.40414421611001</v>
      </c>
      <c r="T138" s="59">
        <f t="shared" si="142"/>
        <v>245.32893490531674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2.5579538487363607E-13</v>
      </c>
      <c r="AJ138" s="13">
        <f>AI138*VLOOKUP('Données projet'!$B$10,Paramètres!$A$1:$I$89,3,0)*VLOOKUP('Données projet'!$B$10,Paramètres!$A$1:$I$89,5,0)</f>
        <v>2.4341488824575211E-13</v>
      </c>
      <c r="AK138" s="13">
        <f t="shared" si="143"/>
        <v>3.2970717324875541E-12</v>
      </c>
      <c r="AL138" s="20">
        <f t="shared" si="112"/>
        <v>6.1663475311105072E-12</v>
      </c>
      <c r="AM138" s="59">
        <f t="shared" si="113"/>
        <v>284.69975714989329</v>
      </c>
      <c r="AN138" s="59">
        <f ca="1">AVERAGE(OFFSET($AM$3,0,0,'Données projet'!$E$10+1,1))-AVERAGE(OFFSET($H$3,0,0,'Données projet'!$E$10+1,1))</f>
        <v>486.36097333679697</v>
      </c>
      <c r="AO138" s="59">
        <f t="shared" si="144"/>
        <v>308.47736602748159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107.60876276531587</v>
      </c>
      <c r="AV138" s="21">
        <f>EXP(-LN(2)/25)*AV137+(1-EXP(-LN(2)/25))/(LN(2)/25)*Calculateur!AQ138*Calculateur!AS138*VLOOKUP('Données projet'!$B$10,Paramètres!$A$1:$I$89,3,0)*0.475*44/12</f>
        <v>21.553674306343815</v>
      </c>
      <c r="AW138" s="21">
        <f>EXP(-LN(2)/2)*AW137+(1-EXP(-LN(2)/2))/(LN(2)/2)*AQ138*AT138*VLOOKUP('Données projet'!$B$10,Paramètres!$A$1:$I$89,3,0)*0.475*44/12</f>
        <v>1.2659763992487778</v>
      </c>
      <c r="AX138" s="21">
        <f t="shared" si="114"/>
        <v>130.42841347090848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408.246209980743</v>
      </c>
      <c r="BJ138" s="59">
        <f t="shared" si="146"/>
        <v>394.10236303013903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19.205447713435866</v>
      </c>
      <c r="BQ138" s="21">
        <f>EXP(-LN(2)/25)*BQ137+(1-EXP(-LN(2)/25))/(LN(2)/25)*Calculateur!BL138*Calculateur!BN138*VLOOKUP('Données projet'!$B$11,Paramètres!$A$1:$I$89,3,0)*0.475*44/12</f>
        <v>12.265075179508829</v>
      </c>
      <c r="BR138" s="21">
        <f>EXP(-LN(2)/2)*BR137+(1-EXP(-LN(2)/2))/(LN(2)/2)*BL138*BO138*VLOOKUP('Données projet'!$B$11,Paramètres!$A$1:$I$89,3,0)*0.475*44/12</f>
        <v>3.6109870157965214E-7</v>
      </c>
      <c r="BS138" s="22">
        <f t="shared" si="117"/>
        <v>31.470523254043396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1431.5777106368337</v>
      </c>
      <c r="S139" s="59">
        <f ca="1">AVERAGE(OFFSET($R$3,0,0,'Données projet'!$E$9+1,1))-AVERAGE(OFFSET($H$3,0,0,'Données projet'!$E$9+1,1))</f>
        <v>737.40414421611001</v>
      </c>
      <c r="T139" s="59">
        <f t="shared" si="142"/>
        <v>245.32893490531674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2.5579538487363607E-13</v>
      </c>
      <c r="AJ139" s="13">
        <f>AI139*VLOOKUP('Données projet'!$B$10,Paramètres!$A$1:$I$89,3,0)*VLOOKUP('Données projet'!$B$10,Paramètres!$A$1:$I$89,5,0)</f>
        <v>2.4341488824575211E-13</v>
      </c>
      <c r="AK139" s="13">
        <f t="shared" si="143"/>
        <v>3.2970717324875541E-12</v>
      </c>
      <c r="AL139" s="20">
        <f t="shared" si="112"/>
        <v>6.1663475311105072E-12</v>
      </c>
      <c r="AM139" s="59">
        <f t="shared" si="113"/>
        <v>284.84953039489136</v>
      </c>
      <c r="AN139" s="59">
        <f ca="1">AVERAGE(OFFSET($AM$3,0,0,'Données projet'!$E$10+1,1))-AVERAGE(OFFSET($H$3,0,0,'Données projet'!$E$10+1,1))</f>
        <v>486.36097333679697</v>
      </c>
      <c r="AO139" s="59">
        <f t="shared" si="144"/>
        <v>308.47736602748159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105.49862056235241</v>
      </c>
      <c r="AV139" s="21">
        <f>EXP(-LN(2)/25)*AV138+(1-EXP(-LN(2)/25))/(LN(2)/25)*Calculateur!AQ139*Calculateur!AS139*VLOOKUP('Données projet'!$B$10,Paramètres!$A$1:$I$89,3,0)*0.475*44/12</f>
        <v>20.964287948978374</v>
      </c>
      <c r="AW139" s="21">
        <f>EXP(-LN(2)/2)*AW138+(1-EXP(-LN(2)/2))/(LN(2)/2)*AQ139*AT139*VLOOKUP('Données projet'!$B$10,Paramètres!$A$1:$I$89,3,0)*0.475*44/12</f>
        <v>0.89518049673093891</v>
      </c>
      <c r="AX139" s="21">
        <f t="shared" si="114"/>
        <v>127.35808900806174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408.246209980743</v>
      </c>
      <c r="BJ139" s="59">
        <f t="shared" si="146"/>
        <v>394.10236303013903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18.828840597941817</v>
      </c>
      <c r="BQ139" s="21">
        <f>EXP(-LN(2)/25)*BQ138+(1-EXP(-LN(2)/25))/(LN(2)/25)*Calculateur!BL139*Calculateur!BN139*VLOOKUP('Données projet'!$B$11,Paramètres!$A$1:$I$89,3,0)*0.475*44/12</f>
        <v>11.929686053732889</v>
      </c>
      <c r="BR139" s="21">
        <f>EXP(-LN(2)/2)*BR138+(1-EXP(-LN(2)/2))/(LN(2)/2)*BL139*BO139*VLOOKUP('Données projet'!$B$11,Paramètres!$A$1:$I$89,3,0)*0.475*44/12</f>
        <v>2.5533534056462951E-7</v>
      </c>
      <c r="BS139" s="22">
        <f t="shared" si="117"/>
        <v>30.758526907010047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1452.1562614629502</v>
      </c>
      <c r="S140" s="59">
        <f ca="1">AVERAGE(OFFSET($R$3,0,0,'Données projet'!$E$9+1,1))-AVERAGE(OFFSET($H$3,0,0,'Données projet'!$E$9+1,1))</f>
        <v>737.40414421611001</v>
      </c>
      <c r="T140" s="59">
        <f t="shared" si="142"/>
        <v>245.32893490531674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2.5579538487363607E-13</v>
      </c>
      <c r="AJ140" s="13">
        <f>AI140*VLOOKUP('Données projet'!$B$10,Paramètres!$A$1:$I$89,3,0)*VLOOKUP('Données projet'!$B$10,Paramètres!$A$1:$I$89,5,0)</f>
        <v>2.4341488824575211E-13</v>
      </c>
      <c r="AK140" s="13">
        <f t="shared" si="143"/>
        <v>3.2970717324875541E-12</v>
      </c>
      <c r="AL140" s="20">
        <f t="shared" si="112"/>
        <v>6.1663475311105072E-12</v>
      </c>
      <c r="AM140" s="59">
        <f t="shared" si="113"/>
        <v>284.99670540893152</v>
      </c>
      <c r="AN140" s="59">
        <f ca="1">AVERAGE(OFFSET($AM$3,0,0,'Données projet'!$E$10+1,1))-AVERAGE(OFFSET($H$3,0,0,'Données projet'!$E$10+1,1))</f>
        <v>486.36097333679697</v>
      </c>
      <c r="AO140" s="59">
        <f t="shared" si="144"/>
        <v>308.47736602748159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103.42985696092941</v>
      </c>
      <c r="AV140" s="21">
        <f>EXP(-LN(2)/25)*AV139+(1-EXP(-LN(2)/25))/(LN(2)/25)*Calculateur!AQ140*Calculateur!AS140*VLOOKUP('Données projet'!$B$10,Paramètres!$A$1:$I$89,3,0)*0.475*44/12</f>
        <v>20.391018392549572</v>
      </c>
      <c r="AW140" s="21">
        <f>EXP(-LN(2)/2)*AW139+(1-EXP(-LN(2)/2))/(LN(2)/2)*AQ140*AT140*VLOOKUP('Données projet'!$B$10,Paramètres!$A$1:$I$89,3,0)*0.475*44/12</f>
        <v>0.63298819962438901</v>
      </c>
      <c r="AX140" s="21">
        <f t="shared" si="114"/>
        <v>124.45386355310337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408.246209980743</v>
      </c>
      <c r="BJ140" s="59">
        <f t="shared" si="146"/>
        <v>394.10236303013903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18.459618518274947</v>
      </c>
      <c r="BQ140" s="21">
        <f>EXP(-LN(2)/25)*BQ139+(1-EXP(-LN(2)/25))/(LN(2)/25)*Calculateur!BL140*Calculateur!BN140*VLOOKUP('Données projet'!$B$11,Paramètres!$A$1:$I$89,3,0)*0.475*44/12</f>
        <v>11.60346816123864</v>
      </c>
      <c r="BR140" s="21">
        <f>EXP(-LN(2)/2)*BR139+(1-EXP(-LN(2)/2))/(LN(2)/2)*BL140*BO140*VLOOKUP('Données projet'!$B$11,Paramètres!$A$1:$I$89,3,0)*0.475*44/12</f>
        <v>1.8054935078982607E-7</v>
      </c>
      <c r="BS140" s="22">
        <f t="shared" si="117"/>
        <v>30.063086860062938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1472.7253092834233</v>
      </c>
      <c r="S141" s="59">
        <f ca="1">AVERAGE(OFFSET($R$3,0,0,'Données projet'!$E$9+1,1))-AVERAGE(OFFSET($H$3,0,0,'Données projet'!$E$9+1,1))</f>
        <v>737.40414421611001</v>
      </c>
      <c r="T141" s="59">
        <f t="shared" si="142"/>
        <v>245.32893490531674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2.5579538487363607E-13</v>
      </c>
      <c r="AJ141" s="13">
        <f>AI141*VLOOKUP('Données projet'!$B$10,Paramètres!$A$1:$I$89,3,0)*VLOOKUP('Données projet'!$B$10,Paramètres!$A$1:$I$89,5,0)</f>
        <v>2.4341488824575211E-13</v>
      </c>
      <c r="AK141" s="13">
        <f t="shared" si="143"/>
        <v>3.2970717324875541E-12</v>
      </c>
      <c r="AL141" s="20">
        <f t="shared" si="112"/>
        <v>6.1663475311105072E-12</v>
      </c>
      <c r="AM141" s="59">
        <f t="shared" si="113"/>
        <v>285.14132726551207</v>
      </c>
      <c r="AN141" s="59">
        <f ca="1">AVERAGE(OFFSET($AM$3,0,0,'Données projet'!$E$10+1,1))-AVERAGE(OFFSET($H$3,0,0,'Données projet'!$E$10+1,1))</f>
        <v>486.36097333679697</v>
      </c>
      <c r="AO141" s="59">
        <f t="shared" si="144"/>
        <v>308.47736602748159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101.40166055190912</v>
      </c>
      <c r="AV141" s="21">
        <f>EXP(-LN(2)/25)*AV140+(1-EXP(-LN(2)/25))/(LN(2)/25)*Calculateur!AQ141*Calculateur!AS141*VLOOKUP('Données projet'!$B$10,Paramètres!$A$1:$I$89,3,0)*0.475*44/12</f>
        <v>19.833424922288252</v>
      </c>
      <c r="AW141" s="21">
        <f>EXP(-LN(2)/2)*AW140+(1-EXP(-LN(2)/2))/(LN(2)/2)*AQ141*AT141*VLOOKUP('Données projet'!$B$10,Paramètres!$A$1:$I$89,3,0)*0.475*44/12</f>
        <v>0.44759024836546951</v>
      </c>
      <c r="AX141" s="21">
        <f t="shared" si="114"/>
        <v>121.68267572256285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408.246209980743</v>
      </c>
      <c r="BJ141" s="59">
        <f t="shared" si="146"/>
        <v>394.10236303013903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18.097636658387113</v>
      </c>
      <c r="BQ141" s="21">
        <f>EXP(-LN(2)/25)*BQ140+(1-EXP(-LN(2)/25))/(LN(2)/25)*Calculateur!BL141*Calculateur!BN141*VLOOKUP('Données projet'!$B$11,Paramètres!$A$1:$I$89,3,0)*0.475*44/12</f>
        <v>11.286170714169698</v>
      </c>
      <c r="BR141" s="21">
        <f>EXP(-LN(2)/2)*BR140+(1-EXP(-LN(2)/2))/(LN(2)/2)*BL141*BO141*VLOOKUP('Données projet'!$B$11,Paramètres!$A$1:$I$89,3,0)*0.475*44/12</f>
        <v>1.2766767028231475E-7</v>
      </c>
      <c r="BS141" s="22">
        <f t="shared" si="117"/>
        <v>29.383807500224481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1493.2850345486813</v>
      </c>
      <c r="S142" s="59">
        <f ca="1">AVERAGE(OFFSET($R$3,0,0,'Données projet'!$E$9+1,1))-AVERAGE(OFFSET($H$3,0,0,'Données projet'!$E$9+1,1))</f>
        <v>737.40414421611001</v>
      </c>
      <c r="T142" s="59">
        <f t="shared" si="142"/>
        <v>245.32893490531674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2.5579538487363607E-13</v>
      </c>
      <c r="AJ142" s="13">
        <f>AI142*VLOOKUP('Données projet'!$B$10,Paramètres!$A$1:$I$89,3,0)*VLOOKUP('Données projet'!$B$10,Paramètres!$A$1:$I$89,5,0)</f>
        <v>2.4341488824575211E-13</v>
      </c>
      <c r="AK142" s="13">
        <f t="shared" si="143"/>
        <v>3.2970717324875541E-12</v>
      </c>
      <c r="AL142" s="20">
        <f t="shared" si="112"/>
        <v>6.1663475311105072E-12</v>
      </c>
      <c r="AM142" s="59">
        <f t="shared" si="113"/>
        <v>285.28344025620703</v>
      </c>
      <c r="AN142" s="59">
        <f ca="1">AVERAGE(OFFSET($AM$3,0,0,'Données projet'!$E$10+1,1))-AVERAGE(OFFSET($H$3,0,0,'Données projet'!$E$10+1,1))</f>
        <v>486.36097333679697</v>
      </c>
      <c r="AO142" s="59">
        <f t="shared" si="144"/>
        <v>308.47736602748159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99.413235837392037</v>
      </c>
      <c r="AV142" s="21">
        <f>EXP(-LN(2)/25)*AV141+(1-EXP(-LN(2)/25))/(LN(2)/25)*Calculateur!AQ142*Calculateur!AS142*VLOOKUP('Données projet'!$B$10,Paramètres!$A$1:$I$89,3,0)*0.475*44/12</f>
        <v>19.291078874793794</v>
      </c>
      <c r="AW142" s="21">
        <f>EXP(-LN(2)/2)*AW141+(1-EXP(-LN(2)/2))/(LN(2)/2)*AQ142*AT142*VLOOKUP('Données projet'!$B$10,Paramètres!$A$1:$I$89,3,0)*0.475*44/12</f>
        <v>0.31649409981219451</v>
      </c>
      <c r="AX142" s="21">
        <f t="shared" si="114"/>
        <v>119.02080881199802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408.246209980743</v>
      </c>
      <c r="BJ142" s="59">
        <f t="shared" si="146"/>
        <v>394.10236303013903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17.742753041984546</v>
      </c>
      <c r="BQ142" s="21">
        <f>EXP(-LN(2)/25)*BQ141+(1-EXP(-LN(2)/25))/(LN(2)/25)*Calculateur!BL142*Calculateur!BN142*VLOOKUP('Données projet'!$B$11,Paramètres!$A$1:$I$89,3,0)*0.475*44/12</f>
        <v>10.977549782476805</v>
      </c>
      <c r="BR142" s="21">
        <f>EXP(-LN(2)/2)*BR141+(1-EXP(-LN(2)/2))/(LN(2)/2)*BL142*BO142*VLOOKUP('Données projet'!$B$11,Paramètres!$A$1:$I$89,3,0)*0.475*44/12</f>
        <v>9.0274675394913036E-8</v>
      </c>
      <c r="BS142" s="22">
        <f t="shared" si="117"/>
        <v>28.720302914736024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1513.8356119707566</v>
      </c>
      <c r="S143" s="59">
        <f ca="1">AVERAGE(OFFSET($R$3,0,0,'Données projet'!$E$9+1,1))-AVERAGE(OFFSET($H$3,0,0,'Données projet'!$E$9+1,1))</f>
        <v>737.40414421611001</v>
      </c>
      <c r="T143" s="59">
        <f t="shared" si="142"/>
        <v>245.32893490531674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2.5579538487363607E-13</v>
      </c>
      <c r="AJ143" s="13">
        <f>AI143*VLOOKUP('Données projet'!$B$10,Paramètres!$A$1:$I$89,3,0)*VLOOKUP('Données projet'!$B$10,Paramètres!$A$1:$I$89,5,0)</f>
        <v>2.4341488824575211E-13</v>
      </c>
      <c r="AK143" s="13">
        <f t="shared" si="143"/>
        <v>3.2970717324875541E-12</v>
      </c>
      <c r="AL143" s="20">
        <f t="shared" si="112"/>
        <v>6.1663475311105072E-12</v>
      </c>
      <c r="AM143" s="59">
        <f t="shared" si="113"/>
        <v>285.4230879042305</v>
      </c>
      <c r="AN143" s="59">
        <f ca="1">AVERAGE(OFFSET($AM$3,0,0,'Données projet'!$E$10+1,1))-AVERAGE(OFFSET($H$3,0,0,'Données projet'!$E$10+1,1))</f>
        <v>486.36097333679697</v>
      </c>
      <c r="AO143" s="59">
        <f t="shared" si="144"/>
        <v>308.47736602748159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97.46380291870733</v>
      </c>
      <c r="AV143" s="21">
        <f>EXP(-LN(2)/25)*AV142+(1-EXP(-LN(2)/25))/(LN(2)/25)*Calculateur!AQ143*Calculateur!AS143*VLOOKUP('Données projet'!$B$10,Paramètres!$A$1:$I$89,3,0)*0.475*44/12</f>
        <v>18.763563308488809</v>
      </c>
      <c r="AW143" s="21">
        <f>EXP(-LN(2)/2)*AW142+(1-EXP(-LN(2)/2))/(LN(2)/2)*AQ143*AT143*VLOOKUP('Données projet'!$B$10,Paramètres!$A$1:$I$89,3,0)*0.475*44/12</f>
        <v>0.22379512418273476</v>
      </c>
      <c r="AX143" s="21">
        <f t="shared" si="114"/>
        <v>116.45116135137887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408.246209980743</v>
      </c>
      <c r="BJ143" s="59">
        <f t="shared" si="146"/>
        <v>394.10236303013903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17.394828476842001</v>
      </c>
      <c r="BQ143" s="21">
        <f>EXP(-LN(2)/25)*BQ142+(1-EXP(-LN(2)/25))/(LN(2)/25)*Calculateur!BL143*Calculateur!BN143*VLOOKUP('Données projet'!$B$11,Paramètres!$A$1:$I$89,3,0)*0.475*44/12</f>
        <v>10.677368106390723</v>
      </c>
      <c r="BR143" s="21">
        <f>EXP(-LN(2)/2)*BR142+(1-EXP(-LN(2)/2))/(LN(2)/2)*BL143*BO143*VLOOKUP('Données projet'!$B$11,Paramètres!$A$1:$I$89,3,0)*0.475*44/12</f>
        <v>6.3833835141157377E-8</v>
      </c>
      <c r="BS143" s="22">
        <f t="shared" si="117"/>
        <v>28.072196647066558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1393.7973223607326</v>
      </c>
      <c r="S144" s="59">
        <f ca="1">AVERAGE(OFFSET($R$3,0,0,'Données projet'!$E$9+1,1))-AVERAGE(OFFSET($H$3,0,0,'Données projet'!$E$9+1,1))</f>
        <v>737.40414421611001</v>
      </c>
      <c r="T144" s="59">
        <f t="shared" si="142"/>
        <v>245.32893490531674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2.5579538487363607E-13</v>
      </c>
      <c r="AJ144" s="13">
        <f>AI144*VLOOKUP('Données projet'!$B$10,Paramètres!$A$1:$I$89,3,0)*VLOOKUP('Données projet'!$B$10,Paramètres!$A$1:$I$89,5,0)</f>
        <v>2.4341488824575211E-13</v>
      </c>
      <c r="AK144" s="13">
        <f t="shared" si="143"/>
        <v>3.2970717324875541E-12</v>
      </c>
      <c r="AL144" s="20">
        <f t="shared" si="112"/>
        <v>6.1663475311105072E-12</v>
      </c>
      <c r="AM144" s="59">
        <f t="shared" si="113"/>
        <v>285.56031297776616</v>
      </c>
      <c r="AN144" s="59">
        <f ca="1">AVERAGE(OFFSET($AM$3,0,0,'Données projet'!$E$10+1,1))-AVERAGE(OFFSET($H$3,0,0,'Données projet'!$E$10+1,1))</f>
        <v>486.36097333679697</v>
      </c>
      <c r="AO144" s="59">
        <f t="shared" si="144"/>
        <v>308.47736602748159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95.552597190521354</v>
      </c>
      <c r="AV144" s="21">
        <f>EXP(-LN(2)/25)*AV143+(1-EXP(-LN(2)/25))/(LN(2)/25)*Calculateur!AQ144*Calculateur!AS144*VLOOKUP('Données projet'!$B$10,Paramètres!$A$1:$I$89,3,0)*0.475*44/12</f>
        <v>18.250472683085274</v>
      </c>
      <c r="AW144" s="21">
        <f>EXP(-LN(2)/2)*AW143+(1-EXP(-LN(2)/2))/(LN(2)/2)*AQ144*AT144*VLOOKUP('Données projet'!$B$10,Paramètres!$A$1:$I$89,3,0)*0.475*44/12</f>
        <v>0.15824704990609725</v>
      </c>
      <c r="AX144" s="21">
        <f t="shared" si="114"/>
        <v>113.96131692351273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408.246209980743</v>
      </c>
      <c r="BJ144" s="59">
        <f t="shared" si="146"/>
        <v>394.10236303013903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17.053726500208871</v>
      </c>
      <c r="BQ144" s="21">
        <f>EXP(-LN(2)/25)*BQ143+(1-EXP(-LN(2)/25))/(LN(2)/25)*Calculateur!BL144*Calculateur!BN144*VLOOKUP('Données projet'!$B$11,Paramètres!$A$1:$I$89,3,0)*0.475*44/12</f>
        <v>10.385394914023085</v>
      </c>
      <c r="BR144" s="21">
        <f>EXP(-LN(2)/2)*BR143+(1-EXP(-LN(2)/2))/(LN(2)/2)*BL144*BO144*VLOOKUP('Données projet'!$B$11,Paramètres!$A$1:$I$89,3,0)*0.475*44/12</f>
        <v>4.5137337697456518E-8</v>
      </c>
      <c r="BS144" s="22">
        <f t="shared" si="117"/>
        <v>27.439121459369293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1414.4354531202894</v>
      </c>
      <c r="S145" s="59">
        <f ca="1">AVERAGE(OFFSET($R$3,0,0,'Données projet'!$E$9+1,1))-AVERAGE(OFFSET($H$3,0,0,'Données projet'!$E$9+1,1))</f>
        <v>737.40414421611001</v>
      </c>
      <c r="T145" s="59">
        <f t="shared" si="142"/>
        <v>245.32893490531674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2.5579538487363607E-13</v>
      </c>
      <c r="AJ145" s="13">
        <f>AI145*VLOOKUP('Données projet'!$B$10,Paramètres!$A$1:$I$89,3,0)*VLOOKUP('Données projet'!$B$10,Paramètres!$A$1:$I$89,5,0)</f>
        <v>2.4341488824575211E-13</v>
      </c>
      <c r="AK145" s="13">
        <f t="shared" si="143"/>
        <v>3.2970717324875541E-12</v>
      </c>
      <c r="AL145" s="20">
        <f t="shared" si="112"/>
        <v>6.1663475311105072E-12</v>
      </c>
      <c r="AM145" s="59">
        <f t="shared" si="113"/>
        <v>285.69515750306522</v>
      </c>
      <c r="AN145" s="59">
        <f ca="1">AVERAGE(OFFSET($AM$3,0,0,'Données projet'!$E$10+1,1))-AVERAGE(OFFSET($H$3,0,0,'Données projet'!$E$10+1,1))</f>
        <v>486.36097333679697</v>
      </c>
      <c r="AO145" s="59">
        <f t="shared" si="144"/>
        <v>308.47736602748159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93.678869040944718</v>
      </c>
      <c r="AV145" s="21">
        <f>EXP(-LN(2)/25)*AV144+(1-EXP(-LN(2)/25))/(LN(2)/25)*Calculateur!AQ145*Calculateur!AS145*VLOOKUP('Données projet'!$B$10,Paramètres!$A$1:$I$89,3,0)*0.475*44/12</f>
        <v>17.751412547815661</v>
      </c>
      <c r="AW145" s="21">
        <f>EXP(-LN(2)/2)*AW144+(1-EXP(-LN(2)/2))/(LN(2)/2)*AQ145*AT145*VLOOKUP('Données projet'!$B$10,Paramètres!$A$1:$I$89,3,0)*0.475*44/12</f>
        <v>0.11189756209136738</v>
      </c>
      <c r="AX145" s="21">
        <f t="shared" si="114"/>
        <v>111.54217915085175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408.246209980743</v>
      </c>
      <c r="BJ145" s="59">
        <f t="shared" si="146"/>
        <v>394.10236303013903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16.719313325285853</v>
      </c>
      <c r="BQ145" s="21">
        <f>EXP(-LN(2)/25)*BQ144+(1-EXP(-LN(2)/25))/(LN(2)/25)*Calculateur!BL145*Calculateur!BN145*VLOOKUP('Données projet'!$B$11,Paramètres!$A$1:$I$89,3,0)*0.475*44/12</f>
        <v>10.10140574395494</v>
      </c>
      <c r="BR145" s="21">
        <f>EXP(-LN(2)/2)*BR144+(1-EXP(-LN(2)/2))/(LN(2)/2)*BL145*BO145*VLOOKUP('Données projet'!$B$11,Paramètres!$A$1:$I$89,3,0)*0.475*44/12</f>
        <v>3.1916917570578688E-8</v>
      </c>
      <c r="BS145" s="22">
        <f t="shared" si="117"/>
        <v>26.820719101157714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1435.0639829808906</v>
      </c>
      <c r="S146" s="59">
        <f ca="1">AVERAGE(OFFSET($R$3,0,0,'Données projet'!$E$9+1,1))-AVERAGE(OFFSET($H$3,0,0,'Données projet'!$E$9+1,1))</f>
        <v>737.40414421611001</v>
      </c>
      <c r="T146" s="59">
        <f t="shared" si="142"/>
        <v>245.32893490531674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2.5579538487363607E-13</v>
      </c>
      <c r="AJ146" s="13">
        <f>AI146*VLOOKUP('Données projet'!$B$10,Paramètres!$A$1:$I$89,3,0)*VLOOKUP('Données projet'!$B$10,Paramètres!$A$1:$I$89,5,0)</f>
        <v>2.4341488824575211E-13</v>
      </c>
      <c r="AK146" s="13">
        <f t="shared" si="143"/>
        <v>3.2970717324875541E-12</v>
      </c>
      <c r="AL146" s="20">
        <f t="shared" si="112"/>
        <v>6.1663475311105072E-12</v>
      </c>
      <c r="AM146" s="59">
        <f t="shared" si="113"/>
        <v>285.82766277731758</v>
      </c>
      <c r="AN146" s="59">
        <f ca="1">AVERAGE(OFFSET($AM$3,0,0,'Données projet'!$E$10+1,1))-AVERAGE(OFFSET($H$3,0,0,'Données projet'!$E$10+1,1))</f>
        <v>486.36097333679697</v>
      </c>
      <c r="AO146" s="59">
        <f t="shared" si="144"/>
        <v>308.47736602748159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91.841883557519949</v>
      </c>
      <c r="AV146" s="21">
        <f>EXP(-LN(2)/25)*AV145+(1-EXP(-LN(2)/25))/(LN(2)/25)*Calculateur!AQ146*Calculateur!AS146*VLOOKUP('Données projet'!$B$10,Paramètres!$A$1:$I$89,3,0)*0.475*44/12</f>
        <v>17.265999238189426</v>
      </c>
      <c r="AW146" s="21">
        <f>EXP(-LN(2)/2)*AW145+(1-EXP(-LN(2)/2))/(LN(2)/2)*AQ146*AT146*VLOOKUP('Données projet'!$B$10,Paramètres!$A$1:$I$89,3,0)*0.475*44/12</f>
        <v>7.9123524953048627E-2</v>
      </c>
      <c r="AX146" s="21">
        <f t="shared" si="114"/>
        <v>109.18700632066242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408.246209980743</v>
      </c>
      <c r="BJ146" s="59">
        <f t="shared" si="146"/>
        <v>394.10236303013903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16.391457788751179</v>
      </c>
      <c r="BQ146" s="21">
        <f>EXP(-LN(2)/25)*BQ145+(1-EXP(-LN(2)/25))/(LN(2)/25)*Calculateur!BL146*Calculateur!BN146*VLOOKUP('Données projet'!$B$11,Paramètres!$A$1:$I$89,3,0)*0.475*44/12</f>
        <v>9.8251822726766509</v>
      </c>
      <c r="BR146" s="21">
        <f>EXP(-LN(2)/2)*BR145+(1-EXP(-LN(2)/2))/(LN(2)/2)*BL146*BO146*VLOOKUP('Données projet'!$B$11,Paramètres!$A$1:$I$89,3,0)*0.475*44/12</f>
        <v>2.2568668848728259E-8</v>
      </c>
      <c r="BS146" s="22">
        <f t="shared" si="117"/>
        <v>26.216640083996502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1455.6831000580892</v>
      </c>
      <c r="S147" s="59">
        <f ca="1">AVERAGE(OFFSET($R$3,0,0,'Données projet'!$E$9+1,1))-AVERAGE(OFFSET($H$3,0,0,'Données projet'!$E$9+1,1))</f>
        <v>737.40414421611001</v>
      </c>
      <c r="T147" s="59">
        <f t="shared" si="142"/>
        <v>245.32893490531674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2.5579538487363607E-13</v>
      </c>
      <c r="AJ147" s="13">
        <f>AI147*VLOOKUP('Données projet'!$B$10,Paramètres!$A$1:$I$89,3,0)*VLOOKUP('Données projet'!$B$10,Paramètres!$A$1:$I$89,5,0)</f>
        <v>2.4341488824575211E-13</v>
      </c>
      <c r="AK147" s="13">
        <f t="shared" si="143"/>
        <v>3.2970717324875541E-12</v>
      </c>
      <c r="AL147" s="20">
        <f t="shared" si="112"/>
        <v>6.1663475311105072E-12</v>
      </c>
      <c r="AM147" s="59">
        <f t="shared" si="113"/>
        <v>285.95786938129902</v>
      </c>
      <c r="AN147" s="59">
        <f ca="1">AVERAGE(OFFSET($AM$3,0,0,'Données projet'!$E$10+1,1))-AVERAGE(OFFSET($H$3,0,0,'Données projet'!$E$10+1,1))</f>
        <v>486.36097333679697</v>
      </c>
      <c r="AO147" s="59">
        <f t="shared" si="144"/>
        <v>308.47736602748159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90.040920238974635</v>
      </c>
      <c r="AV147" s="21">
        <f>EXP(-LN(2)/25)*AV146+(1-EXP(-LN(2)/25))/(LN(2)/25)*Calculateur!AQ147*Calculateur!AS147*VLOOKUP('Données projet'!$B$10,Paramètres!$A$1:$I$89,3,0)*0.475*44/12</f>
        <v>16.793859581041698</v>
      </c>
      <c r="AW147" s="21">
        <f>EXP(-LN(2)/2)*AW146+(1-EXP(-LN(2)/2))/(LN(2)/2)*AQ147*AT147*VLOOKUP('Données projet'!$B$10,Paramètres!$A$1:$I$89,3,0)*0.475*44/12</f>
        <v>5.5948781045683689E-2</v>
      </c>
      <c r="AX147" s="21">
        <f t="shared" si="114"/>
        <v>106.89072860106202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408.246209980743</v>
      </c>
      <c r="BJ147" s="59">
        <f t="shared" si="146"/>
        <v>394.10236303013903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16.070031299315819</v>
      </c>
      <c r="BQ147" s="21">
        <f>EXP(-LN(2)/25)*BQ146+(1-EXP(-LN(2)/25))/(LN(2)/25)*Calculateur!BL147*Calculateur!BN147*VLOOKUP('Données projet'!$B$11,Paramètres!$A$1:$I$89,3,0)*0.475*44/12</f>
        <v>9.556512146746428</v>
      </c>
      <c r="BR147" s="21">
        <f>EXP(-LN(2)/2)*BR146+(1-EXP(-LN(2)/2))/(LN(2)/2)*BL147*BO147*VLOOKUP('Données projet'!$B$11,Paramètres!$A$1:$I$89,3,0)*0.475*44/12</f>
        <v>1.5958458785289344E-8</v>
      </c>
      <c r="BS147" s="22">
        <f t="shared" si="117"/>
        <v>25.626543462020706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1476.2929861823395</v>
      </c>
      <c r="S148" s="59">
        <f ca="1">AVERAGE(OFFSET($R$3,0,0,'Données projet'!$E$9+1,1))-AVERAGE(OFFSET($H$3,0,0,'Données projet'!$E$9+1,1))</f>
        <v>737.40414421611001</v>
      </c>
      <c r="T148" s="59">
        <f t="shared" si="142"/>
        <v>245.32893490531674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2.5579538487363607E-13</v>
      </c>
      <c r="AJ148" s="13">
        <f>AI148*VLOOKUP('Données projet'!$B$10,Paramètres!$A$1:$I$89,3,0)*VLOOKUP('Données projet'!$B$10,Paramètres!$A$1:$I$89,5,0)</f>
        <v>2.4341488824575211E-13</v>
      </c>
      <c r="AK148" s="13">
        <f t="shared" si="143"/>
        <v>3.2970717324875541E-12</v>
      </c>
      <c r="AL148" s="20">
        <f t="shared" si="112"/>
        <v>6.1663475311105072E-12</v>
      </c>
      <c r="AM148" s="59">
        <f t="shared" si="113"/>
        <v>286.08581719179972</v>
      </c>
      <c r="AN148" s="59">
        <f ca="1">AVERAGE(OFFSET($AM$3,0,0,'Données projet'!$E$10+1,1))-AVERAGE(OFFSET($H$3,0,0,'Données projet'!$E$10+1,1))</f>
        <v>486.36097333679697</v>
      </c>
      <c r="AO148" s="59">
        <f t="shared" si="144"/>
        <v>308.47736602748159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88.27527271262683</v>
      </c>
      <c r="AV148" s="21">
        <f>EXP(-LN(2)/25)*AV147+(1-EXP(-LN(2)/25))/(LN(2)/25)*Calculateur!AQ148*Calculateur!AS148*VLOOKUP('Données projet'!$B$10,Paramètres!$A$1:$I$89,3,0)*0.475*44/12</f>
        <v>16.334630607647419</v>
      </c>
      <c r="AW148" s="21">
        <f>EXP(-LN(2)/2)*AW147+(1-EXP(-LN(2)/2))/(LN(2)/2)*AQ148*AT148*VLOOKUP('Données projet'!$B$10,Paramètres!$A$1:$I$89,3,0)*0.475*44/12</f>
        <v>3.9561762476524313E-2</v>
      </c>
      <c r="AX148" s="21">
        <f t="shared" si="114"/>
        <v>104.64946508275077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408.246209980743</v>
      </c>
      <c r="BJ148" s="59">
        <f t="shared" si="146"/>
        <v>394.10236303013903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15.754907787287486</v>
      </c>
      <c r="BQ148" s="21">
        <f>EXP(-LN(2)/25)*BQ147+(1-EXP(-LN(2)/25))/(LN(2)/25)*Calculateur!BL148*Calculateur!BN148*VLOOKUP('Données projet'!$B$11,Paramètres!$A$1:$I$89,3,0)*0.475*44/12</f>
        <v>9.2951888195385148</v>
      </c>
      <c r="BR148" s="21">
        <f>EXP(-LN(2)/2)*BR147+(1-EXP(-LN(2)/2))/(LN(2)/2)*BL148*BO148*VLOOKUP('Données projet'!$B$11,Paramètres!$A$1:$I$89,3,0)*0.475*44/12</f>
        <v>1.128433442436413E-8</v>
      </c>
      <c r="BS148" s="22">
        <f t="shared" si="117"/>
        <v>25.050096618110338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1496.8938172166536</v>
      </c>
      <c r="S149" s="59">
        <f ca="1">AVERAGE(OFFSET($R$3,0,0,'Données projet'!$E$9+1,1))-AVERAGE(OFFSET($H$3,0,0,'Données projet'!$E$9+1,1))</f>
        <v>737.40414421611001</v>
      </c>
      <c r="T149" s="59">
        <f t="shared" si="142"/>
        <v>245.32893490531674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2.5579538487363607E-13</v>
      </c>
      <c r="AJ149" s="13">
        <f>AI149*VLOOKUP('Données projet'!$B$10,Paramètres!$A$1:$I$89,3,0)*VLOOKUP('Données projet'!$B$10,Paramètres!$A$1:$I$89,5,0)</f>
        <v>2.4341488824575211E-13</v>
      </c>
      <c r="AK149" s="13">
        <f t="shared" si="143"/>
        <v>3.2970717324875541E-12</v>
      </c>
      <c r="AL149" s="20">
        <f t="shared" si="112"/>
        <v>6.1663475311105072E-12</v>
      </c>
      <c r="AM149" s="59">
        <f t="shared" si="113"/>
        <v>286.21154539383679</v>
      </c>
      <c r="AN149" s="59">
        <f ca="1">AVERAGE(OFFSET($AM$3,0,0,'Données projet'!$E$10+1,1))-AVERAGE(OFFSET($H$3,0,0,'Données projet'!$E$10+1,1))</f>
        <v>486.36097333679697</v>
      </c>
      <c r="AO149" s="59">
        <f t="shared" si="144"/>
        <v>308.47736602748159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86.54424845733206</v>
      </c>
      <c r="AV149" s="21">
        <f>EXP(-LN(2)/25)*AV148+(1-EXP(-LN(2)/25))/(LN(2)/25)*Calculateur!AQ149*Calculateur!AS149*VLOOKUP('Données projet'!$B$10,Paramètres!$A$1:$I$89,3,0)*0.475*44/12</f>
        <v>15.88795927468041</v>
      </c>
      <c r="AW149" s="21">
        <f>EXP(-LN(2)/2)*AW148+(1-EXP(-LN(2)/2))/(LN(2)/2)*AQ149*AT149*VLOOKUP('Données projet'!$B$10,Paramètres!$A$1:$I$89,3,0)*0.475*44/12</f>
        <v>2.7974390522841844E-2</v>
      </c>
      <c r="AX149" s="21">
        <f t="shared" si="114"/>
        <v>102.46018212253531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408.246209980743</v>
      </c>
      <c r="BJ149" s="59">
        <f t="shared" si="146"/>
        <v>394.10236303013903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15.445963655123665</v>
      </c>
      <c r="BQ149" s="21">
        <f>EXP(-LN(2)/25)*BQ148+(1-EXP(-LN(2)/25))/(LN(2)/25)*Calculateur!BL149*Calculateur!BN149*VLOOKUP('Données projet'!$B$11,Paramètres!$A$1:$I$89,3,0)*0.475*44/12</f>
        <v>9.0410113924554985</v>
      </c>
      <c r="BR149" s="21">
        <f>EXP(-LN(2)/2)*BR148+(1-EXP(-LN(2)/2))/(LN(2)/2)*BL149*BO149*VLOOKUP('Données projet'!$B$11,Paramètres!$A$1:$I$89,3,0)*0.475*44/12</f>
        <v>7.9792293926446721E-9</v>
      </c>
      <c r="BS149" s="22">
        <f t="shared" si="117"/>
        <v>24.486975055558393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1517.4857633523416</v>
      </c>
      <c r="S150" s="59">
        <f ca="1">AVERAGE(OFFSET($R$3,0,0,'Données projet'!$E$9+1,1))-AVERAGE(OFFSET($H$3,0,0,'Données projet'!$E$9+1,1))</f>
        <v>737.40414421611001</v>
      </c>
      <c r="T150" s="59">
        <f t="shared" si="142"/>
        <v>245.32893490531674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2.5579538487363607E-13</v>
      </c>
      <c r="AJ150" s="13">
        <f>AI150*VLOOKUP('Données projet'!$B$10,Paramètres!$A$1:$I$89,3,0)*VLOOKUP('Données projet'!$B$10,Paramètres!$A$1:$I$89,5,0)</f>
        <v>2.4341488824575211E-13</v>
      </c>
      <c r="AK150" s="13">
        <f t="shared" si="143"/>
        <v>3.2970717324875541E-12</v>
      </c>
      <c r="AL150" s="20">
        <f t="shared" si="112"/>
        <v>6.1663475311105072E-12</v>
      </c>
      <c r="AM150" s="59">
        <f t="shared" si="113"/>
        <v>286.33509249265455</v>
      </c>
      <c r="AN150" s="59">
        <f ca="1">AVERAGE(OFFSET($AM$3,0,0,'Données projet'!$E$10+1,1))-AVERAGE(OFFSET($H$3,0,0,'Données projet'!$E$10+1,1))</f>
        <v>486.36097333679697</v>
      </c>
      <c r="AO150" s="59">
        <f t="shared" si="144"/>
        <v>308.47736602748159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84.847168531863076</v>
      </c>
      <c r="AV150" s="21">
        <f>EXP(-LN(2)/25)*AV149+(1-EXP(-LN(2)/25))/(LN(2)/25)*Calculateur!AQ150*Calculateur!AS150*VLOOKUP('Données projet'!$B$10,Paramètres!$A$1:$I$89,3,0)*0.475*44/12</f>
        <v>15.453502192802809</v>
      </c>
      <c r="AW150" s="21">
        <f>EXP(-LN(2)/2)*AW149+(1-EXP(-LN(2)/2))/(LN(2)/2)*AQ150*AT150*VLOOKUP('Données projet'!$B$10,Paramètres!$A$1:$I$89,3,0)*0.475*44/12</f>
        <v>1.9780881238262157E-2</v>
      </c>
      <c r="AX150" s="21">
        <f t="shared" si="114"/>
        <v>100.32045160590414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408.246209980743</v>
      </c>
      <c r="BJ150" s="59">
        <f t="shared" si="146"/>
        <v>394.10236303013903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15.143077728954262</v>
      </c>
      <c r="BQ150" s="21">
        <f>EXP(-LN(2)/25)*BQ149+(1-EXP(-LN(2)/25))/(LN(2)/25)*Calculateur!BL150*Calculateur!BN150*VLOOKUP('Données projet'!$B$11,Paramètres!$A$1:$I$89,3,0)*0.475*44/12</f>
        <v>8.7937844604826765</v>
      </c>
      <c r="BR150" s="21">
        <f>EXP(-LN(2)/2)*BR149+(1-EXP(-LN(2)/2))/(LN(2)/2)*BL150*BO150*VLOOKUP('Données projet'!$B$11,Paramètres!$A$1:$I$89,3,0)*0.475*44/12</f>
        <v>5.6421672121820648E-9</v>
      </c>
      <c r="BS150" s="22">
        <f t="shared" si="117"/>
        <v>23.936862195079105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1538.068989384733</v>
      </c>
      <c r="S151" s="59">
        <f ca="1">AVERAGE(OFFSET($R$3,0,0,'Données projet'!$E$9+1,1))-AVERAGE(OFFSET($H$3,0,0,'Données projet'!$E$9+1,1))</f>
        <v>737.40414421611001</v>
      </c>
      <c r="T151" s="59">
        <f t="shared" si="142"/>
        <v>245.32893490531674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2.5579538487363607E-13</v>
      </c>
      <c r="AJ151" s="13">
        <f>AI151*VLOOKUP('Données projet'!$B$10,Paramètres!$A$1:$I$89,3,0)*VLOOKUP('Données projet'!$B$10,Paramètres!$A$1:$I$89,5,0)</f>
        <v>2.4341488824575211E-13</v>
      </c>
      <c r="AK151" s="13">
        <f t="shared" si="143"/>
        <v>3.2970717324875541E-12</v>
      </c>
      <c r="AL151" s="20">
        <f t="shared" si="112"/>
        <v>6.1663475311105072E-12</v>
      </c>
      <c r="AM151" s="59">
        <f t="shared" si="113"/>
        <v>286.45649632551783</v>
      </c>
      <c r="AN151" s="59">
        <f ca="1">AVERAGE(OFFSET($AM$3,0,0,'Données projet'!$E$10+1,1))-AVERAGE(OFFSET($H$3,0,0,'Données projet'!$E$10+1,1))</f>
        <v>486.36097333679697</v>
      </c>
      <c r="AO151" s="59">
        <f t="shared" si="144"/>
        <v>308.47736602748159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83.183367308615999</v>
      </c>
      <c r="AV151" s="21">
        <f>EXP(-LN(2)/25)*AV150+(1-EXP(-LN(2)/25))/(LN(2)/25)*Calculateur!AQ151*Calculateur!AS151*VLOOKUP('Données projet'!$B$10,Paramètres!$A$1:$I$89,3,0)*0.475*44/12</f>
        <v>15.030925362676255</v>
      </c>
      <c r="AW151" s="21">
        <f>EXP(-LN(2)/2)*AW150+(1-EXP(-LN(2)/2))/(LN(2)/2)*AQ151*AT151*VLOOKUP('Données projet'!$B$10,Paramètres!$A$1:$I$89,3,0)*0.475*44/12</f>
        <v>1.3987195261420922E-2</v>
      </c>
      <c r="AX151" s="21">
        <f t="shared" si="114"/>
        <v>98.228279866553677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408.246209980743</v>
      </c>
      <c r="BJ151" s="59">
        <f t="shared" si="146"/>
        <v>394.10236303013903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14.846131211054868</v>
      </c>
      <c r="BQ151" s="21">
        <f>EXP(-LN(2)/25)*BQ150+(1-EXP(-LN(2)/25))/(LN(2)/25)*Calculateur!BL151*Calculateur!BN151*VLOOKUP('Données projet'!$B$11,Paramètres!$A$1:$I$89,3,0)*0.475*44/12</f>
        <v>8.5533179619657513</v>
      </c>
      <c r="BR151" s="21">
        <f>EXP(-LN(2)/2)*BR150+(1-EXP(-LN(2)/2))/(LN(2)/2)*BL151*BO151*VLOOKUP('Données projet'!$B$11,Paramètres!$A$1:$I$89,3,0)*0.475*44/12</f>
        <v>3.9896146963223361E-9</v>
      </c>
      <c r="BS151" s="22">
        <f t="shared" si="117"/>
        <v>23.399449177010236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1558.6436549705638</v>
      </c>
      <c r="S152" s="59">
        <f ca="1">AVERAGE(OFFSET($R$3,0,0,'Données projet'!$E$9+1,1))-AVERAGE(OFFSET($H$3,0,0,'Données projet'!$E$9+1,1))</f>
        <v>737.40414421611001</v>
      </c>
      <c r="T152" s="59">
        <f t="shared" si="142"/>
        <v>245.32893490531674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2.5579538487363607E-13</v>
      </c>
      <c r="AJ152" s="13">
        <f>AI152*VLOOKUP('Données projet'!$B$10,Paramètres!$A$1:$I$89,3,0)*VLOOKUP('Données projet'!$B$10,Paramètres!$A$1:$I$89,5,0)</f>
        <v>2.4341488824575211E-13</v>
      </c>
      <c r="AK152" s="13">
        <f t="shared" si="143"/>
        <v>3.2970717324875541E-12</v>
      </c>
      <c r="AL152" s="20">
        <f t="shared" si="112"/>
        <v>6.1663475311105072E-12</v>
      </c>
      <c r="AM152" s="59">
        <f t="shared" si="113"/>
        <v>286.57579407329922</v>
      </c>
      <c r="AN152" s="59">
        <f ca="1">AVERAGE(OFFSET($AM$3,0,0,'Données projet'!$E$10+1,1))-AVERAGE(OFFSET($H$3,0,0,'Données projet'!$E$10+1,1))</f>
        <v>486.36097333679697</v>
      </c>
      <c r="AO152" s="59">
        <f t="shared" si="144"/>
        <v>308.47736602748159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81.552192212538245</v>
      </c>
      <c r="AV152" s="21">
        <f>EXP(-LN(2)/25)*AV151+(1-EXP(-LN(2)/25))/(LN(2)/25)*Calculateur!AQ152*Calculateur!AS152*VLOOKUP('Données projet'!$B$10,Paramètres!$A$1:$I$89,3,0)*0.475*44/12</f>
        <v>14.619903918191861</v>
      </c>
      <c r="AW152" s="21">
        <f>EXP(-LN(2)/2)*AW151+(1-EXP(-LN(2)/2))/(LN(2)/2)*AQ152*AT152*VLOOKUP('Données projet'!$B$10,Paramètres!$A$1:$I$89,3,0)*0.475*44/12</f>
        <v>9.8904406191310783E-3</v>
      </c>
      <c r="AX152" s="21">
        <f t="shared" si="114"/>
        <v>96.181986571349242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408.246209980743</v>
      </c>
      <c r="BJ152" s="59">
        <f t="shared" si="146"/>
        <v>394.10236303013903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14.555007633251989</v>
      </c>
      <c r="BQ152" s="21">
        <f>EXP(-LN(2)/25)*BQ151+(1-EXP(-LN(2)/25))/(LN(2)/25)*Calculateur!BL152*Calculateur!BN152*VLOOKUP('Données projet'!$B$11,Paramètres!$A$1:$I$89,3,0)*0.475*44/12</f>
        <v>8.3194270324963551</v>
      </c>
      <c r="BR152" s="21">
        <f>EXP(-LN(2)/2)*BR151+(1-EXP(-LN(2)/2))/(LN(2)/2)*BL152*BO152*VLOOKUP('Données projet'!$B$11,Paramètres!$A$1:$I$89,3,0)*0.475*44/12</f>
        <v>2.8210836060910324E-9</v>
      </c>
      <c r="BS152" s="22">
        <f t="shared" si="117"/>
        <v>22.874434668569428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1579.2099148685638</v>
      </c>
      <c r="S153" s="59">
        <f ca="1">AVERAGE(OFFSET($R$3,0,0,'Données projet'!$E$9+1,1))-AVERAGE(OFFSET($H$3,0,0,'Données projet'!$E$9+1,1))</f>
        <v>737.40414421611001</v>
      </c>
      <c r="T153" s="59">
        <f t="shared" si="142"/>
        <v>245.32893490531674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2.5579538487363607E-13</v>
      </c>
      <c r="AJ153" s="13">
        <f>AI153*VLOOKUP('Données projet'!$B$10,Paramètres!$A$1:$I$89,3,0)*VLOOKUP('Données projet'!$B$10,Paramètres!$A$1:$I$89,5,0)</f>
        <v>2.4341488824575211E-13</v>
      </c>
      <c r="AK153" s="13">
        <f t="shared" si="143"/>
        <v>3.2970717324875541E-12</v>
      </c>
      <c r="AL153" s="20">
        <f t="shared" si="112"/>
        <v>6.1663475311105072E-12</v>
      </c>
      <c r="AM153" s="59">
        <f t="shared" si="113"/>
        <v>286.69302227186648</v>
      </c>
      <c r="AN153" s="59">
        <f ca="1">AVERAGE(OFFSET($AM$3,0,0,'Données projet'!$E$10+1,1))-AVERAGE(OFFSET($H$3,0,0,'Données projet'!$E$10+1,1))</f>
        <v>486.36097333679697</v>
      </c>
      <c r="AO153" s="59">
        <f t="shared" si="144"/>
        <v>308.47736602748159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79.95300346517601</v>
      </c>
      <c r="AV153" s="21">
        <f>EXP(-LN(2)/25)*AV152+(1-EXP(-LN(2)/25))/(LN(2)/25)*Calculateur!AQ153*Calculateur!AS153*VLOOKUP('Données projet'!$B$10,Paramètres!$A$1:$I$89,3,0)*0.475*44/12</f>
        <v>14.220121876721572</v>
      </c>
      <c r="AW153" s="21">
        <f>EXP(-LN(2)/2)*AW152+(1-EXP(-LN(2)/2))/(LN(2)/2)*AQ153*AT153*VLOOKUP('Données projet'!$B$10,Paramètres!$A$1:$I$89,3,0)*0.475*44/12</f>
        <v>6.9935976307104611E-3</v>
      </c>
      <c r="AX153" s="21">
        <f t="shared" si="114"/>
        <v>94.180118939528299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408.246209980743</v>
      </c>
      <c r="BJ153" s="59">
        <f t="shared" si="146"/>
        <v>394.10236303013903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14.269592811241976</v>
      </c>
      <c r="BQ153" s="21">
        <f>EXP(-LN(2)/25)*BQ152+(1-EXP(-LN(2)/25))/(LN(2)/25)*Calculateur!BL153*Calculateur!BN153*VLOOKUP('Données projet'!$B$11,Paramètres!$A$1:$I$89,3,0)*0.475*44/12</f>
        <v>8.0919318627930892</v>
      </c>
      <c r="BR153" s="21">
        <f>EXP(-LN(2)/2)*BR152+(1-EXP(-LN(2)/2))/(LN(2)/2)*BL153*BO153*VLOOKUP('Données projet'!$B$11,Paramètres!$A$1:$I$89,3,0)*0.475*44/12</f>
        <v>1.994807348161168E-9</v>
      </c>
      <c r="BS153" s="22">
        <f t="shared" si="117"/>
        <v>22.361524676029873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1102.8215630000668</v>
      </c>
      <c r="S154" s="59">
        <f ca="1">AVERAGE(OFFSET($R$3,0,0,'Données projet'!$E$9+1,1))-AVERAGE(OFFSET($H$3,0,0,'Données projet'!$E$9+1,1))</f>
        <v>737.40414421611001</v>
      </c>
      <c r="T154" s="59">
        <f t="shared" si="142"/>
        <v>245.32893490531674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2.5579538487363607E-13</v>
      </c>
      <c r="AJ154" s="13">
        <f>AI154*VLOOKUP('Données projet'!$B$10,Paramètres!$A$1:$I$89,3,0)*VLOOKUP('Données projet'!$B$10,Paramètres!$A$1:$I$89,5,0)</f>
        <v>2.4341488824575211E-13</v>
      </c>
      <c r="AK154" s="13">
        <f t="shared" ref="AK154:AK203" si="164">EXP(-1.0587+0.8836*LN(AJ154)+0.284)</f>
        <v>3.2970717324875541E-12</v>
      </c>
      <c r="AL154" s="20">
        <f t="shared" ref="AL154:AL203" si="165">(AJ154+AK154)*0.475*44/12</f>
        <v>6.1663475311105072E-12</v>
      </c>
      <c r="AM154" s="59">
        <f t="shared" si="113"/>
        <v>286.80821682327149</v>
      </c>
      <c r="AN154" s="59">
        <f ca="1">AVERAGE(OFFSET($AM$3,0,0,'Données projet'!$E$10+1,1))-AVERAGE(OFFSET($H$3,0,0,'Données projet'!$E$10+1,1))</f>
        <v>486.36097333679697</v>
      </c>
      <c r="AO154" s="59">
        <f t="shared" si="144"/>
        <v>308.47736602748159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78.385173833740723</v>
      </c>
      <c r="AV154" s="21">
        <f>EXP(-LN(2)/25)*AV153+(1-EXP(-LN(2)/25))/(LN(2)/25)*Calculateur!AQ154*Calculateur!AS154*VLOOKUP('Données projet'!$B$10,Paramètres!$A$1:$I$89,3,0)*0.475*44/12</f>
        <v>13.831271896198912</v>
      </c>
      <c r="AW154" s="21">
        <f>EXP(-LN(2)/2)*AW153+(1-EXP(-LN(2)/2))/(LN(2)/2)*AQ154*AT154*VLOOKUP('Données projet'!$B$10,Paramètres!$A$1:$I$89,3,0)*0.475*44/12</f>
        <v>4.9452203095655392E-3</v>
      </c>
      <c r="AX154" s="21">
        <f t="shared" ref="AX154:AX203" si="166">SUM(AU154:AW154)</f>
        <v>92.221390950249202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408.246209980743</v>
      </c>
      <c r="BJ154" s="59">
        <f t="shared" si="146"/>
        <v>394.10236303013903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13.989774799805728</v>
      </c>
      <c r="BQ154" s="21">
        <f>EXP(-LN(2)/25)*BQ153+(1-EXP(-LN(2)/25))/(LN(2)/25)*Calculateur!BL154*Calculateur!BN154*VLOOKUP('Données projet'!$B$11,Paramètres!$A$1:$I$89,3,0)*0.475*44/12</f>
        <v>7.8706575604688096</v>
      </c>
      <c r="BR154" s="21">
        <f>EXP(-LN(2)/2)*BR153+(1-EXP(-LN(2)/2))/(LN(2)/2)*BL154*BO154*VLOOKUP('Données projet'!$B$11,Paramètres!$A$1:$I$89,3,0)*0.475*44/12</f>
        <v>1.4105418030455162E-9</v>
      </c>
      <c r="BS154" s="22">
        <f t="shared" ref="BS154:BS203" si="169">SUM(BP154:BR154)</f>
        <v>21.860432361685078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1116.4404990211117</v>
      </c>
      <c r="S155" s="59">
        <f ca="1">AVERAGE(OFFSET($R$3,0,0,'Données projet'!$E$9+1,1))-AVERAGE(OFFSET($H$3,0,0,'Données projet'!$E$9+1,1))</f>
        <v>737.40414421611001</v>
      </c>
      <c r="T155" s="59">
        <f t="shared" si="142"/>
        <v>245.32893490531674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2.5579538487363607E-13</v>
      </c>
      <c r="AJ155" s="13">
        <f>AI155*VLOOKUP('Données projet'!$B$10,Paramètres!$A$1:$I$89,3,0)*VLOOKUP('Données projet'!$B$10,Paramètres!$A$1:$I$89,5,0)</f>
        <v>2.4341488824575211E-13</v>
      </c>
      <c r="AK155" s="13">
        <f t="shared" si="164"/>
        <v>3.2970717324875541E-12</v>
      </c>
      <c r="AL155" s="20">
        <f t="shared" si="165"/>
        <v>6.1663475311105072E-12</v>
      </c>
      <c r="AM155" s="59">
        <f t="shared" si="113"/>
        <v>286.92141300674604</v>
      </c>
      <c r="AN155" s="59">
        <f ca="1">AVERAGE(OFFSET($AM$3,0,0,'Données projet'!$E$10+1,1))-AVERAGE(OFFSET($H$3,0,0,'Données projet'!$E$10+1,1))</f>
        <v>486.36097333679697</v>
      </c>
      <c r="AO155" s="59">
        <f t="shared" si="144"/>
        <v>308.47736602748159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76.848088385096233</v>
      </c>
      <c r="AV155" s="21">
        <f>EXP(-LN(2)/25)*AV154+(1-EXP(-LN(2)/25))/(LN(2)/25)*Calculateur!AQ155*Calculateur!AS155*VLOOKUP('Données projet'!$B$10,Paramètres!$A$1:$I$89,3,0)*0.475*44/12</f>
        <v>13.453055038842376</v>
      </c>
      <c r="AW155" s="21">
        <f>EXP(-LN(2)/2)*AW154+(1-EXP(-LN(2)/2))/(LN(2)/2)*AQ155*AT155*VLOOKUP('Données projet'!$B$10,Paramètres!$A$1:$I$89,3,0)*0.475*44/12</f>
        <v>3.4967988153552306E-3</v>
      </c>
      <c r="AX155" s="21">
        <f t="shared" si="166"/>
        <v>90.30464022275396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408.246209980743</v>
      </c>
      <c r="BJ155" s="59">
        <f t="shared" si="146"/>
        <v>394.10236303013903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13.715443848901609</v>
      </c>
      <c r="BQ155" s="21">
        <f>EXP(-LN(2)/25)*BQ154+(1-EXP(-LN(2)/25))/(LN(2)/25)*Calculateur!BL155*Calculateur!BN155*VLOOKUP('Données projet'!$B$11,Paramètres!$A$1:$I$89,3,0)*0.475*44/12</f>
        <v>7.6554340155778977</v>
      </c>
      <c r="BR155" s="21">
        <f>EXP(-LN(2)/2)*BR154+(1-EXP(-LN(2)/2))/(LN(2)/2)*BL155*BO155*VLOOKUP('Données projet'!$B$11,Paramètres!$A$1:$I$89,3,0)*0.475*44/12</f>
        <v>9.9740367408058402E-10</v>
      </c>
      <c r="BS155" s="22">
        <f t="shared" si="169"/>
        <v>21.37087786547691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1130.0530480509503</v>
      </c>
      <c r="S156" s="59">
        <f ca="1">AVERAGE(OFFSET($R$3,0,0,'Données projet'!$E$9+1,1))-AVERAGE(OFFSET($H$3,0,0,'Données projet'!$E$9+1,1))</f>
        <v>737.40414421611001</v>
      </c>
      <c r="T156" s="59">
        <f t="shared" si="142"/>
        <v>245.32893490531674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2.5579538487363607E-13</v>
      </c>
      <c r="AJ156" s="13">
        <f>AI156*VLOOKUP('Données projet'!$B$10,Paramètres!$A$1:$I$89,3,0)*VLOOKUP('Données projet'!$B$10,Paramètres!$A$1:$I$89,5,0)</f>
        <v>2.4341488824575211E-13</v>
      </c>
      <c r="AK156" s="13">
        <f t="shared" si="164"/>
        <v>3.2970717324875541E-12</v>
      </c>
      <c r="AL156" s="20">
        <f t="shared" si="165"/>
        <v>6.1663475311105072E-12</v>
      </c>
      <c r="AM156" s="59">
        <f t="shared" si="113"/>
        <v>287.03264548950614</v>
      </c>
      <c r="AN156" s="59">
        <f ca="1">AVERAGE(OFFSET($AM$3,0,0,'Données projet'!$E$10+1,1))-AVERAGE(OFFSET($H$3,0,0,'Données projet'!$E$10+1,1))</f>
        <v>486.36097333679697</v>
      </c>
      <c r="AO156" s="59">
        <f t="shared" si="144"/>
        <v>308.47736602748159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75.341144244570117</v>
      </c>
      <c r="AV156" s="21">
        <f>EXP(-LN(2)/25)*AV155+(1-EXP(-LN(2)/25))/(LN(2)/25)*Calculateur!AQ156*Calculateur!AS156*VLOOKUP('Données projet'!$B$10,Paramètres!$A$1:$I$89,3,0)*0.475*44/12</f>
        <v>13.085180541339813</v>
      </c>
      <c r="AW156" s="21">
        <f>EXP(-LN(2)/2)*AW155+(1-EXP(-LN(2)/2))/(LN(2)/2)*AQ156*AT156*VLOOKUP('Données projet'!$B$10,Paramètres!$A$1:$I$89,3,0)*0.475*44/12</f>
        <v>2.4726101547827696E-3</v>
      </c>
      <c r="AX156" s="21">
        <f t="shared" si="166"/>
        <v>88.428797396064709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408.246209980743</v>
      </c>
      <c r="BJ156" s="59">
        <f t="shared" si="146"/>
        <v>394.10236303013903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13.446492360619363</v>
      </c>
      <c r="BQ156" s="21">
        <f>EXP(-LN(2)/25)*BQ155+(1-EXP(-LN(2)/25))/(LN(2)/25)*Calculateur!BL156*Calculateur!BN156*VLOOKUP('Données projet'!$B$11,Paramètres!$A$1:$I$89,3,0)*0.475*44/12</f>
        <v>7.4460957698401415</v>
      </c>
      <c r="BR156" s="21">
        <f>EXP(-LN(2)/2)*BR155+(1-EXP(-LN(2)/2))/(LN(2)/2)*BL156*BO156*VLOOKUP('Données projet'!$B$11,Paramètres!$A$1:$I$89,3,0)*0.475*44/12</f>
        <v>7.052709015227581E-10</v>
      </c>
      <c r="BS156" s="22">
        <f t="shared" si="169"/>
        <v>20.892588131164775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840.43457667121857</v>
      </c>
      <c r="S157" s="59">
        <f ca="1">AVERAGE(OFFSET($R$3,0,0,'Données projet'!$E$9+1,1))-AVERAGE(OFFSET($H$3,0,0,'Données projet'!$E$9+1,1))</f>
        <v>737.40414421611001</v>
      </c>
      <c r="T157" s="59">
        <f t="shared" si="142"/>
        <v>245.32893490531674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2.5579538487363607E-13</v>
      </c>
      <c r="AJ157" s="13">
        <f>AI157*VLOOKUP('Données projet'!$B$10,Paramètres!$A$1:$I$89,3,0)*VLOOKUP('Données projet'!$B$10,Paramètres!$A$1:$I$89,5,0)</f>
        <v>2.4341488824575211E-13</v>
      </c>
      <c r="AK157" s="13">
        <f t="shared" si="164"/>
        <v>3.2970717324875541E-12</v>
      </c>
      <c r="AL157" s="20">
        <f t="shared" si="165"/>
        <v>6.1663475311105072E-12</v>
      </c>
      <c r="AM157" s="59">
        <f t="shared" si="113"/>
        <v>287.14194833736889</v>
      </c>
      <c r="AN157" s="59">
        <f ca="1">AVERAGE(OFFSET($AM$3,0,0,'Données projet'!$E$10+1,1))-AVERAGE(OFFSET($H$3,0,0,'Données projet'!$E$10+1,1))</f>
        <v>486.36097333679697</v>
      </c>
      <c r="AO157" s="59">
        <f t="shared" si="144"/>
        <v>308.47736602748159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73.863750359494546</v>
      </c>
      <c r="AV157" s="21">
        <f>EXP(-LN(2)/25)*AV156+(1-EXP(-LN(2)/25))/(LN(2)/25)*Calculateur!AQ157*Calculateur!AS157*VLOOKUP('Données projet'!$B$10,Paramètres!$A$1:$I$89,3,0)*0.475*44/12</f>
        <v>12.727365591317138</v>
      </c>
      <c r="AW157" s="21">
        <f>EXP(-LN(2)/2)*AW156+(1-EXP(-LN(2)/2))/(LN(2)/2)*AQ157*AT157*VLOOKUP('Données projet'!$B$10,Paramètres!$A$1:$I$89,3,0)*0.475*44/12</f>
        <v>1.7483994076776153E-3</v>
      </c>
      <c r="AX157" s="21">
        <f t="shared" si="166"/>
        <v>86.592864350219358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408.246209980743</v>
      </c>
      <c r="BJ157" s="59">
        <f t="shared" si="146"/>
        <v>394.10236303013903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13.182814846978122</v>
      </c>
      <c r="BQ157" s="21">
        <f>EXP(-LN(2)/25)*BQ156+(1-EXP(-LN(2)/25))/(LN(2)/25)*Calculateur!BL157*Calculateur!BN157*VLOOKUP('Données projet'!$B$11,Paramètres!$A$1:$I$89,3,0)*0.475*44/12</f>
        <v>7.2424818894407048</v>
      </c>
      <c r="BR157" s="21">
        <f>EXP(-LN(2)/2)*BR156+(1-EXP(-LN(2)/2))/(LN(2)/2)*BL157*BO157*VLOOKUP('Données projet'!$B$11,Paramètres!$A$1:$I$89,3,0)*0.475*44/12</f>
        <v>4.9870183704029201E-10</v>
      </c>
      <c r="BS157" s="22">
        <f t="shared" si="169"/>
        <v>20.425296736917527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848.34980231467785</v>
      </c>
      <c r="S158" s="59">
        <f ca="1">AVERAGE(OFFSET($R$3,0,0,'Données projet'!$E$9+1,1))-AVERAGE(OFFSET($H$3,0,0,'Données projet'!$E$9+1,1))</f>
        <v>737.40414421611001</v>
      </c>
      <c r="T158" s="59">
        <f t="shared" si="142"/>
        <v>245.32893490531674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2.5579538487363607E-13</v>
      </c>
      <c r="AJ158" s="13">
        <f>AI158*VLOOKUP('Données projet'!$B$10,Paramètres!$A$1:$I$89,3,0)*VLOOKUP('Données projet'!$B$10,Paramètres!$A$1:$I$89,5,0)</f>
        <v>2.4341488824575211E-13</v>
      </c>
      <c r="AK158" s="13">
        <f t="shared" si="164"/>
        <v>3.2970717324875541E-12</v>
      </c>
      <c r="AL158" s="20">
        <f t="shared" si="165"/>
        <v>6.1663475311105072E-12</v>
      </c>
      <c r="AM158" s="59">
        <f t="shared" si="113"/>
        <v>287.24935502518582</v>
      </c>
      <c r="AN158" s="59">
        <f ca="1">AVERAGE(OFFSET($AM$3,0,0,'Données projet'!$E$10+1,1))-AVERAGE(OFFSET($H$3,0,0,'Données projet'!$E$10+1,1))</f>
        <v>486.36097333679697</v>
      </c>
      <c r="AO158" s="59">
        <f t="shared" si="144"/>
        <v>308.47736602748159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72.415327267384015</v>
      </c>
      <c r="AV158" s="21">
        <f>EXP(-LN(2)/25)*AV157+(1-EXP(-LN(2)/25))/(LN(2)/25)*Calculateur!AQ158*Calculateur!AS158*VLOOKUP('Données projet'!$B$10,Paramètres!$A$1:$I$89,3,0)*0.475*44/12</f>
        <v>12.379335109919504</v>
      </c>
      <c r="AW158" s="21">
        <f>EXP(-LN(2)/2)*AW157+(1-EXP(-LN(2)/2))/(LN(2)/2)*AQ158*AT158*VLOOKUP('Données projet'!$B$10,Paramètres!$A$1:$I$89,3,0)*0.475*44/12</f>
        <v>1.2363050773913848E-3</v>
      </c>
      <c r="AX158" s="21">
        <f t="shared" si="166"/>
        <v>84.795898682380923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408.246209980743</v>
      </c>
      <c r="BJ158" s="59">
        <f t="shared" si="146"/>
        <v>394.10236303013903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12.924307888551983</v>
      </c>
      <c r="BQ158" s="21">
        <f>EXP(-LN(2)/25)*BQ157+(1-EXP(-LN(2)/25))/(LN(2)/25)*Calculateur!BL158*Calculateur!BN158*VLOOKUP('Données projet'!$B$11,Paramètres!$A$1:$I$89,3,0)*0.475*44/12</f>
        <v>7.0444358413083794</v>
      </c>
      <c r="BR158" s="21">
        <f>EXP(-LN(2)/2)*BR157+(1-EXP(-LN(2)/2))/(LN(2)/2)*BL158*BO158*VLOOKUP('Données projet'!$B$11,Paramètres!$A$1:$I$89,3,0)*0.475*44/12</f>
        <v>3.5263545076137905E-10</v>
      </c>
      <c r="BS158" s="22">
        <f t="shared" si="169"/>
        <v>19.968743730212999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856.26089136258645</v>
      </c>
      <c r="S159" s="59">
        <f ca="1">AVERAGE(OFFSET($R$3,0,0,'Données projet'!$E$9+1,1))-AVERAGE(OFFSET($H$3,0,0,'Données projet'!$E$9+1,1))</f>
        <v>737.40414421611001</v>
      </c>
      <c r="T159" s="59">
        <f t="shared" si="142"/>
        <v>245.32893490531674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2.5579538487363607E-13</v>
      </c>
      <c r="AJ159" s="13">
        <f>AI159*VLOOKUP('Données projet'!$B$10,Paramètres!$A$1:$I$89,3,0)*VLOOKUP('Données projet'!$B$10,Paramètres!$A$1:$I$89,5,0)</f>
        <v>2.4341488824575211E-13</v>
      </c>
      <c r="AK159" s="13">
        <f t="shared" si="164"/>
        <v>3.2970717324875541E-12</v>
      </c>
      <c r="AL159" s="20">
        <f t="shared" si="165"/>
        <v>6.1663475311105072E-12</v>
      </c>
      <c r="AM159" s="59">
        <f t="shared" si="113"/>
        <v>287.35489844709446</v>
      </c>
      <c r="AN159" s="59">
        <f ca="1">AVERAGE(OFFSET($AM$3,0,0,'Données projet'!$E$10+1,1))-AVERAGE(OFFSET($H$3,0,0,'Données projet'!$E$10+1,1))</f>
        <v>486.36097333679697</v>
      </c>
      <c r="AO159" s="59">
        <f t="shared" si="144"/>
        <v>308.47736602748159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70.995306868658929</v>
      </c>
      <c r="AV159" s="21">
        <f>EXP(-LN(2)/25)*AV158+(1-EXP(-LN(2)/25))/(LN(2)/25)*Calculateur!AQ159*Calculateur!AS159*VLOOKUP('Données projet'!$B$10,Paramètres!$A$1:$I$89,3,0)*0.475*44/12</f>
        <v>12.040821540337815</v>
      </c>
      <c r="AW159" s="21">
        <f>EXP(-LN(2)/2)*AW158+(1-EXP(-LN(2)/2))/(LN(2)/2)*AQ159*AT159*VLOOKUP('Données projet'!$B$10,Paramètres!$A$1:$I$89,3,0)*0.475*44/12</f>
        <v>8.7419970383880764E-4</v>
      </c>
      <c r="AX159" s="21">
        <f t="shared" si="166"/>
        <v>83.03700260870059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408.246209980743</v>
      </c>
      <c r="BJ159" s="59">
        <f t="shared" si="146"/>
        <v>394.10236303013903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12.670870093906904</v>
      </c>
      <c r="BQ159" s="21">
        <f>EXP(-LN(2)/25)*BQ158+(1-EXP(-LN(2)/25))/(LN(2)/25)*Calculateur!BL159*Calculateur!BN159*VLOOKUP('Données projet'!$B$11,Paramètres!$A$1:$I$89,3,0)*0.475*44/12</f>
        <v>6.8518053727770214</v>
      </c>
      <c r="BR159" s="21">
        <f>EXP(-LN(2)/2)*BR158+(1-EXP(-LN(2)/2))/(LN(2)/2)*BL159*BO159*VLOOKUP('Données projet'!$B$11,Paramètres!$A$1:$I$89,3,0)*0.475*44/12</f>
        <v>2.49350918520146E-10</v>
      </c>
      <c r="BS159" s="22">
        <f t="shared" si="169"/>
        <v>19.522675466933276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675.54236880007079</v>
      </c>
      <c r="S160" s="59">
        <f ca="1">AVERAGE(OFFSET($R$3,0,0,'Données projet'!$E$9+1,1))-AVERAGE(OFFSET($H$3,0,0,'Données projet'!$E$9+1,1))</f>
        <v>737.40414421611001</v>
      </c>
      <c r="T160" s="59">
        <f t="shared" si="142"/>
        <v>245.32893490531674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2.5579538487363607E-13</v>
      </c>
      <c r="AJ160" s="13">
        <f>AI160*VLOOKUP('Données projet'!$B$10,Paramètres!$A$1:$I$89,3,0)*VLOOKUP('Données projet'!$B$10,Paramètres!$A$1:$I$89,5,0)</f>
        <v>2.4341488824575211E-13</v>
      </c>
      <c r="AK160" s="13">
        <f t="shared" si="164"/>
        <v>3.2970717324875541E-12</v>
      </c>
      <c r="AL160" s="20">
        <f t="shared" si="165"/>
        <v>6.1663475311105072E-12</v>
      </c>
      <c r="AM160" s="59">
        <f t="shared" si="113"/>
        <v>287.45861092659271</v>
      </c>
      <c r="AN160" s="59">
        <f ca="1">AVERAGE(OFFSET($AM$3,0,0,'Données projet'!$E$10+1,1))-AVERAGE(OFFSET($H$3,0,0,'Données projet'!$E$10+1,1))</f>
        <v>486.36097333679697</v>
      </c>
      <c r="AO160" s="59">
        <f t="shared" si="144"/>
        <v>308.47736602748159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69.603132203825922</v>
      </c>
      <c r="AV160" s="21">
        <f>EXP(-LN(2)/25)*AV159+(1-EXP(-LN(2)/25))/(LN(2)/25)*Calculateur!AQ160*Calculateur!AS160*VLOOKUP('Données projet'!$B$10,Paramètres!$A$1:$I$89,3,0)*0.475*44/12</f>
        <v>11.711564642117992</v>
      </c>
      <c r="AW160" s="21">
        <f>EXP(-LN(2)/2)*AW159+(1-EXP(-LN(2)/2))/(LN(2)/2)*AQ160*AT160*VLOOKUP('Données projet'!$B$10,Paramètres!$A$1:$I$89,3,0)*0.475*44/12</f>
        <v>6.181525386956924E-4</v>
      </c>
      <c r="AX160" s="21">
        <f t="shared" si="166"/>
        <v>81.315314998482606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408.246209980743</v>
      </c>
      <c r="BJ160" s="59">
        <f t="shared" si="146"/>
        <v>394.10236303013903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12.422402059833024</v>
      </c>
      <c r="BQ160" s="21">
        <f>EXP(-LN(2)/25)*BQ159+(1-EXP(-LN(2)/25))/(LN(2)/25)*Calculateur!BL160*Calculateur!BN160*VLOOKUP('Données projet'!$B$11,Paramètres!$A$1:$I$89,3,0)*0.475*44/12</f>
        <v>6.664442394537649</v>
      </c>
      <c r="BR160" s="21">
        <f>EXP(-LN(2)/2)*BR159+(1-EXP(-LN(2)/2))/(LN(2)/2)*BL160*BO160*VLOOKUP('Données projet'!$B$11,Paramètres!$A$1:$I$89,3,0)*0.475*44/12</f>
        <v>1.7631772538068952E-10</v>
      </c>
      <c r="BS160" s="22">
        <f t="shared" si="169"/>
        <v>19.086844454546991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680.26830925838385</v>
      </c>
      <c r="S161" s="59">
        <f ca="1">AVERAGE(OFFSET($R$3,0,0,'Données projet'!$E$9+1,1))-AVERAGE(OFFSET($H$3,0,0,'Données projet'!$E$9+1,1))</f>
        <v>737.40414421611001</v>
      </c>
      <c r="T161" s="59">
        <f t="shared" si="142"/>
        <v>245.32893490531674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2.5579538487363607E-13</v>
      </c>
      <c r="AJ161" s="13">
        <f>AI161*VLOOKUP('Données projet'!$B$10,Paramètres!$A$1:$I$89,3,0)*VLOOKUP('Données projet'!$B$10,Paramètres!$A$1:$I$89,5,0)</f>
        <v>2.4341488824575211E-13</v>
      </c>
      <c r="AK161" s="13">
        <f t="shared" si="164"/>
        <v>3.2970717324875541E-12</v>
      </c>
      <c r="AL161" s="20">
        <f t="shared" si="165"/>
        <v>6.1663475311105072E-12</v>
      </c>
      <c r="AM161" s="59">
        <f t="shared" si="113"/>
        <v>287.56052422643813</v>
      </c>
      <c r="AN161" s="59">
        <f ca="1">AVERAGE(OFFSET($AM$3,0,0,'Données projet'!$E$10+1,1))-AVERAGE(OFFSET($H$3,0,0,'Données projet'!$E$10+1,1))</f>
        <v>486.36097333679697</v>
      </c>
      <c r="AO161" s="59">
        <f t="shared" si="144"/>
        <v>308.47736602748159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68.238257235027589</v>
      </c>
      <c r="AV161" s="21">
        <f>EXP(-LN(2)/25)*AV160+(1-EXP(-LN(2)/25))/(LN(2)/25)*Calculateur!AQ161*Calculateur!AS161*VLOOKUP('Données projet'!$B$10,Paramètres!$A$1:$I$89,3,0)*0.475*44/12</f>
        <v>11.391311291094858</v>
      </c>
      <c r="AW161" s="21">
        <f>EXP(-LN(2)/2)*AW160+(1-EXP(-LN(2)/2))/(LN(2)/2)*AQ161*AT161*VLOOKUP('Données projet'!$B$10,Paramètres!$A$1:$I$89,3,0)*0.475*44/12</f>
        <v>4.3709985191940382E-4</v>
      </c>
      <c r="AX161" s="21">
        <f t="shared" si="166"/>
        <v>79.630005625974377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408.246209980743</v>
      </c>
      <c r="BJ161" s="59">
        <f t="shared" si="146"/>
        <v>394.10236303013903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12.178806332356796</v>
      </c>
      <c r="BQ161" s="21">
        <f>EXP(-LN(2)/25)*BQ160+(1-EXP(-LN(2)/25))/(LN(2)/25)*Calculateur!BL161*Calculateur!BN161*VLOOKUP('Données projet'!$B$11,Paramètres!$A$1:$I$89,3,0)*0.475*44/12</f>
        <v>6.4822028667912228</v>
      </c>
      <c r="BR161" s="21">
        <f>EXP(-LN(2)/2)*BR160+(1-EXP(-LN(2)/2))/(LN(2)/2)*BL161*BO161*VLOOKUP('Données projet'!$B$11,Paramètres!$A$1:$I$89,3,0)*0.475*44/12</f>
        <v>1.24675459260073E-10</v>
      </c>
      <c r="BS161" s="22">
        <f t="shared" si="169"/>
        <v>18.661009199272694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684.99130105813344</v>
      </c>
      <c r="S162" s="59">
        <f ca="1">AVERAGE(OFFSET($R$3,0,0,'Données projet'!$E$9+1,1))-AVERAGE(OFFSET($H$3,0,0,'Données projet'!$E$9+1,1))</f>
        <v>737.40414421611001</v>
      </c>
      <c r="T162" s="59">
        <f t="shared" si="142"/>
        <v>245.32893490531674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2.5579538487363607E-13</v>
      </c>
      <c r="AJ162" s="13">
        <f>AI162*VLOOKUP('Données projet'!$B$10,Paramètres!$A$1:$I$89,3,0)*VLOOKUP('Données projet'!$B$10,Paramètres!$A$1:$I$89,5,0)</f>
        <v>2.4341488824575211E-13</v>
      </c>
      <c r="AK162" s="13">
        <f t="shared" si="164"/>
        <v>3.2970717324875541E-12</v>
      </c>
      <c r="AL162" s="20">
        <f t="shared" si="165"/>
        <v>6.1663475311105072E-12</v>
      </c>
      <c r="AM162" s="59">
        <f t="shared" si="113"/>
        <v>287.6606695583751</v>
      </c>
      <c r="AN162" s="59">
        <f ca="1">AVERAGE(OFFSET($AM$3,0,0,'Données projet'!$E$10+1,1))-AVERAGE(OFFSET($H$3,0,0,'Données projet'!$E$10+1,1))</f>
        <v>486.36097333679697</v>
      </c>
      <c r="AO162" s="59">
        <f t="shared" si="144"/>
        <v>308.47736602748159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66.900146631875856</v>
      </c>
      <c r="AV162" s="21">
        <f>EXP(-LN(2)/25)*AV161+(1-EXP(-LN(2)/25))/(LN(2)/25)*Calculateur!AQ162*Calculateur!AS162*VLOOKUP('Données projet'!$B$10,Paramètres!$A$1:$I$89,3,0)*0.475*44/12</f>
        <v>11.079815284796844</v>
      </c>
      <c r="AW162" s="21">
        <f>EXP(-LN(2)/2)*AW161+(1-EXP(-LN(2)/2))/(LN(2)/2)*AQ162*AT162*VLOOKUP('Données projet'!$B$10,Paramètres!$A$1:$I$89,3,0)*0.475*44/12</f>
        <v>3.090762693478462E-4</v>
      </c>
      <c r="AX162" s="21">
        <f t="shared" si="166"/>
        <v>77.980270992942039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408.246209980743</v>
      </c>
      <c r="BJ162" s="59">
        <f t="shared" si="146"/>
        <v>394.10236303013903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11.939987368517654</v>
      </c>
      <c r="BQ162" s="21">
        <f>EXP(-LN(2)/25)*BQ161+(1-EXP(-LN(2)/25))/(LN(2)/25)*Calculateur!BL162*Calculateur!BN162*VLOOKUP('Données projet'!$B$11,Paramètres!$A$1:$I$89,3,0)*0.475*44/12</f>
        <v>6.3049466885145833</v>
      </c>
      <c r="BR162" s="21">
        <f>EXP(-LN(2)/2)*BR161+(1-EXP(-LN(2)/2))/(LN(2)/2)*BL162*BO162*VLOOKUP('Données projet'!$B$11,Paramètres!$A$1:$I$89,3,0)*0.475*44/12</f>
        <v>8.8158862690344762E-11</v>
      </c>
      <c r="BS162" s="22">
        <f t="shared" si="169"/>
        <v>18.2449340571204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287.75907759269711</v>
      </c>
      <c r="S163" s="59">
        <f ca="1">AVERAGE(OFFSET($R$3,0,0,'Données projet'!$E$9+1,1))-AVERAGE(OFFSET($H$3,0,0,'Données projet'!$E$9+1,1))</f>
        <v>737.40414421611001</v>
      </c>
      <c r="T163" s="59">
        <f t="shared" si="142"/>
        <v>245.32893490531674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2.5579538487363607E-13</v>
      </c>
      <c r="AJ163" s="13">
        <f>AI163*VLOOKUP('Données projet'!$B$10,Paramètres!$A$1:$I$89,3,0)*VLOOKUP('Données projet'!$B$10,Paramètres!$A$1:$I$89,5,0)</f>
        <v>2.4341488824575211E-13</v>
      </c>
      <c r="AK163" s="13">
        <f t="shared" si="164"/>
        <v>3.2970717324875541E-12</v>
      </c>
      <c r="AL163" s="20">
        <f t="shared" si="165"/>
        <v>6.1663475311105072E-12</v>
      </c>
      <c r="AM163" s="59">
        <f t="shared" si="113"/>
        <v>287.7590775926945</v>
      </c>
      <c r="AN163" s="59">
        <f ca="1">AVERAGE(OFFSET($AM$3,0,0,'Données projet'!$E$10+1,1))-AVERAGE(OFFSET($H$3,0,0,'Données projet'!$E$10+1,1))</f>
        <v>486.36097333679697</v>
      </c>
      <c r="AO163" s="59">
        <f t="shared" si="144"/>
        <v>308.47736602748159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65.588275561485048</v>
      </c>
      <c r="AV163" s="21">
        <f>EXP(-LN(2)/25)*AV162+(1-EXP(-LN(2)/25))/(LN(2)/25)*Calculateur!AQ163*Calculateur!AS163*VLOOKUP('Données projet'!$B$10,Paramètres!$A$1:$I$89,3,0)*0.475*44/12</f>
        <v>10.776837153171911</v>
      </c>
      <c r="AW163" s="21">
        <f>EXP(-LN(2)/2)*AW162+(1-EXP(-LN(2)/2))/(LN(2)/2)*AQ163*AT163*VLOOKUP('Données projet'!$B$10,Paramètres!$A$1:$I$89,3,0)*0.475*44/12</f>
        <v>2.1854992595970191E-4</v>
      </c>
      <c r="AX163" s="21">
        <f t="shared" si="166"/>
        <v>76.36533126458292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408.246209980743</v>
      </c>
      <c r="BJ163" s="59">
        <f t="shared" si="146"/>
        <v>394.10236303013903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11.705851498894214</v>
      </c>
      <c r="BQ163" s="21">
        <f>EXP(-LN(2)/25)*BQ162+(1-EXP(-LN(2)/25))/(LN(2)/25)*Calculateur!BL163*Calculateur!BN163*VLOOKUP('Données projet'!$B$11,Paramètres!$A$1:$I$89,3,0)*0.475*44/12</f>
        <v>6.1325375897544161</v>
      </c>
      <c r="BR163" s="21">
        <f>EXP(-LN(2)/2)*BR162+(1-EXP(-LN(2)/2))/(LN(2)/2)*BL163*BO163*VLOOKUP('Données projet'!$B$11,Paramètres!$A$1:$I$89,3,0)*0.475*44/12</f>
        <v>6.2337729630036501E-11</v>
      </c>
      <c r="BS163" s="22">
        <f t="shared" si="169"/>
        <v>17.838389088710969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287.85577846762845</v>
      </c>
      <c r="S164" s="59">
        <f ca="1">AVERAGE(OFFSET($R$3,0,0,'Données projet'!$E$9+1,1))-AVERAGE(OFFSET($H$3,0,0,'Données projet'!$E$9+1,1))</f>
        <v>737.40414421611001</v>
      </c>
      <c r="T164" s="59">
        <f t="shared" si="142"/>
        <v>245.32893490531674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2.5579538487363607E-13</v>
      </c>
      <c r="AJ164" s="13">
        <f>AI164*VLOOKUP('Données projet'!$B$10,Paramètres!$A$1:$I$89,3,0)*VLOOKUP('Données projet'!$B$10,Paramètres!$A$1:$I$89,5,0)</f>
        <v>2.4341488824575211E-13</v>
      </c>
      <c r="AK164" s="13">
        <f t="shared" si="164"/>
        <v>3.2970717324875541E-12</v>
      </c>
      <c r="AL164" s="20">
        <f t="shared" si="165"/>
        <v>6.1663475311105072E-12</v>
      </c>
      <c r="AM164" s="59">
        <f t="shared" si="113"/>
        <v>287.85577846762584</v>
      </c>
      <c r="AN164" s="59">
        <f ca="1">AVERAGE(OFFSET($AM$3,0,0,'Données projet'!$E$10+1,1))-AVERAGE(OFFSET($H$3,0,0,'Données projet'!$E$10+1,1))</f>
        <v>486.36097333679697</v>
      </c>
      <c r="AO164" s="59">
        <f t="shared" si="144"/>
        <v>308.47736602748159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64.302129482622263</v>
      </c>
      <c r="AV164" s="21">
        <f>EXP(-LN(2)/25)*AV163+(1-EXP(-LN(2)/25))/(LN(2)/25)*Calculateur!AQ164*Calculateur!AS164*VLOOKUP('Données projet'!$B$10,Paramètres!$A$1:$I$89,3,0)*0.475*44/12</f>
        <v>10.48214397448919</v>
      </c>
      <c r="AW164" s="21">
        <f>EXP(-LN(2)/2)*AW163+(1-EXP(-LN(2)/2))/(LN(2)/2)*AQ164*AT164*VLOOKUP('Données projet'!$B$10,Paramètres!$A$1:$I$89,3,0)*0.475*44/12</f>
        <v>1.545381346739231E-4</v>
      </c>
      <c r="AX164" s="21">
        <f t="shared" si="166"/>
        <v>74.784427995246133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408.246209980743</v>
      </c>
      <c r="BJ164" s="59">
        <f t="shared" si="146"/>
        <v>394.10236303013903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11.47630689086531</v>
      </c>
      <c r="BQ164" s="21">
        <f>EXP(-LN(2)/25)*BQ163+(1-EXP(-LN(2)/25))/(LN(2)/25)*Calculateur!BL164*Calculateur!BN164*VLOOKUP('Données projet'!$B$11,Paramètres!$A$1:$I$89,3,0)*0.475*44/12</f>
        <v>5.9648430268664461</v>
      </c>
      <c r="BR164" s="21">
        <f>EXP(-LN(2)/2)*BR163+(1-EXP(-LN(2)/2))/(LN(2)/2)*BL164*BO164*VLOOKUP('Données projet'!$B$11,Paramètres!$A$1:$I$89,3,0)*0.475*44/12</f>
        <v>4.4079431345172381E-11</v>
      </c>
      <c r="BS164" s="22">
        <f t="shared" si="169"/>
        <v>17.441149917775835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287.95080179857047</v>
      </c>
      <c r="S165" s="59">
        <f ca="1">AVERAGE(OFFSET($R$3,0,0,'Données projet'!$E$9+1,1))-AVERAGE(OFFSET($H$3,0,0,'Données projet'!$E$9+1,1))</f>
        <v>737.40414421611001</v>
      </c>
      <c r="T165" s="59">
        <f t="shared" si="142"/>
        <v>245.32893490531674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2.5579538487363607E-13</v>
      </c>
      <c r="AJ165" s="13">
        <f>AI165*VLOOKUP('Données projet'!$B$10,Paramètres!$A$1:$I$89,3,0)*VLOOKUP('Données projet'!$B$10,Paramètres!$A$1:$I$89,5,0)</f>
        <v>2.4341488824575211E-13</v>
      </c>
      <c r="AK165" s="13">
        <f t="shared" si="164"/>
        <v>3.2970717324875541E-12</v>
      </c>
      <c r="AL165" s="20">
        <f t="shared" si="165"/>
        <v>6.1663475311105072E-12</v>
      </c>
      <c r="AM165" s="59">
        <f t="shared" si="113"/>
        <v>287.95080179856785</v>
      </c>
      <c r="AN165" s="59">
        <f ca="1">AVERAGE(OFFSET($AM$3,0,0,'Données projet'!$E$10+1,1))-AVERAGE(OFFSET($H$3,0,0,'Données projet'!$E$10+1,1))</f>
        <v>486.36097333679697</v>
      </c>
      <c r="AO165" s="59">
        <f t="shared" si="144"/>
        <v>308.47736602748159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63.041203943894331</v>
      </c>
      <c r="AV165" s="21">
        <f>EXP(-LN(2)/25)*AV164+(1-EXP(-LN(2)/25))/(LN(2)/25)*Calculateur!AQ165*Calculateur!AS165*VLOOKUP('Données projet'!$B$10,Paramètres!$A$1:$I$89,3,0)*0.475*44/12</f>
        <v>10.19550919627479</v>
      </c>
      <c r="AW165" s="21">
        <f>EXP(-LN(2)/2)*AW164+(1-EXP(-LN(2)/2))/(LN(2)/2)*AQ165*AT165*VLOOKUP('Données projet'!$B$10,Paramètres!$A$1:$I$89,3,0)*0.475*44/12</f>
        <v>1.0927496297985096E-4</v>
      </c>
      <c r="AX165" s="21">
        <f t="shared" si="166"/>
        <v>73.236822415132096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408.246209980743</v>
      </c>
      <c r="BJ165" s="59">
        <f t="shared" si="146"/>
        <v>394.10236303013903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11.251263512591466</v>
      </c>
      <c r="BQ165" s="21">
        <f>EXP(-LN(2)/25)*BQ164+(1-EXP(-LN(2)/25))/(LN(2)/25)*Calculateur!BL165*Calculateur!BN165*VLOOKUP('Données projet'!$B$11,Paramètres!$A$1:$I$89,3,0)*0.475*44/12</f>
        <v>5.8017340806193207</v>
      </c>
      <c r="BR165" s="21">
        <f>EXP(-LN(2)/2)*BR164+(1-EXP(-LN(2)/2))/(LN(2)/2)*BL165*BO165*VLOOKUP('Données projet'!$B$11,Paramètres!$A$1:$I$89,3,0)*0.475*44/12</f>
        <v>3.116886481501825E-11</v>
      </c>
      <c r="BS165" s="22">
        <f t="shared" si="169"/>
        <v>17.052997593241955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288.04417668716098</v>
      </c>
      <c r="S166" s="59">
        <f ca="1">AVERAGE(OFFSET($R$3,0,0,'Données projet'!$E$9+1,1))-AVERAGE(OFFSET($H$3,0,0,'Données projet'!$E$9+1,1))</f>
        <v>737.40414421611001</v>
      </c>
      <c r="T166" s="59">
        <f t="shared" si="142"/>
        <v>245.32893490531674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2.5579538487363607E-13</v>
      </c>
      <c r="AJ166" s="13">
        <f>AI166*VLOOKUP('Données projet'!$B$10,Paramètres!$A$1:$I$89,3,0)*VLOOKUP('Données projet'!$B$10,Paramètres!$A$1:$I$89,5,0)</f>
        <v>2.4341488824575211E-13</v>
      </c>
      <c r="AK166" s="13">
        <f t="shared" si="164"/>
        <v>3.2970717324875541E-12</v>
      </c>
      <c r="AL166" s="20">
        <f t="shared" si="165"/>
        <v>6.1663475311105072E-12</v>
      </c>
      <c r="AM166" s="59">
        <f t="shared" si="113"/>
        <v>288.04417668715837</v>
      </c>
      <c r="AN166" s="59">
        <f ca="1">AVERAGE(OFFSET($AM$3,0,0,'Données projet'!$E$10+1,1))-AVERAGE(OFFSET($H$3,0,0,'Données projet'!$E$10+1,1))</f>
        <v>486.36097333679697</v>
      </c>
      <c r="AO166" s="59">
        <f t="shared" si="144"/>
        <v>308.47736602748159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61.805004385892218</v>
      </c>
      <c r="AV166" s="21">
        <f>EXP(-LN(2)/25)*AV165+(1-EXP(-LN(2)/25))/(LN(2)/25)*Calculateur!AQ166*Calculateur!AS166*VLOOKUP('Données projet'!$B$10,Paramètres!$A$1:$I$89,3,0)*0.475*44/12</f>
        <v>9.9167124611441295</v>
      </c>
      <c r="AW166" s="21">
        <f>EXP(-LN(2)/2)*AW165+(1-EXP(-LN(2)/2))/(LN(2)/2)*AQ166*AT166*VLOOKUP('Données projet'!$B$10,Paramètres!$A$1:$I$89,3,0)*0.475*44/12</f>
        <v>7.726906733696155E-5</v>
      </c>
      <c r="AX166" s="21">
        <f t="shared" si="166"/>
        <v>71.72179411610368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408.246209980743</v>
      </c>
      <c r="BJ166" s="59">
        <f t="shared" si="146"/>
        <v>394.10236303013903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11.030633097702665</v>
      </c>
      <c r="BQ166" s="21">
        <f>EXP(-LN(2)/25)*BQ165+(1-EXP(-LN(2)/25))/(LN(2)/25)*Calculateur!BL166*Calculateur!BN166*VLOOKUP('Données projet'!$B$11,Paramètres!$A$1:$I$89,3,0)*0.475*44/12</f>
        <v>5.6430853570848498</v>
      </c>
      <c r="BR166" s="21">
        <f>EXP(-LN(2)/2)*BR165+(1-EXP(-LN(2)/2))/(LN(2)/2)*BL166*BO166*VLOOKUP('Données projet'!$B$11,Paramètres!$A$1:$I$89,3,0)*0.475*44/12</f>
        <v>2.203971567258619E-11</v>
      </c>
      <c r="BS166" s="22">
        <f t="shared" si="169"/>
        <v>16.673718454809556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288.13593173018944</v>
      </c>
      <c r="S167" s="59">
        <f ca="1">AVERAGE(OFFSET($R$3,0,0,'Données projet'!$E$9+1,1))-AVERAGE(OFFSET($H$3,0,0,'Données projet'!$E$9+1,1))</f>
        <v>737.40414421611001</v>
      </c>
      <c r="T167" s="59">
        <f t="shared" si="142"/>
        <v>245.32893490531674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2.5579538487363607E-13</v>
      </c>
      <c r="AJ167" s="13">
        <f>AI167*VLOOKUP('Données projet'!$B$10,Paramètres!$A$1:$I$89,3,0)*VLOOKUP('Données projet'!$B$10,Paramètres!$A$1:$I$89,5,0)</f>
        <v>2.4341488824575211E-13</v>
      </c>
      <c r="AK167" s="13">
        <f t="shared" si="164"/>
        <v>3.2970717324875541E-12</v>
      </c>
      <c r="AL167" s="20">
        <f t="shared" si="165"/>
        <v>6.1663475311105072E-12</v>
      </c>
      <c r="AM167" s="59">
        <f t="shared" si="113"/>
        <v>288.13593173018683</v>
      </c>
      <c r="AN167" s="59">
        <f ca="1">AVERAGE(OFFSET($AM$3,0,0,'Données projet'!$E$10+1,1))-AVERAGE(OFFSET($H$3,0,0,'Données projet'!$E$10+1,1))</f>
        <v>486.36097333679697</v>
      </c>
      <c r="AO167" s="59">
        <f t="shared" si="144"/>
        <v>308.47736602748159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60.593045947215245</v>
      </c>
      <c r="AV167" s="21">
        <f>EXP(-LN(2)/25)*AV166+(1-EXP(-LN(2)/25))/(LN(2)/25)*Calculateur!AQ167*Calculateur!AS167*VLOOKUP('Données projet'!$B$10,Paramètres!$A$1:$I$89,3,0)*0.475*44/12</f>
        <v>9.6455394373969003</v>
      </c>
      <c r="AW167" s="21">
        <f>EXP(-LN(2)/2)*AW166+(1-EXP(-LN(2)/2))/(LN(2)/2)*AQ167*AT167*VLOOKUP('Données projet'!$B$10,Paramètres!$A$1:$I$89,3,0)*0.475*44/12</f>
        <v>5.4637481489925478E-5</v>
      </c>
      <c r="AX167" s="21">
        <f t="shared" si="166"/>
        <v>70.238640022093634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408.246209980743</v>
      </c>
      <c r="BJ167" s="59">
        <f t="shared" si="146"/>
        <v>394.10236303013903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10.814329110678569</v>
      </c>
      <c r="BQ167" s="21">
        <f>EXP(-LN(2)/25)*BQ166+(1-EXP(-LN(2)/25))/(LN(2)/25)*Calculateur!BL167*Calculateur!BN167*VLOOKUP('Données projet'!$B$11,Paramètres!$A$1:$I$89,3,0)*0.475*44/12</f>
        <v>5.4887748912384033</v>
      </c>
      <c r="BR167" s="21">
        <f>EXP(-LN(2)/2)*BR166+(1-EXP(-LN(2)/2))/(LN(2)/2)*BL167*BO167*VLOOKUP('Données projet'!$B$11,Paramètres!$A$1:$I$89,3,0)*0.475*44/12</f>
        <v>1.5584432407509125E-11</v>
      </c>
      <c r="BS167" s="22">
        <f t="shared" si="169"/>
        <v>16.303104001932557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288.22609502835491</v>
      </c>
      <c r="S168" s="59">
        <f ca="1">AVERAGE(OFFSET($R$3,0,0,'Données projet'!$E$9+1,1))-AVERAGE(OFFSET($H$3,0,0,'Données projet'!$E$9+1,1))</f>
        <v>737.40414421611001</v>
      </c>
      <c r="T168" s="59">
        <f t="shared" si="142"/>
        <v>245.32893490531674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2.5579538487363607E-13</v>
      </c>
      <c r="AJ168" s="13">
        <f>AI168*VLOOKUP('Données projet'!$B$10,Paramètres!$A$1:$I$89,3,0)*VLOOKUP('Données projet'!$B$10,Paramètres!$A$1:$I$89,5,0)</f>
        <v>2.4341488824575211E-13</v>
      </c>
      <c r="AK168" s="13">
        <f t="shared" si="164"/>
        <v>3.2970717324875541E-12</v>
      </c>
      <c r="AL168" s="20">
        <f t="shared" si="165"/>
        <v>6.1663475311105072E-12</v>
      </c>
      <c r="AM168" s="59">
        <f t="shared" si="113"/>
        <v>288.22609502835229</v>
      </c>
      <c r="AN168" s="59">
        <f ca="1">AVERAGE(OFFSET($AM$3,0,0,'Données projet'!$E$10+1,1))-AVERAGE(OFFSET($H$3,0,0,'Données projet'!$E$10+1,1))</f>
        <v>486.36097333679697</v>
      </c>
      <c r="AO168" s="59">
        <f t="shared" si="144"/>
        <v>308.47736602748159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59.404853274299072</v>
      </c>
      <c r="AV168" s="21">
        <f>EXP(-LN(2)/25)*AV167+(1-EXP(-LN(2)/25))/(LN(2)/25)*Calculateur!AQ168*Calculateur!AS168*VLOOKUP('Données projet'!$B$10,Paramètres!$A$1:$I$89,3,0)*0.475*44/12</f>
        <v>9.3817816542444081</v>
      </c>
      <c r="AW168" s="21">
        <f>EXP(-LN(2)/2)*AW167+(1-EXP(-LN(2)/2))/(LN(2)/2)*AQ168*AT168*VLOOKUP('Données projet'!$B$10,Paramètres!$A$1:$I$89,3,0)*0.475*44/12</f>
        <v>3.8634533668480775E-5</v>
      </c>
      <c r="AX168" s="21">
        <f t="shared" si="166"/>
        <v>68.786673563077144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408.246209980743</v>
      </c>
      <c r="BJ168" s="59">
        <f t="shared" si="146"/>
        <v>394.10236303013903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10.60226671290761</v>
      </c>
      <c r="BQ168" s="21">
        <f>EXP(-LN(2)/25)*BQ167+(1-EXP(-LN(2)/25))/(LN(2)/25)*Calculateur!BL168*Calculateur!BN168*VLOOKUP('Données projet'!$B$11,Paramètres!$A$1:$I$89,3,0)*0.475*44/12</f>
        <v>5.3386840531953625</v>
      </c>
      <c r="BR168" s="21">
        <f>EXP(-LN(2)/2)*BR167+(1-EXP(-LN(2)/2))/(LN(2)/2)*BL168*BO168*VLOOKUP('Données projet'!$B$11,Paramètres!$A$1:$I$89,3,0)*0.475*44/12</f>
        <v>1.1019857836293095E-11</v>
      </c>
      <c r="BS168" s="22">
        <f t="shared" si="169"/>
        <v>15.940950766113993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288.31469419487217</v>
      </c>
      <c r="S169" s="59">
        <f ca="1">AVERAGE(OFFSET($R$3,0,0,'Données projet'!$E$9+1,1))-AVERAGE(OFFSET($H$3,0,0,'Données projet'!$E$9+1,1))</f>
        <v>737.40414421611001</v>
      </c>
      <c r="T169" s="59">
        <f t="shared" si="142"/>
        <v>245.32893490531674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2.5579538487363607E-13</v>
      </c>
      <c r="AJ169" s="13">
        <f>AI169*VLOOKUP('Données projet'!$B$10,Paramètres!$A$1:$I$89,3,0)*VLOOKUP('Données projet'!$B$10,Paramètres!$A$1:$I$89,5,0)</f>
        <v>2.4341488824575211E-13</v>
      </c>
      <c r="AK169" s="13">
        <f t="shared" si="164"/>
        <v>3.2970717324875541E-12</v>
      </c>
      <c r="AL169" s="20">
        <f t="shared" si="165"/>
        <v>6.1663475311105072E-12</v>
      </c>
      <c r="AM169" s="59">
        <f t="shared" si="113"/>
        <v>288.31469419486956</v>
      </c>
      <c r="AN169" s="59">
        <f ca="1">AVERAGE(OFFSET($AM$3,0,0,'Données projet'!$E$10+1,1))-AVERAGE(OFFSET($H$3,0,0,'Données projet'!$E$10+1,1))</f>
        <v>486.36097333679697</v>
      </c>
      <c r="AO169" s="59">
        <f t="shared" si="144"/>
        <v>308.47736602748159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58.239960334972814</v>
      </c>
      <c r="AV169" s="21">
        <f>EXP(-LN(2)/25)*AV168+(1-EXP(-LN(2)/25))/(LN(2)/25)*Calculateur!AQ169*Calculateur!AS169*VLOOKUP('Données projet'!$B$10,Paramètres!$A$1:$I$89,3,0)*0.475*44/12</f>
        <v>9.1252363415426405</v>
      </c>
      <c r="AW169" s="21">
        <f>EXP(-LN(2)/2)*AW168+(1-EXP(-LN(2)/2))/(LN(2)/2)*AQ169*AT169*VLOOKUP('Données projet'!$B$10,Paramètres!$A$1:$I$89,3,0)*0.475*44/12</f>
        <v>2.7318740744962739E-5</v>
      </c>
      <c r="AX169" s="21">
        <f t="shared" si="166"/>
        <v>67.365223995256201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408.246209980743</v>
      </c>
      <c r="BJ169" s="59">
        <f t="shared" si="146"/>
        <v>394.10236303013903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10.394362729411649</v>
      </c>
      <c r="BQ169" s="21">
        <f>EXP(-LN(2)/25)*BQ168+(1-EXP(-LN(2)/25))/(LN(2)/25)*Calculateur!BL169*Calculateur!BN169*VLOOKUP('Données projet'!$B$11,Paramètres!$A$1:$I$89,3,0)*0.475*44/12</f>
        <v>5.1926974570115423</v>
      </c>
      <c r="BR169" s="21">
        <f>EXP(-LN(2)/2)*BR168+(1-EXP(-LN(2)/2))/(LN(2)/2)*BL169*BO169*VLOOKUP('Données projet'!$B$11,Paramètres!$A$1:$I$89,3,0)*0.475*44/12</f>
        <v>7.7922162037545626E-12</v>
      </c>
      <c r="BS169" s="22">
        <f t="shared" si="169"/>
        <v>15.587060186430984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288.40175636392837</v>
      </c>
      <c r="S170" s="59">
        <f ca="1">AVERAGE(OFFSET($R$3,0,0,'Données projet'!$E$9+1,1))-AVERAGE(OFFSET($H$3,0,0,'Données projet'!$E$9+1,1))</f>
        <v>737.40414421611001</v>
      </c>
      <c r="T170" s="59">
        <f t="shared" si="142"/>
        <v>245.32893490531674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2.5579538487363607E-13</v>
      </c>
      <c r="AJ170" s="13">
        <f>AI170*VLOOKUP('Données projet'!$B$10,Paramètres!$A$1:$I$89,3,0)*VLOOKUP('Données projet'!$B$10,Paramètres!$A$1:$I$89,5,0)</f>
        <v>2.4341488824575211E-13</v>
      </c>
      <c r="AK170" s="13">
        <f t="shared" si="164"/>
        <v>3.2970717324875541E-12</v>
      </c>
      <c r="AL170" s="20">
        <f t="shared" si="165"/>
        <v>6.1663475311105072E-12</v>
      </c>
      <c r="AM170" s="59">
        <f t="shared" si="113"/>
        <v>288.40175636392576</v>
      </c>
      <c r="AN170" s="59">
        <f ca="1">AVERAGE(OFFSET($AM$3,0,0,'Données projet'!$E$10+1,1))-AVERAGE(OFFSET($H$3,0,0,'Données projet'!$E$10+1,1))</f>
        <v>486.36097333679697</v>
      </c>
      <c r="AO170" s="59">
        <f t="shared" si="144"/>
        <v>308.47736602748159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57.097910235672209</v>
      </c>
      <c r="AV170" s="21">
        <f>EXP(-LN(2)/25)*AV169+(1-EXP(-LN(2)/25))/(LN(2)/25)*Calculateur!AQ170*Calculateur!AS170*VLOOKUP('Données projet'!$B$10,Paramètres!$A$1:$I$89,3,0)*0.475*44/12</f>
        <v>8.8757062739078343</v>
      </c>
      <c r="AW170" s="21">
        <f>EXP(-LN(2)/2)*AW169+(1-EXP(-LN(2)/2))/(LN(2)/2)*AQ170*AT170*VLOOKUP('Données projet'!$B$10,Paramètres!$A$1:$I$89,3,0)*0.475*44/12</f>
        <v>1.9317266834240387E-5</v>
      </c>
      <c r="AX170" s="21">
        <f t="shared" si="166"/>
        <v>65.973635826846873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408.246209980743</v>
      </c>
      <c r="BJ170" s="59">
        <f t="shared" si="146"/>
        <v>394.10236303013903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10.190535616223135</v>
      </c>
      <c r="BQ170" s="21">
        <f>EXP(-LN(2)/25)*BQ169+(1-EXP(-LN(2)/25))/(LN(2)/25)*Calculateur!BL170*Calculateur!BN170*VLOOKUP('Données projet'!$B$11,Paramètres!$A$1:$I$89,3,0)*0.475*44/12</f>
        <v>5.05070287197747</v>
      </c>
      <c r="BR170" s="21">
        <f>EXP(-LN(2)/2)*BR169+(1-EXP(-LN(2)/2))/(LN(2)/2)*BL170*BO170*VLOOKUP('Données projet'!$B$11,Paramètres!$A$1:$I$89,3,0)*0.475*44/12</f>
        <v>5.5099289181465476E-12</v>
      </c>
      <c r="BS170" s="22">
        <f t="shared" si="169"/>
        <v>15.241238488206115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288.48730819899328</v>
      </c>
      <c r="S171" s="59">
        <f ca="1">AVERAGE(OFFSET($R$3,0,0,'Données projet'!$E$9+1,1))-AVERAGE(OFFSET($H$3,0,0,'Données projet'!$E$9+1,1))</f>
        <v>737.40414421611001</v>
      </c>
      <c r="T171" s="59">
        <f t="shared" si="142"/>
        <v>245.32893490531674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2.5579538487363607E-13</v>
      </c>
      <c r="AJ171" s="13">
        <f>AI171*VLOOKUP('Données projet'!$B$10,Paramètres!$A$1:$I$89,3,0)*VLOOKUP('Données projet'!$B$10,Paramètres!$A$1:$I$89,5,0)</f>
        <v>2.4341488824575211E-13</v>
      </c>
      <c r="AK171" s="13">
        <f t="shared" si="164"/>
        <v>3.2970717324875541E-12</v>
      </c>
      <c r="AL171" s="20">
        <f t="shared" si="165"/>
        <v>6.1663475311105072E-12</v>
      </c>
      <c r="AM171" s="59">
        <f t="shared" si="113"/>
        <v>288.48730819899066</v>
      </c>
      <c r="AN171" s="59">
        <f ca="1">AVERAGE(OFFSET($AM$3,0,0,'Données projet'!$E$10+1,1))-AVERAGE(OFFSET($H$3,0,0,'Données projet'!$E$10+1,1))</f>
        <v>486.36097333679697</v>
      </c>
      <c r="AO171" s="59">
        <f t="shared" si="144"/>
        <v>308.47736602748159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55.978255042237109</v>
      </c>
      <c r="AV171" s="21">
        <f>EXP(-LN(2)/25)*AV170+(1-EXP(-LN(2)/25))/(LN(2)/25)*Calculateur!AQ171*Calculateur!AS171*VLOOKUP('Données projet'!$B$10,Paramètres!$A$1:$I$89,3,0)*0.475*44/12</f>
        <v>8.6329996190947167</v>
      </c>
      <c r="AW171" s="21">
        <f>EXP(-LN(2)/2)*AW170+(1-EXP(-LN(2)/2))/(LN(2)/2)*AQ171*AT171*VLOOKUP('Données projet'!$B$10,Paramètres!$A$1:$I$89,3,0)*0.475*44/12</f>
        <v>1.3659370372481369E-5</v>
      </c>
      <c r="AX171" s="21">
        <f t="shared" si="166"/>
        <v>64.611268320702195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408.246209980743</v>
      </c>
      <c r="BJ171" s="59">
        <f t="shared" si="146"/>
        <v>394.10236303013903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9.9907054284019843</v>
      </c>
      <c r="BQ171" s="21">
        <f>EXP(-LN(2)/25)*BQ170+(1-EXP(-LN(2)/25))/(LN(2)/25)*Calculateur!BL171*Calculateur!BN171*VLOOKUP('Données projet'!$B$11,Paramètres!$A$1:$I$89,3,0)*0.475*44/12</f>
        <v>4.9125911363383254</v>
      </c>
      <c r="BR171" s="21">
        <f>EXP(-LN(2)/2)*BR170+(1-EXP(-LN(2)/2))/(LN(2)/2)*BL171*BO171*VLOOKUP('Données projet'!$B$11,Paramètres!$A$1:$I$89,3,0)*0.475*44/12</f>
        <v>3.8961081018772813E-12</v>
      </c>
      <c r="BS171" s="22">
        <f t="shared" si="169"/>
        <v>14.903296564744204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288.57137590098517</v>
      </c>
      <c r="S172" s="59">
        <f ca="1">AVERAGE(OFFSET($R$3,0,0,'Données projet'!$E$9+1,1))-AVERAGE(OFFSET($H$3,0,0,'Données projet'!$E$9+1,1))</f>
        <v>737.40414421611001</v>
      </c>
      <c r="T172" s="59">
        <f t="shared" si="142"/>
        <v>245.32893490531674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2.5579538487363607E-13</v>
      </c>
      <c r="AJ172" s="13">
        <f>AI172*VLOOKUP('Données projet'!$B$10,Paramètres!$A$1:$I$89,3,0)*VLOOKUP('Données projet'!$B$10,Paramètres!$A$1:$I$89,5,0)</f>
        <v>2.4341488824575211E-13</v>
      </c>
      <c r="AK172" s="13">
        <f t="shared" si="164"/>
        <v>3.2970717324875541E-12</v>
      </c>
      <c r="AL172" s="20">
        <f t="shared" si="165"/>
        <v>6.1663475311105072E-12</v>
      </c>
      <c r="AM172" s="59">
        <f t="shared" si="113"/>
        <v>288.57137590098256</v>
      </c>
      <c r="AN172" s="59">
        <f ca="1">AVERAGE(OFFSET($AM$3,0,0,'Données projet'!$E$10+1,1))-AVERAGE(OFFSET($H$3,0,0,'Données projet'!$E$10+1,1))</f>
        <v>486.36097333679697</v>
      </c>
      <c r="AO172" s="59">
        <f t="shared" si="144"/>
        <v>308.47736602748159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54.880555604223041</v>
      </c>
      <c r="AV172" s="21">
        <f>EXP(-LN(2)/25)*AV171+(1-EXP(-LN(2)/25))/(LN(2)/25)*Calculateur!AQ172*Calculateur!AS172*VLOOKUP('Données projet'!$B$10,Paramètres!$A$1:$I$89,3,0)*0.475*44/12</f>
        <v>8.3969297905208524</v>
      </c>
      <c r="AW172" s="21">
        <f>EXP(-LN(2)/2)*AW171+(1-EXP(-LN(2)/2))/(LN(2)/2)*AQ172*AT172*VLOOKUP('Données projet'!$B$10,Paramètres!$A$1:$I$89,3,0)*0.475*44/12</f>
        <v>9.6586334171201937E-6</v>
      </c>
      <c r="AX172" s="21">
        <f t="shared" si="166"/>
        <v>63.277495053377308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408.246209980743</v>
      </c>
      <c r="BJ172" s="59">
        <f t="shared" si="146"/>
        <v>394.10236303013903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9.7947937886796268</v>
      </c>
      <c r="BQ172" s="21">
        <f>EXP(-LN(2)/25)*BQ171+(1-EXP(-LN(2)/25))/(LN(2)/25)*Calculateur!BL172*Calculateur!BN172*VLOOKUP('Données projet'!$B$11,Paramètres!$A$1:$I$89,3,0)*0.475*44/12</f>
        <v>4.778256073373214</v>
      </c>
      <c r="BR172" s="21">
        <f>EXP(-LN(2)/2)*BR171+(1-EXP(-LN(2)/2))/(LN(2)/2)*BL172*BO172*VLOOKUP('Données projet'!$B$11,Paramètres!$A$1:$I$89,3,0)*0.475*44/12</f>
        <v>2.7549644590732738E-12</v>
      </c>
      <c r="BS172" s="22">
        <f t="shared" si="169"/>
        <v>14.573049862055596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288.65398521629464</v>
      </c>
      <c r="S173" s="59">
        <f ca="1">AVERAGE(OFFSET($R$3,0,0,'Données projet'!$E$9+1,1))-AVERAGE(OFFSET($H$3,0,0,'Données projet'!$E$9+1,1))</f>
        <v>737.40414421611001</v>
      </c>
      <c r="T173" s="59">
        <f t="shared" si="142"/>
        <v>245.32893490531674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2.5579538487363607E-13</v>
      </c>
      <c r="AJ173" s="13">
        <f>AI173*VLOOKUP('Données projet'!$B$10,Paramètres!$A$1:$I$89,3,0)*VLOOKUP('Données projet'!$B$10,Paramètres!$A$1:$I$89,5,0)</f>
        <v>2.4341488824575211E-13</v>
      </c>
      <c r="AK173" s="13">
        <f t="shared" si="164"/>
        <v>3.2970717324875541E-12</v>
      </c>
      <c r="AL173" s="20">
        <f t="shared" si="165"/>
        <v>6.1663475311105072E-12</v>
      </c>
      <c r="AM173" s="59">
        <f t="shared" si="113"/>
        <v>288.65398521629203</v>
      </c>
      <c r="AN173" s="59">
        <f ca="1">AVERAGE(OFFSET($AM$3,0,0,'Données projet'!$E$10+1,1))-AVERAGE(OFFSET($H$3,0,0,'Données projet'!$E$10+1,1))</f>
        <v>486.36097333679697</v>
      </c>
      <c r="AO173" s="59">
        <f t="shared" si="144"/>
        <v>308.47736602748159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53.80438138265788</v>
      </c>
      <c r="AV173" s="21">
        <f>EXP(-LN(2)/25)*AV172+(1-EXP(-LN(2)/25))/(LN(2)/25)*Calculateur!AQ173*Calculateur!AS173*VLOOKUP('Données projet'!$B$10,Paramètres!$A$1:$I$89,3,0)*0.475*44/12</f>
        <v>8.1673153038237132</v>
      </c>
      <c r="AW173" s="21">
        <f>EXP(-LN(2)/2)*AW172+(1-EXP(-LN(2)/2))/(LN(2)/2)*AQ173*AT173*VLOOKUP('Données projet'!$B$10,Paramètres!$A$1:$I$89,3,0)*0.475*44/12</f>
        <v>6.8296851862406847E-6</v>
      </c>
      <c r="AX173" s="21">
        <f t="shared" si="166"/>
        <v>61.971703516166777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408.246209980743</v>
      </c>
      <c r="BJ173" s="59">
        <f t="shared" si="146"/>
        <v>394.10236303013903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9.6027238567179243</v>
      </c>
      <c r="BQ173" s="21">
        <f>EXP(-LN(2)/25)*BQ172+(1-EXP(-LN(2)/25))/(LN(2)/25)*Calculateur!BL173*Calculateur!BN173*VLOOKUP('Données projet'!$B$11,Paramètres!$A$1:$I$89,3,0)*0.475*44/12</f>
        <v>4.6475944097692574</v>
      </c>
      <c r="BR173" s="21">
        <f>EXP(-LN(2)/2)*BR172+(1-EXP(-LN(2)/2))/(LN(2)/2)*BL173*BO173*VLOOKUP('Données projet'!$B$11,Paramètres!$A$1:$I$89,3,0)*0.475*44/12</f>
        <v>1.9480540509386407E-12</v>
      </c>
      <c r="BS173" s="22">
        <f t="shared" si="169"/>
        <v>14.250318266489129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288.73516144467027</v>
      </c>
      <c r="S174" s="59">
        <f ca="1">AVERAGE(OFFSET($R$3,0,0,'Données projet'!$E$9+1,1))-AVERAGE(OFFSET($H$3,0,0,'Données projet'!$E$9+1,1))</f>
        <v>737.40414421611001</v>
      </c>
      <c r="T174" s="59">
        <f t="shared" si="142"/>
        <v>245.32893490531674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2.5579538487363607E-13</v>
      </c>
      <c r="AJ174" s="13">
        <f>AI174*VLOOKUP('Données projet'!$B$10,Paramètres!$A$1:$I$89,3,0)*VLOOKUP('Données projet'!$B$10,Paramètres!$A$1:$I$89,5,0)</f>
        <v>2.4341488824575211E-13</v>
      </c>
      <c r="AK174" s="13">
        <f t="shared" si="164"/>
        <v>3.2970717324875541E-12</v>
      </c>
      <c r="AL174" s="20">
        <f t="shared" si="165"/>
        <v>6.1663475311105072E-12</v>
      </c>
      <c r="AM174" s="59">
        <f t="shared" si="113"/>
        <v>288.73516144466765</v>
      </c>
      <c r="AN174" s="59">
        <f ca="1">AVERAGE(OFFSET($AM$3,0,0,'Données projet'!$E$10+1,1))-AVERAGE(OFFSET($H$3,0,0,'Données projet'!$E$10+1,1))</f>
        <v>486.36097333679697</v>
      </c>
      <c r="AO174" s="59">
        <f t="shared" si="144"/>
        <v>308.47736602748159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52.74931028117615</v>
      </c>
      <c r="AV174" s="21">
        <f>EXP(-LN(2)/25)*AV173+(1-EXP(-LN(2)/25))/(LN(2)/25)*Calculateur!AQ174*Calculateur!AS174*VLOOKUP('Données projet'!$B$10,Paramètres!$A$1:$I$89,3,0)*0.475*44/12</f>
        <v>7.9439796373402087</v>
      </c>
      <c r="AW174" s="21">
        <f>EXP(-LN(2)/2)*AW173+(1-EXP(-LN(2)/2))/(LN(2)/2)*AQ174*AT174*VLOOKUP('Données projet'!$B$10,Paramètres!$A$1:$I$89,3,0)*0.475*44/12</f>
        <v>4.8293167085600968E-6</v>
      </c>
      <c r="AX174" s="21">
        <f t="shared" si="166"/>
        <v>60.693294747833065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408.246209980743</v>
      </c>
      <c r="BJ174" s="59">
        <f t="shared" si="146"/>
        <v>394.10236303013903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9.4144202989708994</v>
      </c>
      <c r="BQ174" s="21">
        <f>EXP(-LN(2)/25)*BQ173+(1-EXP(-LN(2)/25))/(LN(2)/25)*Calculateur!BL174*Calculateur!BN174*VLOOKUP('Données projet'!$B$11,Paramètres!$A$1:$I$89,3,0)*0.475*44/12</f>
        <v>4.5205056962277492</v>
      </c>
      <c r="BR174" s="21">
        <f>EXP(-LN(2)/2)*BR173+(1-EXP(-LN(2)/2))/(LN(2)/2)*BL174*BO174*VLOOKUP('Données projet'!$B$11,Paramètres!$A$1:$I$89,3,0)*0.475*44/12</f>
        <v>1.3774822295366369E-12</v>
      </c>
      <c r="BS174" s="22">
        <f t="shared" si="169"/>
        <v>13.934925995200025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288.8149294469664</v>
      </c>
      <c r="S175" s="59">
        <f ca="1">AVERAGE(OFFSET($R$3,0,0,'Données projet'!$E$9+1,1))-AVERAGE(OFFSET($H$3,0,0,'Données projet'!$E$9+1,1))</f>
        <v>737.40414421611001</v>
      </c>
      <c r="T175" s="59">
        <f t="shared" si="142"/>
        <v>245.32893490531674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2.5579538487363607E-13</v>
      </c>
      <c r="AJ175" s="13">
        <f>AI175*VLOOKUP('Données projet'!$B$10,Paramètres!$A$1:$I$89,3,0)*VLOOKUP('Données projet'!$B$10,Paramètres!$A$1:$I$89,5,0)</f>
        <v>2.4341488824575211E-13</v>
      </c>
      <c r="AK175" s="13">
        <f t="shared" si="164"/>
        <v>3.2970717324875541E-12</v>
      </c>
      <c r="AL175" s="20">
        <f t="shared" si="165"/>
        <v>6.1663475311105072E-12</v>
      </c>
      <c r="AM175" s="59">
        <f t="shared" si="113"/>
        <v>288.81492944696379</v>
      </c>
      <c r="AN175" s="59">
        <f ca="1">AVERAGE(OFFSET($AM$3,0,0,'Données projet'!$E$10+1,1))-AVERAGE(OFFSET($H$3,0,0,'Données projet'!$E$10+1,1))</f>
        <v>486.36097333679697</v>
      </c>
      <c r="AO175" s="59">
        <f t="shared" si="144"/>
        <v>308.47736602748159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51.71492848046465</v>
      </c>
      <c r="AV175" s="21">
        <f>EXP(-LN(2)/25)*AV174+(1-EXP(-LN(2)/25))/(LN(2)/25)*Calculateur!AQ175*Calculateur!AS175*VLOOKUP('Données projet'!$B$10,Paramètres!$A$1:$I$89,3,0)*0.475*44/12</f>
        <v>7.7267510964014079</v>
      </c>
      <c r="AW175" s="21">
        <f>EXP(-LN(2)/2)*AW174+(1-EXP(-LN(2)/2))/(LN(2)/2)*AQ175*AT175*VLOOKUP('Données projet'!$B$10,Paramètres!$A$1:$I$89,3,0)*0.475*44/12</f>
        <v>3.4148425931203423E-6</v>
      </c>
      <c r="AX175" s="21">
        <f t="shared" si="166"/>
        <v>59.441682991708653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408.246209980743</v>
      </c>
      <c r="BJ175" s="59">
        <f t="shared" si="146"/>
        <v>394.10236303013903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9.2298092591374647</v>
      </c>
      <c r="BQ175" s="21">
        <f>EXP(-LN(2)/25)*BQ174+(1-EXP(-LN(2)/25))/(LN(2)/25)*Calculateur!BL175*Calculateur!BN175*VLOOKUP('Données projet'!$B$11,Paramètres!$A$1:$I$89,3,0)*0.475*44/12</f>
        <v>4.3968922302413382</v>
      </c>
      <c r="BR175" s="21">
        <f>EXP(-LN(2)/2)*BR174+(1-EXP(-LN(2)/2))/(LN(2)/2)*BL175*BO175*VLOOKUP('Données projet'!$B$11,Paramètres!$A$1:$I$89,3,0)*0.475*44/12</f>
        <v>9.7402702546932033E-13</v>
      </c>
      <c r="BS175" s="22">
        <f t="shared" si="169"/>
        <v>13.626701489379776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288.89331365275723</v>
      </c>
      <c r="S176" s="59">
        <f ca="1">AVERAGE(OFFSET($R$3,0,0,'Données projet'!$E$9+1,1))-AVERAGE(OFFSET($H$3,0,0,'Données projet'!$E$9+1,1))</f>
        <v>737.40414421611001</v>
      </c>
      <c r="T176" s="59">
        <f t="shared" si="142"/>
        <v>245.32893490531674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2.5579538487363607E-13</v>
      </c>
      <c r="AJ176" s="13">
        <f>AI176*VLOOKUP('Données projet'!$B$10,Paramètres!$A$1:$I$89,3,0)*VLOOKUP('Données projet'!$B$10,Paramètres!$A$1:$I$89,5,0)</f>
        <v>2.4341488824575211E-13</v>
      </c>
      <c r="AK176" s="13">
        <f t="shared" si="164"/>
        <v>3.2970717324875541E-12</v>
      </c>
      <c r="AL176" s="20">
        <f t="shared" si="165"/>
        <v>6.1663475311105072E-12</v>
      </c>
      <c r="AM176" s="59">
        <f t="shared" si="113"/>
        <v>288.89331365275461</v>
      </c>
      <c r="AN176" s="59">
        <f ca="1">AVERAGE(OFFSET($AM$3,0,0,'Données projet'!$E$10+1,1))-AVERAGE(OFFSET($H$3,0,0,'Données projet'!$E$10+1,1))</f>
        <v>486.36097333679697</v>
      </c>
      <c r="AO176" s="59">
        <f t="shared" si="144"/>
        <v>308.47736602748159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50.700830275954502</v>
      </c>
      <c r="AV176" s="21">
        <f>EXP(-LN(2)/25)*AV175+(1-EXP(-LN(2)/25))/(LN(2)/25)*Calculateur!AQ176*Calculateur!AS176*VLOOKUP('Données projet'!$B$10,Paramètres!$A$1:$I$89,3,0)*0.475*44/12</f>
        <v>7.5154626813381311</v>
      </c>
      <c r="AW176" s="21">
        <f>EXP(-LN(2)/2)*AW175+(1-EXP(-LN(2)/2))/(LN(2)/2)*AQ176*AT176*VLOOKUP('Données projet'!$B$10,Paramètres!$A$1:$I$89,3,0)*0.475*44/12</f>
        <v>2.4146583542800484E-6</v>
      </c>
      <c r="AX176" s="21">
        <f t="shared" si="166"/>
        <v>58.216295371950984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408.246209980743</v>
      </c>
      <c r="BJ176" s="59">
        <f t="shared" si="146"/>
        <v>394.10236303013903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9.0488183291935478</v>
      </c>
      <c r="BQ176" s="21">
        <f>EXP(-LN(2)/25)*BQ175+(1-EXP(-LN(2)/25))/(LN(2)/25)*Calculateur!BL176*Calculateur!BN176*VLOOKUP('Données projet'!$B$11,Paramètres!$A$1:$I$89,3,0)*0.475*44/12</f>
        <v>4.2766589809828757</v>
      </c>
      <c r="BR176" s="21">
        <f>EXP(-LN(2)/2)*BR175+(1-EXP(-LN(2)/2))/(LN(2)/2)*BL176*BO176*VLOOKUP('Données projet'!$B$11,Paramètres!$A$1:$I$89,3,0)*0.475*44/12</f>
        <v>6.8874111476831845E-13</v>
      </c>
      <c r="BS176" s="22">
        <f t="shared" si="169"/>
        <v>13.325477310177114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288.97033806781849</v>
      </c>
      <c r="S177" s="59">
        <f ca="1">AVERAGE(OFFSET($R$3,0,0,'Données projet'!$E$9+1,1))-AVERAGE(OFFSET($H$3,0,0,'Données projet'!$E$9+1,1))</f>
        <v>737.40414421611001</v>
      </c>
      <c r="T177" s="59">
        <f t="shared" si="142"/>
        <v>245.32893490531674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2.5579538487363607E-13</v>
      </c>
      <c r="AJ177" s="13">
        <f>AI177*VLOOKUP('Données projet'!$B$10,Paramètres!$A$1:$I$89,3,0)*VLOOKUP('Données projet'!$B$10,Paramètres!$A$1:$I$89,5,0)</f>
        <v>2.4341488824575211E-13</v>
      </c>
      <c r="AK177" s="13">
        <f t="shared" si="164"/>
        <v>3.2970717324875541E-12</v>
      </c>
      <c r="AL177" s="20">
        <f t="shared" si="165"/>
        <v>6.1663475311105072E-12</v>
      </c>
      <c r="AM177" s="59">
        <f t="shared" si="113"/>
        <v>288.97033806781587</v>
      </c>
      <c r="AN177" s="59">
        <f ca="1">AVERAGE(OFFSET($AM$3,0,0,'Données projet'!$E$10+1,1))-AVERAGE(OFFSET($H$3,0,0,'Données projet'!$E$10+1,1))</f>
        <v>486.36097333679697</v>
      </c>
      <c r="AO177" s="59">
        <f t="shared" si="144"/>
        <v>308.47736602748159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49.706617918695969</v>
      </c>
      <c r="AV177" s="21">
        <f>EXP(-LN(2)/25)*AV176+(1-EXP(-LN(2)/25))/(LN(2)/25)*Calculateur!AQ177*Calculateur!AS177*VLOOKUP('Données projet'!$B$10,Paramètres!$A$1:$I$89,3,0)*0.475*44/12</f>
        <v>7.3099519590959341</v>
      </c>
      <c r="AW177" s="21">
        <f>EXP(-LN(2)/2)*AW176+(1-EXP(-LN(2)/2))/(LN(2)/2)*AQ177*AT177*VLOOKUP('Données projet'!$B$10,Paramètres!$A$1:$I$89,3,0)*0.475*44/12</f>
        <v>1.7074212965601712E-6</v>
      </c>
      <c r="AX177" s="21">
        <f t="shared" si="166"/>
        <v>57.0165715852132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408.246209980743</v>
      </c>
      <c r="BJ177" s="59">
        <f t="shared" si="146"/>
        <v>394.10236303013903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8.8713765209922641</v>
      </c>
      <c r="BQ177" s="21">
        <f>EXP(-LN(2)/25)*BQ176+(1-EXP(-LN(2)/25))/(LN(2)/25)*Calculateur!BL177*Calculateur!BN177*VLOOKUP('Données projet'!$B$11,Paramètres!$A$1:$I$89,3,0)*0.475*44/12</f>
        <v>4.1597135162481775</v>
      </c>
      <c r="BR177" s="21">
        <f>EXP(-LN(2)/2)*BR176+(1-EXP(-LN(2)/2))/(LN(2)/2)*BL177*BO177*VLOOKUP('Données projet'!$B$11,Paramètres!$A$1:$I$89,3,0)*0.475*44/12</f>
        <v>4.8701351273466016E-13</v>
      </c>
      <c r="BS177" s="22">
        <f t="shared" si="169"/>
        <v>13.031090037240929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289.04602628147916</v>
      </c>
      <c r="S178" s="59">
        <f ca="1">AVERAGE(OFFSET($R$3,0,0,'Données projet'!$E$9+1,1))-AVERAGE(OFFSET($H$3,0,0,'Données projet'!$E$9+1,1))</f>
        <v>737.40414421611001</v>
      </c>
      <c r="T178" s="59">
        <f t="shared" si="142"/>
        <v>245.32893490531674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2.5579538487363607E-13</v>
      </c>
      <c r="AJ178" s="13">
        <f>AI178*VLOOKUP('Données projet'!$B$10,Paramètres!$A$1:$I$89,3,0)*VLOOKUP('Données projet'!$B$10,Paramètres!$A$1:$I$89,5,0)</f>
        <v>2.4341488824575211E-13</v>
      </c>
      <c r="AK178" s="13">
        <f t="shared" si="164"/>
        <v>3.2970717324875541E-12</v>
      </c>
      <c r="AL178" s="20">
        <f t="shared" si="165"/>
        <v>6.1663475311105072E-12</v>
      </c>
      <c r="AM178" s="59">
        <f t="shared" si="113"/>
        <v>289.04602628147654</v>
      </c>
      <c r="AN178" s="59">
        <f ca="1">AVERAGE(OFFSET($AM$3,0,0,'Données projet'!$E$10+1,1))-AVERAGE(OFFSET($H$3,0,0,'Données projet'!$E$10+1,1))</f>
        <v>486.36097333679697</v>
      </c>
      <c r="AO178" s="59">
        <f t="shared" si="144"/>
        <v>308.47736602748159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48.731901459353615</v>
      </c>
      <c r="AV178" s="21">
        <f>EXP(-LN(2)/25)*AV177+(1-EXP(-LN(2)/25))/(LN(2)/25)*Calculateur!AQ178*Calculateur!AS178*VLOOKUP('Données projet'!$B$10,Paramètres!$A$1:$I$89,3,0)*0.475*44/12</f>
        <v>7.1100609383607898</v>
      </c>
      <c r="AW178" s="21">
        <f>EXP(-LN(2)/2)*AW177+(1-EXP(-LN(2)/2))/(LN(2)/2)*AQ178*AT178*VLOOKUP('Données projet'!$B$10,Paramètres!$A$1:$I$89,3,0)*0.475*44/12</f>
        <v>1.2073291771400242E-6</v>
      </c>
      <c r="AX178" s="21">
        <f t="shared" si="166"/>
        <v>55.841963605043581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408.246209980743</v>
      </c>
      <c r="BJ178" s="59">
        <f t="shared" si="146"/>
        <v>394.10236303013903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8.6974142384209916</v>
      </c>
      <c r="BQ178" s="21">
        <f>EXP(-LN(2)/25)*BQ177+(1-EXP(-LN(2)/25))/(LN(2)/25)*Calculateur!BL178*Calculateur!BN178*VLOOKUP('Données projet'!$B$11,Paramètres!$A$1:$I$89,3,0)*0.475*44/12</f>
        <v>4.0459659313965446</v>
      </c>
      <c r="BR178" s="21">
        <f>EXP(-LN(2)/2)*BR177+(1-EXP(-LN(2)/2))/(LN(2)/2)*BL178*BO178*VLOOKUP('Données projet'!$B$11,Paramètres!$A$1:$I$89,3,0)*0.475*44/12</f>
        <v>3.4437055738415923E-13</v>
      </c>
      <c r="BS178" s="22">
        <f t="shared" si="169"/>
        <v>12.743380169817881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289.12040147384636</v>
      </c>
      <c r="S179" s="59">
        <f ca="1">AVERAGE(OFFSET($R$3,0,0,'Données projet'!$E$9+1,1))-AVERAGE(OFFSET($H$3,0,0,'Données projet'!$E$9+1,1))</f>
        <v>737.40414421611001</v>
      </c>
      <c r="T179" s="59">
        <f t="shared" si="142"/>
        <v>245.32893490531674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2.5579538487363607E-13</v>
      </c>
      <c r="AJ179" s="13">
        <f>AI179*VLOOKUP('Données projet'!$B$10,Paramètres!$A$1:$I$89,3,0)*VLOOKUP('Données projet'!$B$10,Paramètres!$A$1:$I$89,5,0)</f>
        <v>2.4341488824575211E-13</v>
      </c>
      <c r="AK179" s="13">
        <f t="shared" si="164"/>
        <v>3.2970717324875541E-12</v>
      </c>
      <c r="AL179" s="20">
        <f t="shared" si="165"/>
        <v>6.1663475311105072E-12</v>
      </c>
      <c r="AM179" s="59">
        <f t="shared" si="113"/>
        <v>289.12040147384374</v>
      </c>
      <c r="AN179" s="59">
        <f ca="1">AVERAGE(OFFSET($AM$3,0,0,'Données projet'!$E$10+1,1))-AVERAGE(OFFSET($H$3,0,0,'Données projet'!$E$10+1,1))</f>
        <v>486.36097333679697</v>
      </c>
      <c r="AO179" s="59">
        <f t="shared" si="144"/>
        <v>308.47736602748159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47.776298595260627</v>
      </c>
      <c r="AV179" s="21">
        <f>EXP(-LN(2)/25)*AV178+(1-EXP(-LN(2)/25))/(LN(2)/25)*Calculateur!AQ179*Calculateur!AS179*VLOOKUP('Données projet'!$B$10,Paramètres!$A$1:$I$89,3,0)*0.475*44/12</f>
        <v>6.9156359480994594</v>
      </c>
      <c r="AW179" s="21">
        <f>EXP(-LN(2)/2)*AW178+(1-EXP(-LN(2)/2))/(LN(2)/2)*AQ179*AT179*VLOOKUP('Données projet'!$B$10,Paramètres!$A$1:$I$89,3,0)*0.475*44/12</f>
        <v>8.5371064828008559E-7</v>
      </c>
      <c r="AX179" s="21">
        <f t="shared" si="166"/>
        <v>54.691935397070729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408.246209980743</v>
      </c>
      <c r="BJ179" s="59">
        <f t="shared" si="146"/>
        <v>394.10236303013903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8.5268632501044266</v>
      </c>
      <c r="BQ179" s="21">
        <f>EXP(-LN(2)/25)*BQ178+(1-EXP(-LN(2)/25))/(LN(2)/25)*Calculateur!BL179*Calculateur!BN179*VLOOKUP('Données projet'!$B$11,Paramètres!$A$1:$I$89,3,0)*0.475*44/12</f>
        <v>3.9353287802344048</v>
      </c>
      <c r="BR179" s="21">
        <f>EXP(-LN(2)/2)*BR178+(1-EXP(-LN(2)/2))/(LN(2)/2)*BL179*BO179*VLOOKUP('Données projet'!$B$11,Paramètres!$A$1:$I$89,3,0)*0.475*44/12</f>
        <v>2.4350675636733008E-13</v>
      </c>
      <c r="BS179" s="22">
        <f t="shared" si="169"/>
        <v>12.462192030339075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289.19348642290402</v>
      </c>
      <c r="S180" s="59">
        <f ca="1">AVERAGE(OFFSET($R$3,0,0,'Données projet'!$E$9+1,1))-AVERAGE(OFFSET($H$3,0,0,'Données projet'!$E$9+1,1))</f>
        <v>737.40414421611001</v>
      </c>
      <c r="T180" s="59">
        <f t="shared" si="142"/>
        <v>245.32893490531674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2.5579538487363607E-13</v>
      </c>
      <c r="AJ180" s="13">
        <f>AI180*VLOOKUP('Données projet'!$B$10,Paramètres!$A$1:$I$89,3,0)*VLOOKUP('Données projet'!$B$10,Paramètres!$A$1:$I$89,5,0)</f>
        <v>2.4341488824575211E-13</v>
      </c>
      <c r="AK180" s="13">
        <f t="shared" si="164"/>
        <v>3.2970717324875541E-12</v>
      </c>
      <c r="AL180" s="20">
        <f t="shared" si="165"/>
        <v>6.1663475311105072E-12</v>
      </c>
      <c r="AM180" s="59">
        <f t="shared" si="113"/>
        <v>289.1934864229014</v>
      </c>
      <c r="AN180" s="59">
        <f ca="1">AVERAGE(OFFSET($AM$3,0,0,'Données projet'!$E$10+1,1))-AVERAGE(OFFSET($H$3,0,0,'Données projet'!$E$10+1,1))</f>
        <v>486.36097333679697</v>
      </c>
      <c r="AO180" s="59">
        <f t="shared" si="144"/>
        <v>308.47736602748159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46.839434520472309</v>
      </c>
      <c r="AV180" s="21">
        <f>EXP(-LN(2)/25)*AV179+(1-EXP(-LN(2)/25))/(LN(2)/25)*Calculateur!AQ180*Calculateur!AS180*VLOOKUP('Données projet'!$B$10,Paramètres!$A$1:$I$89,3,0)*0.475*44/12</f>
        <v>6.7265275194211913</v>
      </c>
      <c r="AW180" s="21">
        <f>EXP(-LN(2)/2)*AW179+(1-EXP(-LN(2)/2))/(LN(2)/2)*AQ180*AT180*VLOOKUP('Données projet'!$B$10,Paramètres!$A$1:$I$89,3,0)*0.475*44/12</f>
        <v>6.0366458857001211E-7</v>
      </c>
      <c r="AX180" s="21">
        <f t="shared" si="166"/>
        <v>53.565962643558088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408.246209980743</v>
      </c>
      <c r="BJ180" s="59">
        <f t="shared" si="146"/>
        <v>394.10236303013903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8.3596566626429176</v>
      </c>
      <c r="BQ180" s="21">
        <f>EXP(-LN(2)/25)*BQ179+(1-EXP(-LN(2)/25))/(LN(2)/25)*Calculateur!BL180*Calculateur!BN180*VLOOKUP('Données projet'!$B$11,Paramètres!$A$1:$I$89,3,0)*0.475*44/12</f>
        <v>3.8277170077889489</v>
      </c>
      <c r="BR180" s="21">
        <f>EXP(-LN(2)/2)*BR179+(1-EXP(-LN(2)/2))/(LN(2)/2)*BL180*BO180*VLOOKUP('Données projet'!$B$11,Paramètres!$A$1:$I$89,3,0)*0.475*44/12</f>
        <v>1.7218527869207961E-13</v>
      </c>
      <c r="BS180" s="22">
        <f t="shared" si="169"/>
        <v>12.18737367043204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289.26530351148892</v>
      </c>
      <c r="S181" s="59">
        <f ca="1">AVERAGE(OFFSET($R$3,0,0,'Données projet'!$E$9+1,1))-AVERAGE(OFFSET($H$3,0,0,'Données projet'!$E$9+1,1))</f>
        <v>737.40414421611001</v>
      </c>
      <c r="T181" s="59">
        <f t="shared" si="142"/>
        <v>245.32893490531674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2.5579538487363607E-13</v>
      </c>
      <c r="AJ181" s="13">
        <f>AI181*VLOOKUP('Données projet'!$B$10,Paramètres!$A$1:$I$89,3,0)*VLOOKUP('Données projet'!$B$10,Paramètres!$A$1:$I$89,5,0)</f>
        <v>2.4341488824575211E-13</v>
      </c>
      <c r="AK181" s="13">
        <f t="shared" si="164"/>
        <v>3.2970717324875541E-12</v>
      </c>
      <c r="AL181" s="20">
        <f t="shared" si="165"/>
        <v>6.1663475311105072E-12</v>
      </c>
      <c r="AM181" s="59">
        <f t="shared" si="113"/>
        <v>289.26530351148631</v>
      </c>
      <c r="AN181" s="59">
        <f ca="1">AVERAGE(OFFSET($AM$3,0,0,'Données projet'!$E$10+1,1))-AVERAGE(OFFSET($H$3,0,0,'Données projet'!$E$10+1,1))</f>
        <v>486.36097333679697</v>
      </c>
      <c r="AO181" s="59">
        <f t="shared" si="144"/>
        <v>308.47736602748159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45.920941778759925</v>
      </c>
      <c r="AV181" s="21">
        <f>EXP(-LN(2)/25)*AV180+(1-EXP(-LN(2)/25))/(LN(2)/25)*Calculateur!AQ181*Calculateur!AS181*VLOOKUP('Données projet'!$B$10,Paramètres!$A$1:$I$89,3,0)*0.475*44/12</f>
        <v>6.5425902706699102</v>
      </c>
      <c r="AW181" s="21">
        <f>EXP(-LN(2)/2)*AW180+(1-EXP(-LN(2)/2))/(LN(2)/2)*AQ181*AT181*VLOOKUP('Données projet'!$B$10,Paramètres!$A$1:$I$89,3,0)*0.475*44/12</f>
        <v>4.2685532414004279E-7</v>
      </c>
      <c r="AX181" s="21">
        <f t="shared" si="166"/>
        <v>52.46353247628516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408.246209980743</v>
      </c>
      <c r="BJ181" s="59">
        <f t="shared" si="146"/>
        <v>394.10236303013903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8.1957288943755806</v>
      </c>
      <c r="BQ181" s="21">
        <f>EXP(-LN(2)/25)*BQ180+(1-EXP(-LN(2)/25))/(LN(2)/25)*Calculateur!BL181*Calculateur!BN181*VLOOKUP('Données projet'!$B$11,Paramètres!$A$1:$I$89,3,0)*0.475*44/12</f>
        <v>3.7230478849200708</v>
      </c>
      <c r="BR181" s="21">
        <f>EXP(-LN(2)/2)*BR180+(1-EXP(-LN(2)/2))/(LN(2)/2)*BL181*BO181*VLOOKUP('Données projet'!$B$11,Paramètres!$A$1:$I$89,3,0)*0.475*44/12</f>
        <v>1.2175337818366504E-13</v>
      </c>
      <c r="BS181" s="22">
        <f t="shared" si="169"/>
        <v>11.918776779295774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289.33587473414588</v>
      </c>
      <c r="S182" s="59">
        <f ca="1">AVERAGE(OFFSET($R$3,0,0,'Données projet'!$E$9+1,1))-AVERAGE(OFFSET($H$3,0,0,'Données projet'!$E$9+1,1))</f>
        <v>737.40414421611001</v>
      </c>
      <c r="T182" s="59">
        <f t="shared" si="142"/>
        <v>245.32893490531674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2.5579538487363607E-13</v>
      </c>
      <c r="AJ182" s="13">
        <f>AI182*VLOOKUP('Données projet'!$B$10,Paramètres!$A$1:$I$89,3,0)*VLOOKUP('Données projet'!$B$10,Paramètres!$A$1:$I$89,5,0)</f>
        <v>2.4341488824575211E-13</v>
      </c>
      <c r="AK182" s="13">
        <f t="shared" si="164"/>
        <v>3.2970717324875541E-12</v>
      </c>
      <c r="AL182" s="20">
        <f t="shared" si="165"/>
        <v>6.1663475311105072E-12</v>
      </c>
      <c r="AM182" s="59">
        <f t="shared" si="113"/>
        <v>289.33587473414326</v>
      </c>
      <c r="AN182" s="59">
        <f ca="1">AVERAGE(OFFSET($AM$3,0,0,'Données projet'!$E$10+1,1))-AVERAGE(OFFSET($H$3,0,0,'Données projet'!$E$10+1,1))</f>
        <v>486.36097333679697</v>
      </c>
      <c r="AO182" s="59">
        <f t="shared" si="144"/>
        <v>308.47736602748159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45.020460119487268</v>
      </c>
      <c r="AV182" s="21">
        <f>EXP(-LN(2)/25)*AV181+(1-EXP(-LN(2)/25))/(LN(2)/25)*Calculateur!AQ182*Calculateur!AS182*VLOOKUP('Données projet'!$B$10,Paramètres!$A$1:$I$89,3,0)*0.475*44/12</f>
        <v>6.3636827956585726</v>
      </c>
      <c r="AW182" s="21">
        <f>EXP(-LN(2)/2)*AW181+(1-EXP(-LN(2)/2))/(LN(2)/2)*AQ182*AT182*VLOOKUP('Données projet'!$B$10,Paramètres!$A$1:$I$89,3,0)*0.475*44/12</f>
        <v>3.0183229428500605E-7</v>
      </c>
      <c r="AX182" s="21">
        <f t="shared" si="166"/>
        <v>51.384143216978138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408.246209980743</v>
      </c>
      <c r="BJ182" s="59">
        <f t="shared" si="146"/>
        <v>394.10236303013903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8.0350156496579004</v>
      </c>
      <c r="BQ182" s="21">
        <f>EXP(-LN(2)/25)*BQ181+(1-EXP(-LN(2)/25))/(LN(2)/25)*Calculateur!BL182*Calculateur!BN182*VLOOKUP('Données projet'!$B$11,Paramètres!$A$1:$I$89,3,0)*0.475*44/12</f>
        <v>3.6212409447203524</v>
      </c>
      <c r="BR182" s="21">
        <f>EXP(-LN(2)/2)*BR181+(1-EXP(-LN(2)/2))/(LN(2)/2)*BL182*BO182*VLOOKUP('Données projet'!$B$11,Paramètres!$A$1:$I$89,3,0)*0.475*44/12</f>
        <v>8.6092639346039807E-14</v>
      </c>
      <c r="BS182" s="22">
        <f t="shared" si="169"/>
        <v>11.656256594378338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289.40522170386339</v>
      </c>
      <c r="S183" s="59">
        <f ca="1">AVERAGE(OFFSET($R$3,0,0,'Données projet'!$E$9+1,1))-AVERAGE(OFFSET($H$3,0,0,'Données projet'!$E$9+1,1))</f>
        <v>737.40414421611001</v>
      </c>
      <c r="T183" s="59">
        <f t="shared" si="142"/>
        <v>245.32893490531674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2.5579538487363607E-13</v>
      </c>
      <c r="AJ183" s="13">
        <f>AI183*VLOOKUP('Données projet'!$B$10,Paramètres!$A$1:$I$89,3,0)*VLOOKUP('Données projet'!$B$10,Paramètres!$A$1:$I$89,5,0)</f>
        <v>2.4341488824575211E-13</v>
      </c>
      <c r="AK183" s="13">
        <f t="shared" si="164"/>
        <v>3.2970717324875541E-12</v>
      </c>
      <c r="AL183" s="20">
        <f t="shared" si="165"/>
        <v>6.1663475311105072E-12</v>
      </c>
      <c r="AM183" s="59">
        <f t="shared" si="113"/>
        <v>289.40522170386078</v>
      </c>
      <c r="AN183" s="59">
        <f ca="1">AVERAGE(OFFSET($AM$3,0,0,'Données projet'!$E$10+1,1))-AVERAGE(OFFSET($H$3,0,0,'Données projet'!$E$10+1,1))</f>
        <v>486.36097333679697</v>
      </c>
      <c r="AO183" s="59">
        <f t="shared" si="144"/>
        <v>308.47736602748159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44.137636356313365</v>
      </c>
      <c r="AV183" s="21">
        <f>EXP(-LN(2)/25)*AV182+(1-EXP(-LN(2)/25))/(LN(2)/25)*Calculateur!AQ183*Calculateur!AS183*VLOOKUP('Données projet'!$B$10,Paramètres!$A$1:$I$89,3,0)*0.475*44/12</f>
        <v>6.1896675549597555</v>
      </c>
      <c r="AW183" s="21">
        <f>EXP(-LN(2)/2)*AW182+(1-EXP(-LN(2)/2))/(LN(2)/2)*AQ183*AT183*VLOOKUP('Données projet'!$B$10,Paramètres!$A$1:$I$89,3,0)*0.475*44/12</f>
        <v>2.134276620700214E-7</v>
      </c>
      <c r="AX183" s="21">
        <f t="shared" si="166"/>
        <v>50.327304124700781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408.246209980743</v>
      </c>
      <c r="BJ183" s="59">
        <f t="shared" si="146"/>
        <v>394.10236303013903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7.8774538936437342</v>
      </c>
      <c r="BQ183" s="21">
        <f>EXP(-LN(2)/25)*BQ182+(1-EXP(-LN(2)/25))/(LN(2)/25)*Calculateur!BL183*Calculateur!BN183*VLOOKUP('Données projet'!$B$11,Paramètres!$A$1:$I$89,3,0)*0.475*44/12</f>
        <v>3.5222179206541897</v>
      </c>
      <c r="BR183" s="21">
        <f>EXP(-LN(2)/2)*BR182+(1-EXP(-LN(2)/2))/(LN(2)/2)*BL183*BO183*VLOOKUP('Données projet'!$B$11,Paramètres!$A$1:$I$89,3,0)*0.475*44/12</f>
        <v>6.087668909183252E-14</v>
      </c>
      <c r="BS183" s="22">
        <f t="shared" si="169"/>
        <v>11.399671814297985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289.47336565869284</v>
      </c>
      <c r="S184" s="59">
        <f ca="1">AVERAGE(OFFSET($R$3,0,0,'Données projet'!$E$9+1,1))-AVERAGE(OFFSET($H$3,0,0,'Données projet'!$E$9+1,1))</f>
        <v>737.40414421611001</v>
      </c>
      <c r="T184" s="59">
        <f t="shared" si="142"/>
        <v>245.32893490531674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2.5579538487363607E-13</v>
      </c>
      <c r="AJ184" s="13">
        <f>AI184*VLOOKUP('Données projet'!$B$10,Paramètres!$A$1:$I$89,3,0)*VLOOKUP('Données projet'!$B$10,Paramètres!$A$1:$I$89,5,0)</f>
        <v>2.4341488824575211E-13</v>
      </c>
      <c r="AK184" s="13">
        <f t="shared" si="164"/>
        <v>3.2970717324875541E-12</v>
      </c>
      <c r="AL184" s="20">
        <f t="shared" si="165"/>
        <v>6.1663475311105072E-12</v>
      </c>
      <c r="AM184" s="59">
        <f t="shared" si="113"/>
        <v>289.47336565869023</v>
      </c>
      <c r="AN184" s="59">
        <f ca="1">AVERAGE(OFFSET($AM$3,0,0,'Données projet'!$E$10+1,1))-AVERAGE(OFFSET($H$3,0,0,'Données projet'!$E$10+1,1))</f>
        <v>486.36097333679697</v>
      </c>
      <c r="AO184" s="59">
        <f t="shared" si="144"/>
        <v>308.47736602748159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43.27212422866598</v>
      </c>
      <c r="AV184" s="21">
        <f>EXP(-LN(2)/25)*AV183+(1-EXP(-LN(2)/25))/(LN(2)/25)*Calculateur!AQ184*Calculateur!AS184*VLOOKUP('Données projet'!$B$10,Paramètres!$A$1:$I$89,3,0)*0.475*44/12</f>
        <v>6.0204107701689109</v>
      </c>
      <c r="AW184" s="21">
        <f>EXP(-LN(2)/2)*AW183+(1-EXP(-LN(2)/2))/(LN(2)/2)*AQ184*AT184*VLOOKUP('Données projet'!$B$10,Paramètres!$A$1:$I$89,3,0)*0.475*44/12</f>
        <v>1.5091614714250303E-7</v>
      </c>
      <c r="AX184" s="21">
        <f t="shared" si="166"/>
        <v>49.292535149751039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408.246209980743</v>
      </c>
      <c r="BJ184" s="59">
        <f t="shared" si="146"/>
        <v>394.10236303013903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7.7229818275618234</v>
      </c>
      <c r="BQ184" s="21">
        <f>EXP(-LN(2)/25)*BQ183+(1-EXP(-LN(2)/25))/(LN(2)/25)*Calculateur!BL184*Calculateur!BN184*VLOOKUP('Données projet'!$B$11,Paramètres!$A$1:$I$89,3,0)*0.475*44/12</f>
        <v>3.4259026863885107</v>
      </c>
      <c r="BR184" s="21">
        <f>EXP(-LN(2)/2)*BR183+(1-EXP(-LN(2)/2))/(LN(2)/2)*BL184*BO184*VLOOKUP('Données projet'!$B$11,Paramètres!$A$1:$I$89,3,0)*0.475*44/12</f>
        <v>4.3046319673019903E-14</v>
      </c>
      <c r="BS184" s="22">
        <f t="shared" si="169"/>
        <v>11.148884513950376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289.54032746825317</v>
      </c>
      <c r="S185" s="59">
        <f ca="1">AVERAGE(OFFSET($R$3,0,0,'Données projet'!$E$9+1,1))-AVERAGE(OFFSET($H$3,0,0,'Données projet'!$E$9+1,1))</f>
        <v>737.40414421611001</v>
      </c>
      <c r="T185" s="59">
        <f t="shared" si="142"/>
        <v>245.32893490531674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2.5579538487363607E-13</v>
      </c>
      <c r="AJ185" s="13">
        <f>AI185*VLOOKUP('Données projet'!$B$10,Paramètres!$A$1:$I$89,3,0)*VLOOKUP('Données projet'!$B$10,Paramètres!$A$1:$I$89,5,0)</f>
        <v>2.4341488824575211E-13</v>
      </c>
      <c r="AK185" s="13">
        <f t="shared" si="164"/>
        <v>3.2970717324875541E-12</v>
      </c>
      <c r="AL185" s="20">
        <f t="shared" si="165"/>
        <v>6.1663475311105072E-12</v>
      </c>
      <c r="AM185" s="59">
        <f t="shared" si="113"/>
        <v>289.54032746825055</v>
      </c>
      <c r="AN185" s="59">
        <f ca="1">AVERAGE(OFFSET($AM$3,0,0,'Données projet'!$E$10+1,1))-AVERAGE(OFFSET($H$3,0,0,'Données projet'!$E$10+1,1))</f>
        <v>486.36097333679697</v>
      </c>
      <c r="AO185" s="59">
        <f t="shared" si="144"/>
        <v>308.47736602748159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42.423584265931488</v>
      </c>
      <c r="AV185" s="21">
        <f>EXP(-LN(2)/25)*AV184+(1-EXP(-LN(2)/25))/(LN(2)/25)*Calculateur!AQ185*Calculateur!AS185*VLOOKUP('Données projet'!$B$10,Paramètres!$A$1:$I$89,3,0)*0.475*44/12</f>
        <v>5.8557823210589994</v>
      </c>
      <c r="AW185" s="21">
        <f>EXP(-LN(2)/2)*AW184+(1-EXP(-LN(2)/2))/(LN(2)/2)*AQ185*AT185*VLOOKUP('Données projet'!$B$10,Paramètres!$A$1:$I$89,3,0)*0.475*44/12</f>
        <v>1.067138310350107E-7</v>
      </c>
      <c r="AX185" s="21">
        <f t="shared" si="166"/>
        <v>48.279366693704326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408.246209980743</v>
      </c>
      <c r="BJ185" s="59">
        <f t="shared" si="146"/>
        <v>394.10236303013903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7.5715388644771222</v>
      </c>
      <c r="BQ185" s="21">
        <f>EXP(-LN(2)/25)*BQ184+(1-EXP(-LN(2)/25))/(LN(2)/25)*Calculateur!BL185*Calculateur!BN185*VLOOKUP('Données projet'!$B$11,Paramètres!$A$1:$I$89,3,0)*0.475*44/12</f>
        <v>3.3322211972688245</v>
      </c>
      <c r="BR185" s="21">
        <f>EXP(-LN(2)/2)*BR184+(1-EXP(-LN(2)/2))/(LN(2)/2)*BL185*BO185*VLOOKUP('Données projet'!$B$11,Paramètres!$A$1:$I$89,3,0)*0.475*44/12</f>
        <v>3.043834454591626E-14</v>
      </c>
      <c r="BS185" s="22">
        <f t="shared" si="169"/>
        <v>10.903760061745977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289.60612764012171</v>
      </c>
      <c r="S186" s="59">
        <f ca="1">AVERAGE(OFFSET($R$3,0,0,'Données projet'!$E$9+1,1))-AVERAGE(OFFSET($H$3,0,0,'Données projet'!$E$9+1,1))</f>
        <v>737.40414421611001</v>
      </c>
      <c r="T186" s="59">
        <f t="shared" si="142"/>
        <v>245.32893490531674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2.5579538487363607E-13</v>
      </c>
      <c r="AJ186" s="13">
        <f>AI186*VLOOKUP('Données projet'!$B$10,Paramètres!$A$1:$I$89,3,0)*VLOOKUP('Données projet'!$B$10,Paramètres!$A$1:$I$89,5,0)</f>
        <v>2.4341488824575211E-13</v>
      </c>
      <c r="AK186" s="13">
        <f t="shared" si="164"/>
        <v>3.2970717324875541E-12</v>
      </c>
      <c r="AL186" s="20">
        <f t="shared" si="165"/>
        <v>6.1663475311105072E-12</v>
      </c>
      <c r="AM186" s="59">
        <f t="shared" si="113"/>
        <v>289.6061276401191</v>
      </c>
      <c r="AN186" s="59">
        <f ca="1">AVERAGE(OFFSET($AM$3,0,0,'Données projet'!$E$10+1,1))-AVERAGE(OFFSET($H$3,0,0,'Données projet'!$E$10+1,1))</f>
        <v>486.36097333679697</v>
      </c>
      <c r="AO186" s="59">
        <f t="shared" si="144"/>
        <v>308.47736602748159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41.59168365430795</v>
      </c>
      <c r="AV186" s="21">
        <f>EXP(-LN(2)/25)*AV185+(1-EXP(-LN(2)/25))/(LN(2)/25)*Calculateur!AQ186*Calculateur!AS186*VLOOKUP('Données projet'!$B$10,Paramètres!$A$1:$I$89,3,0)*0.475*44/12</f>
        <v>5.6956556455474328</v>
      </c>
      <c r="AW186" s="21">
        <f>EXP(-LN(2)/2)*AW185+(1-EXP(-LN(2)/2))/(LN(2)/2)*AQ186*AT186*VLOOKUP('Données projet'!$B$10,Paramètres!$A$1:$I$89,3,0)*0.475*44/12</f>
        <v>7.5458073571251513E-8</v>
      </c>
      <c r="AX186" s="21">
        <f t="shared" si="166"/>
        <v>47.287339375313458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408.246209980743</v>
      </c>
      <c r="BJ186" s="59">
        <f t="shared" si="146"/>
        <v>394.10236303013903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7.4230656055274258</v>
      </c>
      <c r="BQ186" s="21">
        <f>EXP(-LN(2)/25)*BQ185+(1-EXP(-LN(2)/25))/(LN(2)/25)*Calculateur!BL186*Calculateur!BN186*VLOOKUP('Données projet'!$B$11,Paramètres!$A$1:$I$89,3,0)*0.475*44/12</f>
        <v>3.2411014333956114</v>
      </c>
      <c r="BR186" s="21">
        <f>EXP(-LN(2)/2)*BR185+(1-EXP(-LN(2)/2))/(LN(2)/2)*BL186*BO186*VLOOKUP('Données projet'!$B$11,Paramètres!$A$1:$I$89,3,0)*0.475*44/12</f>
        <v>2.1523159836509952E-14</v>
      </c>
      <c r="BS186" s="22">
        <f t="shared" si="169"/>
        <v>10.664167038923058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289.67078632611549</v>
      </c>
      <c r="S187" s="59">
        <f ca="1">AVERAGE(OFFSET($R$3,0,0,'Données projet'!$E$9+1,1))-AVERAGE(OFFSET($H$3,0,0,'Données projet'!$E$9+1,1))</f>
        <v>737.40414421611001</v>
      </c>
      <c r="T187" s="59">
        <f t="shared" si="142"/>
        <v>245.32893490531674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2.5579538487363607E-13</v>
      </c>
      <c r="AJ187" s="13">
        <f>AI187*VLOOKUP('Données projet'!$B$10,Paramètres!$A$1:$I$89,3,0)*VLOOKUP('Données projet'!$B$10,Paramètres!$A$1:$I$89,5,0)</f>
        <v>2.4341488824575211E-13</v>
      </c>
      <c r="AK187" s="13">
        <f t="shared" si="164"/>
        <v>3.2970717324875541E-12</v>
      </c>
      <c r="AL187" s="20">
        <f t="shared" si="165"/>
        <v>6.1663475311105072E-12</v>
      </c>
      <c r="AM187" s="59">
        <f t="shared" si="113"/>
        <v>289.67078632611288</v>
      </c>
      <c r="AN187" s="59">
        <f ca="1">AVERAGE(OFFSET($AM$3,0,0,'Données projet'!$E$10+1,1))-AVERAGE(OFFSET($H$3,0,0,'Données projet'!$E$10+1,1))</f>
        <v>486.36097333679697</v>
      </c>
      <c r="AO187" s="59">
        <f t="shared" si="144"/>
        <v>308.47736602748159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40.77609610626908</v>
      </c>
      <c r="AV187" s="21">
        <f>EXP(-LN(2)/25)*AV186+(1-EXP(-LN(2)/25))/(LN(2)/25)*Calculateur!AQ187*Calculateur!AS187*VLOOKUP('Données projet'!$B$10,Paramètres!$A$1:$I$89,3,0)*0.475*44/12</f>
        <v>5.5399076423984255</v>
      </c>
      <c r="AW187" s="21">
        <f>EXP(-LN(2)/2)*AW186+(1-EXP(-LN(2)/2))/(LN(2)/2)*AQ187*AT187*VLOOKUP('Données projet'!$B$10,Paramètres!$A$1:$I$89,3,0)*0.475*44/12</f>
        <v>5.3356915517505349E-8</v>
      </c>
      <c r="AX187" s="21">
        <f t="shared" si="166"/>
        <v>46.316003802024419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408.246209980743</v>
      </c>
      <c r="BJ187" s="59">
        <f t="shared" si="146"/>
        <v>394.10236303013903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7.2775038166259867</v>
      </c>
      <c r="BQ187" s="21">
        <f>EXP(-LN(2)/25)*BQ186+(1-EXP(-LN(2)/25))/(LN(2)/25)*Calculateur!BL187*Calculateur!BN187*VLOOKUP('Données projet'!$B$11,Paramètres!$A$1:$I$89,3,0)*0.475*44/12</f>
        <v>3.1524733442572916</v>
      </c>
      <c r="BR187" s="21">
        <f>EXP(-LN(2)/2)*BR186+(1-EXP(-LN(2)/2))/(LN(2)/2)*BL187*BO187*VLOOKUP('Données projet'!$B$11,Paramètres!$A$1:$I$89,3,0)*0.475*44/12</f>
        <v>1.521917227295813E-14</v>
      </c>
      <c r="BS187" s="22">
        <f t="shared" si="169"/>
        <v>10.429977160883295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289.73432332846249</v>
      </c>
      <c r="S188" s="59">
        <f ca="1">AVERAGE(OFFSET($R$3,0,0,'Données projet'!$E$9+1,1))-AVERAGE(OFFSET($H$3,0,0,'Données projet'!$E$9+1,1))</f>
        <v>737.40414421611001</v>
      </c>
      <c r="T188" s="59">
        <f t="shared" si="142"/>
        <v>245.32893490531674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2.5579538487363607E-13</v>
      </c>
      <c r="AJ188" s="13">
        <f>AI188*VLOOKUP('Données projet'!$B$10,Paramètres!$A$1:$I$89,3,0)*VLOOKUP('Données projet'!$B$10,Paramètres!$A$1:$I$89,5,0)</f>
        <v>2.4341488824575211E-13</v>
      </c>
      <c r="AK188" s="13">
        <f t="shared" si="164"/>
        <v>3.2970717324875541E-12</v>
      </c>
      <c r="AL188" s="20">
        <f t="shared" si="165"/>
        <v>6.1663475311105072E-12</v>
      </c>
      <c r="AM188" s="59">
        <f t="shared" si="113"/>
        <v>289.73432332845988</v>
      </c>
      <c r="AN188" s="59">
        <f ca="1">AVERAGE(OFFSET($AM$3,0,0,'Données projet'!$E$10+1,1))-AVERAGE(OFFSET($H$3,0,0,'Données projet'!$E$10+1,1))</f>
        <v>486.36097333679697</v>
      </c>
      <c r="AO188" s="59">
        <f t="shared" si="144"/>
        <v>308.47736602748159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39.976501732587963</v>
      </c>
      <c r="AV188" s="21">
        <f>EXP(-LN(2)/25)*AV187+(1-EXP(-LN(2)/25))/(LN(2)/25)*Calculateur!AQ188*Calculateur!AS188*VLOOKUP('Données projet'!$B$10,Paramètres!$A$1:$I$89,3,0)*0.475*44/12</f>
        <v>5.3884185765859591</v>
      </c>
      <c r="AW188" s="21">
        <f>EXP(-LN(2)/2)*AW187+(1-EXP(-LN(2)/2))/(LN(2)/2)*AQ188*AT188*VLOOKUP('Données projet'!$B$10,Paramètres!$A$1:$I$89,3,0)*0.475*44/12</f>
        <v>3.7729036785625757E-8</v>
      </c>
      <c r="AX188" s="21">
        <f t="shared" si="166"/>
        <v>45.364920346902963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408.246209980743</v>
      </c>
      <c r="BJ188" s="59">
        <f t="shared" si="146"/>
        <v>394.10236303013903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7.1347964056209801</v>
      </c>
      <c r="BQ188" s="21">
        <f>EXP(-LN(2)/25)*BQ187+(1-EXP(-LN(2)/25))/(LN(2)/25)*Calculateur!BL188*Calculateur!BN188*VLOOKUP('Données projet'!$B$11,Paramètres!$A$1:$I$89,3,0)*0.475*44/12</f>
        <v>3.066268794877208</v>
      </c>
      <c r="BR188" s="21">
        <f>EXP(-LN(2)/2)*BR187+(1-EXP(-LN(2)/2))/(LN(2)/2)*BL188*BO188*VLOOKUP('Données projet'!$B$11,Paramètres!$A$1:$I$89,3,0)*0.475*44/12</f>
        <v>1.0761579918254976E-14</v>
      </c>
      <c r="BS188" s="22">
        <f t="shared" si="169"/>
        <v>10.201065200498199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289.79675810586616</v>
      </c>
      <c r="S189" s="59">
        <f ca="1">AVERAGE(OFFSET($R$3,0,0,'Données projet'!$E$9+1,1))-AVERAGE(OFFSET($H$3,0,0,'Données projet'!$E$9+1,1))</f>
        <v>737.40414421611001</v>
      </c>
      <c r="T189" s="59">
        <f t="shared" si="142"/>
        <v>245.32893490531674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2.5579538487363607E-13</v>
      </c>
      <c r="AJ189" s="13">
        <f>AI189*VLOOKUP('Données projet'!$B$10,Paramètres!$A$1:$I$89,3,0)*VLOOKUP('Données projet'!$B$10,Paramètres!$A$1:$I$89,5,0)</f>
        <v>2.4341488824575211E-13</v>
      </c>
      <c r="AK189" s="13">
        <f t="shared" si="164"/>
        <v>3.2970717324875541E-12</v>
      </c>
      <c r="AL189" s="20">
        <f t="shared" si="165"/>
        <v>6.1663475311105072E-12</v>
      </c>
      <c r="AM189" s="59">
        <f t="shared" si="113"/>
        <v>289.79675810586355</v>
      </c>
      <c r="AN189" s="59">
        <f ca="1">AVERAGE(OFFSET($AM$3,0,0,'Données projet'!$E$10+1,1))-AVERAGE(OFFSET($H$3,0,0,'Données projet'!$E$10+1,1))</f>
        <v>486.36097333679697</v>
      </c>
      <c r="AO189" s="59">
        <f t="shared" si="144"/>
        <v>308.47736602748159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39.192586916870326</v>
      </c>
      <c r="AV189" s="21">
        <f>EXP(-LN(2)/25)*AV188+(1-EXP(-LN(2)/25))/(LN(2)/25)*Calculateur!AQ189*Calculateur!AS189*VLOOKUP('Données projet'!$B$10,Paramètres!$A$1:$I$89,3,0)*0.475*44/12</f>
        <v>5.2410719872445988</v>
      </c>
      <c r="AW189" s="21">
        <f>EXP(-LN(2)/2)*AW188+(1-EXP(-LN(2)/2))/(LN(2)/2)*AQ189*AT189*VLOOKUP('Données projet'!$B$10,Paramètres!$A$1:$I$89,3,0)*0.475*44/12</f>
        <v>2.6678457758752675E-8</v>
      </c>
      <c r="AX189" s="21">
        <f t="shared" si="166"/>
        <v>44.433658930793378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408.246209980743</v>
      </c>
      <c r="BJ189" s="59">
        <f t="shared" si="146"/>
        <v>394.10236303013903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6.994887399902856</v>
      </c>
      <c r="BQ189" s="21">
        <f>EXP(-LN(2)/25)*BQ188+(1-EXP(-LN(2)/25))/(LN(2)/25)*Calculateur!BL189*Calculateur!BN189*VLOOKUP('Données projet'!$B$11,Paramètres!$A$1:$I$89,3,0)*0.475*44/12</f>
        <v>2.982421513433223</v>
      </c>
      <c r="BR189" s="21">
        <f>EXP(-LN(2)/2)*BR188+(1-EXP(-LN(2)/2))/(LN(2)/2)*BL189*BO189*VLOOKUP('Données projet'!$B$11,Paramètres!$A$1:$I$89,3,0)*0.475*44/12</f>
        <v>7.6095861364790651E-15</v>
      </c>
      <c r="BS189" s="22">
        <f t="shared" si="169"/>
        <v>9.9773089133360866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289.85810977946517</v>
      </c>
      <c r="S190" s="59">
        <f ca="1">AVERAGE(OFFSET($R$3,0,0,'Données projet'!$E$9+1,1))-AVERAGE(OFFSET($H$3,0,0,'Données projet'!$E$9+1,1))</f>
        <v>737.40414421611001</v>
      </c>
      <c r="T190" s="59">
        <f t="shared" si="142"/>
        <v>245.32893490531674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2.5579538487363607E-13</v>
      </c>
      <c r="AJ190" s="13">
        <f>AI190*VLOOKUP('Données projet'!$B$10,Paramètres!$A$1:$I$89,3,0)*VLOOKUP('Données projet'!$B$10,Paramètres!$A$1:$I$89,5,0)</f>
        <v>2.4341488824575211E-13</v>
      </c>
      <c r="AK190" s="13">
        <f t="shared" si="164"/>
        <v>3.2970717324875541E-12</v>
      </c>
      <c r="AL190" s="20">
        <f t="shared" si="165"/>
        <v>6.1663475311105072E-12</v>
      </c>
      <c r="AM190" s="59">
        <f t="shared" si="113"/>
        <v>289.85810977946255</v>
      </c>
      <c r="AN190" s="59">
        <f ca="1">AVERAGE(OFFSET($AM$3,0,0,'Données projet'!$E$10+1,1))-AVERAGE(OFFSET($H$3,0,0,'Données projet'!$E$10+1,1))</f>
        <v>486.36097333679697</v>
      </c>
      <c r="AO190" s="59">
        <f t="shared" si="144"/>
        <v>308.47736602748159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38.424044192548081</v>
      </c>
      <c r="AV190" s="21">
        <f>EXP(-LN(2)/25)*AV189+(1-EXP(-LN(2)/25))/(LN(2)/25)*Calculateur!AQ190*Calculateur!AS190*VLOOKUP('Données projet'!$B$10,Paramètres!$A$1:$I$89,3,0)*0.475*44/12</f>
        <v>5.0977545981373984</v>
      </c>
      <c r="AW190" s="21">
        <f>EXP(-LN(2)/2)*AW189+(1-EXP(-LN(2)/2))/(LN(2)/2)*AQ190*AT190*VLOOKUP('Données projet'!$B$10,Paramètres!$A$1:$I$89,3,0)*0.475*44/12</f>
        <v>1.8864518392812878E-8</v>
      </c>
      <c r="AX190" s="21">
        <f t="shared" si="166"/>
        <v>43.521798809549999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408.246209980743</v>
      </c>
      <c r="BJ190" s="59">
        <f t="shared" si="146"/>
        <v>394.10236303013903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6.8577219244507974</v>
      </c>
      <c r="BQ190" s="21">
        <f>EXP(-LN(2)/25)*BQ189+(1-EXP(-LN(2)/25))/(LN(2)/25)*Calculateur!BL190*Calculateur!BN190*VLOOKUP('Données projet'!$B$11,Paramètres!$A$1:$I$89,3,0)*0.475*44/12</f>
        <v>2.9008670403096604</v>
      </c>
      <c r="BR190" s="21">
        <f>EXP(-LN(2)/2)*BR189+(1-EXP(-LN(2)/2))/(LN(2)/2)*BL190*BO190*VLOOKUP('Données projet'!$B$11,Paramètres!$A$1:$I$89,3,0)*0.475*44/12</f>
        <v>5.3807899591274879E-15</v>
      </c>
      <c r="BS190" s="22">
        <f t="shared" si="169"/>
        <v>9.7585889647604631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289.91839713868899</v>
      </c>
      <c r="S191" s="59">
        <f ca="1">AVERAGE(OFFSET($R$3,0,0,'Données projet'!$E$9+1,1))-AVERAGE(OFFSET($H$3,0,0,'Données projet'!$E$9+1,1))</f>
        <v>737.40414421611001</v>
      </c>
      <c r="T191" s="59">
        <f t="shared" si="142"/>
        <v>245.32893490531674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2.5579538487363607E-13</v>
      </c>
      <c r="AJ191" s="13">
        <f>AI191*VLOOKUP('Données projet'!$B$10,Paramètres!$A$1:$I$89,3,0)*VLOOKUP('Données projet'!$B$10,Paramètres!$A$1:$I$89,5,0)</f>
        <v>2.4341488824575211E-13</v>
      </c>
      <c r="AK191" s="13">
        <f t="shared" si="164"/>
        <v>3.2970717324875541E-12</v>
      </c>
      <c r="AL191" s="20">
        <f t="shared" si="165"/>
        <v>6.1663475311105072E-12</v>
      </c>
      <c r="AM191" s="59">
        <f t="shared" si="113"/>
        <v>289.91839713868637</v>
      </c>
      <c r="AN191" s="59">
        <f ca="1">AVERAGE(OFFSET($AM$3,0,0,'Données projet'!$E$10+1,1))-AVERAGE(OFFSET($H$3,0,0,'Données projet'!$E$10+1,1))</f>
        <v>486.36097333679697</v>
      </c>
      <c r="AO191" s="59">
        <f t="shared" si="144"/>
        <v>308.47736602748159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37.670572122285023</v>
      </c>
      <c r="AV191" s="21">
        <f>EXP(-LN(2)/25)*AV190+(1-EXP(-LN(2)/25))/(LN(2)/25)*Calculateur!AQ191*Calculateur!AS191*VLOOKUP('Données projet'!$B$10,Paramètres!$A$1:$I$89,3,0)*0.475*44/12</f>
        <v>4.9583562305720683</v>
      </c>
      <c r="AW191" s="21">
        <f>EXP(-LN(2)/2)*AW190+(1-EXP(-LN(2)/2))/(LN(2)/2)*AQ191*AT191*VLOOKUP('Données projet'!$B$10,Paramètres!$A$1:$I$89,3,0)*0.475*44/12</f>
        <v>1.3339228879376337E-8</v>
      </c>
      <c r="AX191" s="21">
        <f t="shared" si="166"/>
        <v>42.62892836619632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408.246209980743</v>
      </c>
      <c r="BJ191" s="59">
        <f t="shared" si="146"/>
        <v>394.10236303013903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6.7232461803096744</v>
      </c>
      <c r="BQ191" s="21">
        <f>EXP(-LN(2)/25)*BQ190+(1-EXP(-LN(2)/25))/(LN(2)/25)*Calculateur!BL191*Calculateur!BN191*VLOOKUP('Données projet'!$B$11,Paramètres!$A$1:$I$89,3,0)*0.475*44/12</f>
        <v>2.8215426785424249</v>
      </c>
      <c r="BR191" s="21">
        <f>EXP(-LN(2)/2)*BR190+(1-EXP(-LN(2)/2))/(LN(2)/2)*BL191*BO191*VLOOKUP('Données projet'!$B$11,Paramètres!$A$1:$I$89,3,0)*0.475*44/12</f>
        <v>3.8047930682395325E-15</v>
      </c>
      <c r="BS191" s="22">
        <f t="shared" si="169"/>
        <v>9.5447888588521028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289.97763864701261</v>
      </c>
      <c r="S192" s="59">
        <f ca="1">AVERAGE(OFFSET($R$3,0,0,'Données projet'!$E$9+1,1))-AVERAGE(OFFSET($H$3,0,0,'Données projet'!$E$9+1,1))</f>
        <v>737.40414421611001</v>
      </c>
      <c r="T192" s="59">
        <f t="shared" si="142"/>
        <v>245.32893490531674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2.5579538487363607E-13</v>
      </c>
      <c r="AJ192" s="13">
        <f>AI192*VLOOKUP('Données projet'!$B$10,Paramètres!$A$1:$I$89,3,0)*VLOOKUP('Données projet'!$B$10,Paramètres!$A$1:$I$89,5,0)</f>
        <v>2.4341488824575211E-13</v>
      </c>
      <c r="AK192" s="13">
        <f t="shared" si="164"/>
        <v>3.2970717324875541E-12</v>
      </c>
      <c r="AL192" s="20">
        <f t="shared" si="165"/>
        <v>6.1663475311105072E-12</v>
      </c>
      <c r="AM192" s="59">
        <f t="shared" si="113"/>
        <v>289.97763864701</v>
      </c>
      <c r="AN192" s="59">
        <f ca="1">AVERAGE(OFFSET($AM$3,0,0,'Données projet'!$E$10+1,1))-AVERAGE(OFFSET($H$3,0,0,'Données projet'!$E$10+1,1))</f>
        <v>486.36097333679697</v>
      </c>
      <c r="AO192" s="59">
        <f t="shared" si="144"/>
        <v>308.47736602748159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36.931875179747237</v>
      </c>
      <c r="AV192" s="21">
        <f>EXP(-LN(2)/25)*AV191+(1-EXP(-LN(2)/25))/(LN(2)/25)*Calculateur!AQ192*Calculateur!AS192*VLOOKUP('Données projet'!$B$10,Paramètres!$A$1:$I$89,3,0)*0.475*44/12</f>
        <v>4.8227697186984537</v>
      </c>
      <c r="AW192" s="21">
        <f>EXP(-LN(2)/2)*AW191+(1-EXP(-LN(2)/2))/(LN(2)/2)*AQ192*AT192*VLOOKUP('Données projet'!$B$10,Paramètres!$A$1:$I$89,3,0)*0.475*44/12</f>
        <v>9.4322591964064392E-9</v>
      </c>
      <c r="AX192" s="21">
        <f t="shared" si="166"/>
        <v>41.754644907877946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408.246209980743</v>
      </c>
      <c r="BJ192" s="59">
        <f t="shared" si="146"/>
        <v>394.10236303013903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6.5914074234890538</v>
      </c>
      <c r="BQ192" s="21">
        <f>EXP(-LN(2)/25)*BQ191+(1-EXP(-LN(2)/25))/(LN(2)/25)*Calculateur!BL192*Calculateur!BN192*VLOOKUP('Données projet'!$B$11,Paramètres!$A$1:$I$89,3,0)*0.475*44/12</f>
        <v>2.7443874456192017</v>
      </c>
      <c r="BR192" s="21">
        <f>EXP(-LN(2)/2)*BR191+(1-EXP(-LN(2)/2))/(LN(2)/2)*BL192*BO192*VLOOKUP('Données projet'!$B$11,Paramètres!$A$1:$I$89,3,0)*0.475*44/12</f>
        <v>2.690394979563744E-15</v>
      </c>
      <c r="BS192" s="22">
        <f t="shared" si="169"/>
        <v>9.3357948691082591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290.03585244761103</v>
      </c>
      <c r="S193" s="59">
        <f ca="1">AVERAGE(OFFSET($R$3,0,0,'Données projet'!$E$9+1,1))-AVERAGE(OFFSET($H$3,0,0,'Données projet'!$E$9+1,1))</f>
        <v>737.40414421611001</v>
      </c>
      <c r="T193" s="59">
        <f t="shared" si="142"/>
        <v>245.32893490531674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2.5579538487363607E-13</v>
      </c>
      <c r="AJ193" s="13">
        <f>AI193*VLOOKUP('Données projet'!$B$10,Paramètres!$A$1:$I$89,3,0)*VLOOKUP('Données projet'!$B$10,Paramètres!$A$1:$I$89,5,0)</f>
        <v>2.4341488824575211E-13</v>
      </c>
      <c r="AK193" s="13">
        <f t="shared" si="164"/>
        <v>3.2970717324875541E-12</v>
      </c>
      <c r="AL193" s="20">
        <f t="shared" si="165"/>
        <v>6.1663475311105072E-12</v>
      </c>
      <c r="AM193" s="59">
        <f t="shared" si="113"/>
        <v>290.03585244760842</v>
      </c>
      <c r="AN193" s="59">
        <f ca="1">AVERAGE(OFFSET($AM$3,0,0,'Données projet'!$E$10+1,1))-AVERAGE(OFFSET($H$3,0,0,'Données projet'!$E$10+1,1))</f>
        <v>486.36097333679697</v>
      </c>
      <c r="AO193" s="59">
        <f t="shared" si="144"/>
        <v>308.47736602748159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36.207663633691972</v>
      </c>
      <c r="AV193" s="21">
        <f>EXP(-LN(2)/25)*AV192+(1-EXP(-LN(2)/25))/(LN(2)/25)*Calculateur!AQ193*Calculateur!AS193*VLOOKUP('Données projet'!$B$10,Paramètres!$A$1:$I$89,3,0)*0.475*44/12</f>
        <v>4.6908908271222076</v>
      </c>
      <c r="AW193" s="21">
        <f>EXP(-LN(2)/2)*AW192+(1-EXP(-LN(2)/2))/(LN(2)/2)*AQ193*AT193*VLOOKUP('Données projet'!$B$10,Paramètres!$A$1:$I$89,3,0)*0.475*44/12</f>
        <v>6.6696144396881686E-9</v>
      </c>
      <c r="AX193" s="21">
        <f t="shared" si="166"/>
        <v>40.898554467483798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408.246209980743</v>
      </c>
      <c r="BJ193" s="59">
        <f t="shared" si="146"/>
        <v>394.10236303013903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6.4621539442759843</v>
      </c>
      <c r="BQ193" s="21">
        <f>EXP(-LN(2)/25)*BQ192+(1-EXP(-LN(2)/25))/(LN(2)/25)*Calculateur!BL193*Calculateur!BN193*VLOOKUP('Données projet'!$B$11,Paramètres!$A$1:$I$89,3,0)*0.475*44/12</f>
        <v>2.6693420265976813</v>
      </c>
      <c r="BR193" s="21">
        <f>EXP(-LN(2)/2)*BR192+(1-EXP(-LN(2)/2))/(LN(2)/2)*BL193*BO193*VLOOKUP('Données projet'!$B$11,Paramètres!$A$1:$I$89,3,0)*0.475*44/12</f>
        <v>1.9023965341197663E-15</v>
      </c>
      <c r="BS193" s="22">
        <f t="shared" si="169"/>
        <v>9.1314959708736669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290.0930563689156</v>
      </c>
      <c r="S194" s="59">
        <f ca="1">AVERAGE(OFFSET($R$3,0,0,'Données projet'!$E$9+1,1))-AVERAGE(OFFSET($H$3,0,0,'Données projet'!$E$9+1,1))</f>
        <v>737.40414421611001</v>
      </c>
      <c r="T194" s="59">
        <f t="shared" si="142"/>
        <v>245.32893490531674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2.5579538487363607E-13</v>
      </c>
      <c r="AJ194" s="13">
        <f>AI194*VLOOKUP('Données projet'!$B$10,Paramètres!$A$1:$I$89,3,0)*VLOOKUP('Données projet'!$B$10,Paramètres!$A$1:$I$89,5,0)</f>
        <v>2.4341488824575211E-13</v>
      </c>
      <c r="AK194" s="13">
        <f t="shared" si="164"/>
        <v>3.2970717324875541E-12</v>
      </c>
      <c r="AL194" s="20">
        <f t="shared" si="165"/>
        <v>6.1663475311105072E-12</v>
      </c>
      <c r="AM194" s="59">
        <f t="shared" si="113"/>
        <v>290.09305636891298</v>
      </c>
      <c r="AN194" s="59">
        <f ca="1">AVERAGE(OFFSET($AM$3,0,0,'Données projet'!$E$10+1,1))-AVERAGE(OFFSET($H$3,0,0,'Données projet'!$E$10+1,1))</f>
        <v>486.36097333679697</v>
      </c>
      <c r="AO194" s="59">
        <f t="shared" si="144"/>
        <v>308.47736602748159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35.497653434329429</v>
      </c>
      <c r="AV194" s="21">
        <f>EXP(-LN(2)/25)*AV193+(1-EXP(-LN(2)/25))/(LN(2)/25)*Calculateur!AQ194*Calculateur!AS194*VLOOKUP('Données projet'!$B$10,Paramètres!$A$1:$I$89,3,0)*0.475*44/12</f>
        <v>4.5626181707713238</v>
      </c>
      <c r="AW194" s="21">
        <f>EXP(-LN(2)/2)*AW193+(1-EXP(-LN(2)/2))/(LN(2)/2)*AQ194*AT194*VLOOKUP('Données projet'!$B$10,Paramètres!$A$1:$I$89,3,0)*0.475*44/12</f>
        <v>4.7161295982032196E-9</v>
      </c>
      <c r="AX194" s="21">
        <f t="shared" si="166"/>
        <v>40.06027160981688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408.246209980743</v>
      </c>
      <c r="BJ194" s="59">
        <f t="shared" si="146"/>
        <v>394.10236303013903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6.3354350469534451</v>
      </c>
      <c r="BQ194" s="21">
        <f>EXP(-LN(2)/25)*BQ193+(1-EXP(-LN(2)/25))/(LN(2)/25)*Calculateur!BL194*Calculateur!BN194*VLOOKUP('Données projet'!$B$11,Paramètres!$A$1:$I$89,3,0)*0.475*44/12</f>
        <v>2.5963487285057711</v>
      </c>
      <c r="BR194" s="21">
        <f>EXP(-LN(2)/2)*BR193+(1-EXP(-LN(2)/2))/(LN(2)/2)*BL194*BO194*VLOOKUP('Données projet'!$B$11,Paramètres!$A$1:$I$89,3,0)*0.475*44/12</f>
        <v>1.345197489781872E-15</v>
      </c>
      <c r="BS194" s="22">
        <f t="shared" si="169"/>
        <v>8.931783775459218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290.14926793007442</v>
      </c>
      <c r="S195" s="59">
        <f ca="1">AVERAGE(OFFSET($R$3,0,0,'Données projet'!$E$9+1,1))-AVERAGE(OFFSET($H$3,0,0,'Données projet'!$E$9+1,1))</f>
        <v>737.40414421611001</v>
      </c>
      <c r="T195" s="59">
        <f t="shared" si="142"/>
        <v>245.32893490531674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2.5579538487363607E-13</v>
      </c>
      <c r="AJ195" s="13">
        <f>AI195*VLOOKUP('Données projet'!$B$10,Paramètres!$A$1:$I$89,3,0)*VLOOKUP('Données projet'!$B$10,Paramètres!$A$1:$I$89,5,0)</f>
        <v>2.4341488824575211E-13</v>
      </c>
      <c r="AK195" s="13">
        <f t="shared" si="164"/>
        <v>3.2970717324875541E-12</v>
      </c>
      <c r="AL195" s="20">
        <f t="shared" si="165"/>
        <v>6.1663475311105072E-12</v>
      </c>
      <c r="AM195" s="59">
        <f t="shared" si="113"/>
        <v>290.1492679300718</v>
      </c>
      <c r="AN195" s="59">
        <f ca="1">AVERAGE(OFFSET($AM$3,0,0,'Données projet'!$E$10+1,1))-AVERAGE(OFFSET($H$3,0,0,'Données projet'!$E$10+1,1))</f>
        <v>486.36097333679697</v>
      </c>
      <c r="AO195" s="59">
        <f t="shared" si="144"/>
        <v>308.47736602748159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34.801566101912925</v>
      </c>
      <c r="AV195" s="21">
        <f>EXP(-LN(2)/25)*AV194+(1-EXP(-LN(2)/25))/(LN(2)/25)*Calculateur!AQ195*Calculateur!AS195*VLOOKUP('Données projet'!$B$10,Paramètres!$A$1:$I$89,3,0)*0.475*44/12</f>
        <v>4.4378531369539207</v>
      </c>
      <c r="AW195" s="21">
        <f>EXP(-LN(2)/2)*AW194+(1-EXP(-LN(2)/2))/(LN(2)/2)*AQ195*AT195*VLOOKUP('Données projet'!$B$10,Paramètres!$A$1:$I$89,3,0)*0.475*44/12</f>
        <v>3.3348072198440843E-9</v>
      </c>
      <c r="AX195" s="21">
        <f t="shared" si="166"/>
        <v>39.239419242201649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408.246209980743</v>
      </c>
      <c r="BJ195" s="59">
        <f t="shared" si="146"/>
        <v>394.10236303013903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6.2112010299165057</v>
      </c>
      <c r="BQ195" s="21">
        <f>EXP(-LN(2)/25)*BQ194+(1-EXP(-LN(2)/25))/(LN(2)/25)*Calculateur!BL195*Calculateur!BN195*VLOOKUP('Données projet'!$B$11,Paramètres!$A$1:$I$89,3,0)*0.475*44/12</f>
        <v>2.525351435988735</v>
      </c>
      <c r="BR195" s="21">
        <f>EXP(-LN(2)/2)*BR194+(1-EXP(-LN(2)/2))/(LN(2)/2)*BL195*BO195*VLOOKUP('Données projet'!$B$11,Paramètres!$A$1:$I$89,3,0)*0.475*44/12</f>
        <v>9.5119826705988313E-16</v>
      </c>
      <c r="BS195" s="22">
        <f t="shared" si="169"/>
        <v>8.7365524659052429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290.20450434631726</v>
      </c>
      <c r="S196" s="59">
        <f ca="1">AVERAGE(OFFSET($R$3,0,0,'Données projet'!$E$9+1,1))-AVERAGE(OFFSET($H$3,0,0,'Données projet'!$E$9+1,1))</f>
        <v>737.40414421611001</v>
      </c>
      <c r="T196" s="59">
        <f t="shared" si="142"/>
        <v>245.32893490531674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2.5579538487363607E-13</v>
      </c>
      <c r="AJ196" s="13">
        <f>AI196*VLOOKUP('Données projet'!$B$10,Paramètres!$A$1:$I$89,3,0)*VLOOKUP('Données projet'!$B$10,Paramètres!$A$1:$I$89,5,0)</f>
        <v>2.4341488824575211E-13</v>
      </c>
      <c r="AK196" s="13">
        <f t="shared" si="164"/>
        <v>3.2970717324875541E-12</v>
      </c>
      <c r="AL196" s="20">
        <f t="shared" si="165"/>
        <v>6.1663475311105072E-12</v>
      </c>
      <c r="AM196" s="59">
        <f t="shared" ref="AM196:AM203" si="193">AL196+(AD196+AE196)*44/12</f>
        <v>290.20450434631465</v>
      </c>
      <c r="AN196" s="59">
        <f ca="1">AVERAGE(OFFSET($AM$3,0,0,'Données projet'!$E$10+1,1))-AVERAGE(OFFSET($H$3,0,0,'Données projet'!$E$10+1,1))</f>
        <v>486.36097333679697</v>
      </c>
      <c r="AO196" s="59">
        <f t="shared" si="144"/>
        <v>308.47736602748159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34.119128617513759</v>
      </c>
      <c r="AV196" s="21">
        <f>EXP(-LN(2)/25)*AV195+(1-EXP(-LN(2)/25))/(LN(2)/25)*Calculateur!AQ196*Calculateur!AS196*VLOOKUP('Données projet'!$B$10,Paramètres!$A$1:$I$89,3,0)*0.475*44/12</f>
        <v>4.3164998095473619</v>
      </c>
      <c r="AW196" s="21">
        <f>EXP(-LN(2)/2)*AW195+(1-EXP(-LN(2)/2))/(LN(2)/2)*AQ196*AT196*VLOOKUP('Données projet'!$B$10,Paramètres!$A$1:$I$89,3,0)*0.475*44/12</f>
        <v>2.3580647991016098E-9</v>
      </c>
      <c r="AX196" s="21">
        <f t="shared" si="166"/>
        <v>38.435628429419182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408.246209980743</v>
      </c>
      <c r="BJ196" s="59">
        <f t="shared" si="146"/>
        <v>394.10236303013903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6.0894031661783918</v>
      </c>
      <c r="BQ196" s="21">
        <f>EXP(-LN(2)/25)*BQ195+(1-EXP(-LN(2)/25))/(LN(2)/25)*Calculateur!BL196*Calculateur!BN196*VLOOKUP('Données projet'!$B$11,Paramètres!$A$1:$I$89,3,0)*0.475*44/12</f>
        <v>2.4562955681691627</v>
      </c>
      <c r="BR196" s="21">
        <f>EXP(-LN(2)/2)*BR195+(1-EXP(-LN(2)/2))/(LN(2)/2)*BL196*BO196*VLOOKUP('Données projet'!$B$11,Paramètres!$A$1:$I$89,3,0)*0.475*44/12</f>
        <v>6.7259874489093599E-16</v>
      </c>
      <c r="BS196" s="22">
        <f t="shared" si="169"/>
        <v>8.545698734347555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290.25878253422849</v>
      </c>
      <c r="S197" s="59">
        <f ca="1">AVERAGE(OFFSET($R$3,0,0,'Données projet'!$E$9+1,1))-AVERAGE(OFFSET($H$3,0,0,'Données projet'!$E$9+1,1))</f>
        <v>737.40414421611001</v>
      </c>
      <c r="T197" s="59">
        <f t="shared" ref="T197:T203" si="204">$T$3</f>
        <v>245.32893490531674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2.5579538487363607E-13</v>
      </c>
      <c r="AJ197" s="13">
        <f>AI197*VLOOKUP('Données projet'!$B$10,Paramètres!$A$1:$I$89,3,0)*VLOOKUP('Données projet'!$B$10,Paramètres!$A$1:$I$89,5,0)</f>
        <v>2.4341488824575211E-13</v>
      </c>
      <c r="AK197" s="13">
        <f t="shared" si="164"/>
        <v>3.2970717324875541E-12</v>
      </c>
      <c r="AL197" s="20">
        <f t="shared" si="165"/>
        <v>6.1663475311105072E-12</v>
      </c>
      <c r="AM197" s="59">
        <f t="shared" si="193"/>
        <v>290.25878253422587</v>
      </c>
      <c r="AN197" s="59">
        <f ca="1">AVERAGE(OFFSET($AM$3,0,0,'Données projet'!$E$10+1,1))-AVERAGE(OFFSET($H$3,0,0,'Données projet'!$E$10+1,1))</f>
        <v>486.36097333679697</v>
      </c>
      <c r="AO197" s="59">
        <f t="shared" ref="AO197:AO203" si="205">$AO$3</f>
        <v>308.47736602748159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33.450073315937892</v>
      </c>
      <c r="AV197" s="21">
        <f>EXP(-LN(2)/25)*AV196+(1-EXP(-LN(2)/25))/(LN(2)/25)*Calculateur!AQ197*Calculateur!AS197*VLOOKUP('Données projet'!$B$10,Paramètres!$A$1:$I$89,3,0)*0.475*44/12</f>
        <v>4.1984648952604298</v>
      </c>
      <c r="AW197" s="21">
        <f>EXP(-LN(2)/2)*AW196+(1-EXP(-LN(2)/2))/(LN(2)/2)*AQ197*AT197*VLOOKUP('Données projet'!$B$10,Paramètres!$A$1:$I$89,3,0)*0.475*44/12</f>
        <v>1.6674036099220422E-9</v>
      </c>
      <c r="AX197" s="21">
        <f t="shared" si="166"/>
        <v>37.648538212865724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408.246209980743</v>
      </c>
      <c r="BJ197" s="59">
        <f t="shared" ref="BJ197:BJ203" si="206">$BJ$3</f>
        <v>394.10236303013903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5.9699936842588208</v>
      </c>
      <c r="BQ197" s="21">
        <f>EXP(-LN(2)/25)*BQ196+(1-EXP(-LN(2)/25))/(LN(2)/25)*Calculateur!BL197*Calculateur!BN197*VLOOKUP('Données projet'!$B$11,Paramètres!$A$1:$I$89,3,0)*0.475*44/12</f>
        <v>2.389128036686607</v>
      </c>
      <c r="BR197" s="21">
        <f>EXP(-LN(2)/2)*BR196+(1-EXP(-LN(2)/2))/(LN(2)/2)*BL197*BO197*VLOOKUP('Données projet'!$B$11,Paramètres!$A$1:$I$89,3,0)*0.475*44/12</f>
        <v>4.7559913352994157E-16</v>
      </c>
      <c r="BS197" s="22">
        <f t="shared" si="169"/>
        <v>8.3591217209454278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290.31211911692725</v>
      </c>
      <c r="S198" s="59">
        <f ca="1">AVERAGE(OFFSET($R$3,0,0,'Données projet'!$E$9+1,1))-AVERAGE(OFFSET($H$3,0,0,'Données projet'!$E$9+1,1))</f>
        <v>737.40414421611001</v>
      </c>
      <c r="T198" s="59">
        <f t="shared" si="204"/>
        <v>245.32893490531674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2.5579538487363607E-13</v>
      </c>
      <c r="AJ198" s="13">
        <f>AI198*VLOOKUP('Données projet'!$B$10,Paramètres!$A$1:$I$89,3,0)*VLOOKUP('Données projet'!$B$10,Paramètres!$A$1:$I$89,5,0)</f>
        <v>2.4341488824575211E-13</v>
      </c>
      <c r="AK198" s="13">
        <f t="shared" si="164"/>
        <v>3.2970717324875541E-12</v>
      </c>
      <c r="AL198" s="20">
        <f t="shared" si="165"/>
        <v>6.1663475311105072E-12</v>
      </c>
      <c r="AM198" s="59">
        <f t="shared" si="193"/>
        <v>290.31211911692463</v>
      </c>
      <c r="AN198" s="59">
        <f ca="1">AVERAGE(OFFSET($AM$3,0,0,'Données projet'!$E$10+1,1))-AVERAGE(OFFSET($H$3,0,0,'Données projet'!$E$10+1,1))</f>
        <v>486.36097333679697</v>
      </c>
      <c r="AO198" s="59">
        <f t="shared" si="205"/>
        <v>308.47736602748159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32.794137780742489</v>
      </c>
      <c r="AV198" s="21">
        <f>EXP(-LN(2)/25)*AV197+(1-EXP(-LN(2)/25))/(LN(2)/25)*Calculateur!AQ198*Calculateur!AS198*VLOOKUP('Données projet'!$B$10,Paramètres!$A$1:$I$89,3,0)*0.475*44/12</f>
        <v>4.0836576519118601</v>
      </c>
      <c r="AW198" s="21">
        <f>EXP(-LN(2)/2)*AW197+(1-EXP(-LN(2)/2))/(LN(2)/2)*AQ198*AT198*VLOOKUP('Données projet'!$B$10,Paramètres!$A$1:$I$89,3,0)*0.475*44/12</f>
        <v>1.1790323995508049E-9</v>
      </c>
      <c r="AX198" s="21">
        <f t="shared" si="166"/>
        <v>36.877795433833384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408.246209980743</v>
      </c>
      <c r="BJ198" s="59">
        <f t="shared" si="206"/>
        <v>394.10236303013903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5.8529257494471008</v>
      </c>
      <c r="BQ198" s="21">
        <f>EXP(-LN(2)/25)*BQ197+(1-EXP(-LN(2)/25))/(LN(2)/25)*Calculateur!BL198*Calculateur!BN198*VLOOKUP('Données projet'!$B$11,Paramètres!$A$1:$I$89,3,0)*0.475*44/12</f>
        <v>2.3237972048846287</v>
      </c>
      <c r="BR198" s="21">
        <f>EXP(-LN(2)/2)*BR197+(1-EXP(-LN(2)/2))/(LN(2)/2)*BL198*BO198*VLOOKUP('Données projet'!$B$11,Paramètres!$A$1:$I$89,3,0)*0.475*44/12</f>
        <v>3.3629937244546799E-16</v>
      </c>
      <c r="BS198" s="22">
        <f t="shared" si="169"/>
        <v>8.1767229543317299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290.36453042915895</v>
      </c>
      <c r="S199" s="59">
        <f ca="1">AVERAGE(OFFSET($R$3,0,0,'Données projet'!$E$9+1,1))-AVERAGE(OFFSET($H$3,0,0,'Données projet'!$E$9+1,1))</f>
        <v>737.40414421611001</v>
      </c>
      <c r="T199" s="59">
        <f t="shared" si="204"/>
        <v>245.32893490531674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2.5579538487363607E-13</v>
      </c>
      <c r="AJ199" s="13">
        <f>AI199*VLOOKUP('Données projet'!$B$10,Paramètres!$A$1:$I$89,3,0)*VLOOKUP('Données projet'!$B$10,Paramètres!$A$1:$I$89,5,0)</f>
        <v>2.4341488824575211E-13</v>
      </c>
      <c r="AK199" s="13">
        <f t="shared" si="164"/>
        <v>3.2970717324875541E-12</v>
      </c>
      <c r="AL199" s="20">
        <f t="shared" si="165"/>
        <v>6.1663475311105072E-12</v>
      </c>
      <c r="AM199" s="59">
        <f t="shared" si="193"/>
        <v>290.36453042915633</v>
      </c>
      <c r="AN199" s="59">
        <f ca="1">AVERAGE(OFFSET($AM$3,0,0,'Données projet'!$E$10+1,1))-AVERAGE(OFFSET($H$3,0,0,'Données projet'!$E$10+1,1))</f>
        <v>486.36097333679697</v>
      </c>
      <c r="AO199" s="59">
        <f t="shared" si="205"/>
        <v>308.47736602748159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32.151064741311096</v>
      </c>
      <c r="AV199" s="21">
        <f>EXP(-LN(2)/25)*AV198+(1-EXP(-LN(2)/25))/(LN(2)/25)*Calculateur!AQ199*Calculateur!AS199*VLOOKUP('Données projet'!$B$10,Paramètres!$A$1:$I$89,3,0)*0.475*44/12</f>
        <v>3.9719898186701079</v>
      </c>
      <c r="AW199" s="21">
        <f>EXP(-LN(2)/2)*AW198+(1-EXP(-LN(2)/2))/(LN(2)/2)*AQ199*AT199*VLOOKUP('Données projet'!$B$10,Paramètres!$A$1:$I$89,3,0)*0.475*44/12</f>
        <v>8.3370180496102108E-10</v>
      </c>
      <c r="AX199" s="21">
        <f t="shared" si="166"/>
        <v>36.123054560814907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408.246209980743</v>
      </c>
      <c r="BJ199" s="59">
        <f t="shared" si="206"/>
        <v>394.10236303013903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5.7381534454326486</v>
      </c>
      <c r="BQ199" s="21">
        <f>EXP(-LN(2)/25)*BQ198+(1-EXP(-LN(2)/25))/(LN(2)/25)*Calculateur!BL199*Calculateur!BN199*VLOOKUP('Données projet'!$B$11,Paramètres!$A$1:$I$89,3,0)*0.475*44/12</f>
        <v>2.2602528481138746</v>
      </c>
      <c r="BR199" s="21">
        <f>EXP(-LN(2)/2)*BR198+(1-EXP(-LN(2)/2))/(LN(2)/2)*BL199*BO199*VLOOKUP('Données projet'!$B$11,Paramètres!$A$1:$I$89,3,0)*0.475*44/12</f>
        <v>2.3779956676497078E-16</v>
      </c>
      <c r="BS199" s="22">
        <f t="shared" si="169"/>
        <v>7.9984062935465232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290.41603252229754</v>
      </c>
      <c r="S200" s="59">
        <f ca="1">AVERAGE(OFFSET($R$3,0,0,'Données projet'!$E$9+1,1))-AVERAGE(OFFSET($H$3,0,0,'Données projet'!$E$9+1,1))</f>
        <v>737.40414421611001</v>
      </c>
      <c r="T200" s="59">
        <f t="shared" si="204"/>
        <v>245.32893490531674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2.5579538487363607E-13</v>
      </c>
      <c r="AJ200" s="13">
        <f>AI200*VLOOKUP('Données projet'!$B$10,Paramètres!$A$1:$I$89,3,0)*VLOOKUP('Données projet'!$B$10,Paramètres!$A$1:$I$89,5,0)</f>
        <v>2.4341488824575211E-13</v>
      </c>
      <c r="AK200" s="13">
        <f t="shared" si="164"/>
        <v>3.2970717324875541E-12</v>
      </c>
      <c r="AL200" s="20">
        <f t="shared" si="165"/>
        <v>6.1663475311105072E-12</v>
      </c>
      <c r="AM200" s="59">
        <f t="shared" si="193"/>
        <v>290.41603252229493</v>
      </c>
      <c r="AN200" s="59">
        <f ca="1">AVERAGE(OFFSET($AM$3,0,0,'Données projet'!$E$10+1,1))-AVERAGE(OFFSET($H$3,0,0,'Données projet'!$E$10+1,1))</f>
        <v>486.36097333679697</v>
      </c>
      <c r="AO200" s="59">
        <f t="shared" si="205"/>
        <v>308.47736602748159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31.52060197194713</v>
      </c>
      <c r="AV200" s="21">
        <f>EXP(-LN(2)/25)*AV199+(1-EXP(-LN(2)/25))/(LN(2)/25)*Calculateur!AQ200*Calculateur!AS200*VLOOKUP('Données projet'!$B$10,Paramètres!$A$1:$I$89,3,0)*0.475*44/12</f>
        <v>3.8633755482007075</v>
      </c>
      <c r="AW200" s="21">
        <f>EXP(-LN(2)/2)*AW199+(1-EXP(-LN(2)/2))/(LN(2)/2)*AQ200*AT200*VLOOKUP('Données projet'!$B$10,Paramètres!$A$1:$I$89,3,0)*0.475*44/12</f>
        <v>5.8951619977540245E-10</v>
      </c>
      <c r="AX200" s="21">
        <f t="shared" si="166"/>
        <v>35.383977520737353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408.246209980743</v>
      </c>
      <c r="BJ200" s="59">
        <f t="shared" si="206"/>
        <v>394.10236303013903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5.6256317562957268</v>
      </c>
      <c r="BQ200" s="21">
        <f>EXP(-LN(2)/25)*BQ199+(1-EXP(-LN(2)/25))/(LN(2)/25)*Calculateur!BL200*Calculateur!BN200*VLOOKUP('Données projet'!$B$11,Paramètres!$A$1:$I$89,3,0)*0.475*44/12</f>
        <v>2.1984461151206691</v>
      </c>
      <c r="BR200" s="21">
        <f>EXP(-LN(2)/2)*BR199+(1-EXP(-LN(2)/2))/(LN(2)/2)*BL200*BO200*VLOOKUP('Données projet'!$B$11,Paramètres!$A$1:$I$89,3,0)*0.475*44/12</f>
        <v>1.68149686222734E-16</v>
      </c>
      <c r="BS200" s="22">
        <f t="shared" si="169"/>
        <v>7.8240778714163959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290.46664116926166</v>
      </c>
      <c r="S201" s="59">
        <f ca="1">AVERAGE(OFFSET($R$3,0,0,'Données projet'!$E$9+1,1))-AVERAGE(OFFSET($H$3,0,0,'Données projet'!$E$9+1,1))</f>
        <v>737.40414421611001</v>
      </c>
      <c r="T201" s="59">
        <f t="shared" si="204"/>
        <v>245.32893490531674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2.5579538487363607E-13</v>
      </c>
      <c r="AJ201" s="13">
        <f>AI201*VLOOKUP('Données projet'!$B$10,Paramètres!$A$1:$I$89,3,0)*VLOOKUP('Données projet'!$B$10,Paramètres!$A$1:$I$89,5,0)</f>
        <v>2.4341488824575211E-13</v>
      </c>
      <c r="AK201" s="13">
        <f t="shared" si="164"/>
        <v>3.2970717324875541E-12</v>
      </c>
      <c r="AL201" s="20">
        <f t="shared" si="165"/>
        <v>6.1663475311105072E-12</v>
      </c>
      <c r="AM201" s="59">
        <f t="shared" si="193"/>
        <v>290.46664116925905</v>
      </c>
      <c r="AN201" s="59">
        <f ca="1">AVERAGE(OFFSET($AM$3,0,0,'Données projet'!$E$10+1,1))-AVERAGE(OFFSET($H$3,0,0,'Données projet'!$E$10+1,1))</f>
        <v>486.36097333679697</v>
      </c>
      <c r="AO201" s="59">
        <f t="shared" si="205"/>
        <v>308.47736602748159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30.902502192946073</v>
      </c>
      <c r="AV201" s="21">
        <f>EXP(-LN(2)/25)*AV200+(1-EXP(-LN(2)/25))/(LN(2)/25)*Calculateur!AQ201*Calculateur!AS201*VLOOKUP('Données projet'!$B$10,Paramètres!$A$1:$I$89,3,0)*0.475*44/12</f>
        <v>3.7577313406690691</v>
      </c>
      <c r="AW201" s="21">
        <f>EXP(-LN(2)/2)*AW200+(1-EXP(-LN(2)/2))/(LN(2)/2)*AQ201*AT201*VLOOKUP('Données projet'!$B$10,Paramètres!$A$1:$I$89,3,0)*0.475*44/12</f>
        <v>4.1685090248051054E-10</v>
      </c>
      <c r="AX201" s="21">
        <f t="shared" si="166"/>
        <v>34.660233534031995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408.246209980743</v>
      </c>
      <c r="BJ201" s="59">
        <f t="shared" si="206"/>
        <v>394.10236303013903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5.5153165488513265</v>
      </c>
      <c r="BQ201" s="21">
        <f>EXP(-LN(2)/25)*BQ200+(1-EXP(-LN(2)/25))/(LN(2)/25)*Calculateur!BL201*Calculateur!BN201*VLOOKUP('Données projet'!$B$11,Paramètres!$A$1:$I$89,3,0)*0.475*44/12</f>
        <v>2.1383294904914378</v>
      </c>
      <c r="BR201" s="21">
        <f>EXP(-LN(2)/2)*BR200+(1-EXP(-LN(2)/2))/(LN(2)/2)*BL201*BO201*VLOOKUP('Données projet'!$B$11,Paramètres!$A$1:$I$89,3,0)*0.475*44/12</f>
        <v>1.1889978338248539E-16</v>
      </c>
      <c r="BS201" s="22">
        <f t="shared" si="169"/>
        <v>7.6536460393427639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290.51637186934488</v>
      </c>
      <c r="S202" s="59">
        <f ca="1">AVERAGE(OFFSET($R$3,0,0,'Données projet'!$E$9+1,1))-AVERAGE(OFFSET($H$3,0,0,'Données projet'!$E$9+1,1))</f>
        <v>737.40414421611001</v>
      </c>
      <c r="T202" s="59">
        <f t="shared" si="204"/>
        <v>245.32893490531674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2.5579538487363607E-13</v>
      </c>
      <c r="AJ202" s="13">
        <f>AI202*VLOOKUP('Données projet'!$B$10,Paramètres!$A$1:$I$89,3,0)*VLOOKUP('Données projet'!$B$10,Paramètres!$A$1:$I$89,5,0)</f>
        <v>2.4341488824575211E-13</v>
      </c>
      <c r="AK202" s="13">
        <f t="shared" si="164"/>
        <v>3.2970717324875541E-12</v>
      </c>
      <c r="AL202" s="20">
        <f t="shared" si="165"/>
        <v>6.1663475311105072E-12</v>
      </c>
      <c r="AM202" s="59">
        <f t="shared" si="193"/>
        <v>290.51637186934227</v>
      </c>
      <c r="AN202" s="59">
        <f ca="1">AVERAGE(OFFSET($AM$3,0,0,'Données projet'!$E$10+1,1))-AVERAGE(OFFSET($H$3,0,0,'Données projet'!$E$10+1,1))</f>
        <v>486.36097333679697</v>
      </c>
      <c r="AO202" s="59">
        <f t="shared" si="205"/>
        <v>308.47736602748159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30.296522973607587</v>
      </c>
      <c r="AV202" s="21">
        <f>EXP(-LN(2)/25)*AV201+(1-EXP(-LN(2)/25))/(LN(2)/25)*Calculateur!AQ202*Calculateur!AS202*VLOOKUP('Données projet'!$B$10,Paramètres!$A$1:$I$89,3,0)*0.475*44/12</f>
        <v>3.6549759795479706</v>
      </c>
      <c r="AW202" s="21">
        <f>EXP(-LN(2)/2)*AW201+(1-EXP(-LN(2)/2))/(LN(2)/2)*AQ202*AT202*VLOOKUP('Données projet'!$B$10,Paramètres!$A$1:$I$89,3,0)*0.475*44/12</f>
        <v>2.9475809988770122E-10</v>
      </c>
      <c r="AX202" s="21">
        <f t="shared" si="166"/>
        <v>33.951498953450319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408.246209980743</v>
      </c>
      <c r="BJ202" s="59">
        <f t="shared" si="206"/>
        <v>394.10236303013903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5.4071645553392784</v>
      </c>
      <c r="BQ202" s="21">
        <f>EXP(-LN(2)/25)*BQ201+(1-EXP(-LN(2)/25))/(LN(2)/25)*Calculateur!BL202*Calculateur!BN202*VLOOKUP('Données projet'!$B$11,Paramètres!$A$1:$I$89,3,0)*0.475*44/12</f>
        <v>2.0798567581240888</v>
      </c>
      <c r="BR202" s="21">
        <f>EXP(-LN(2)/2)*BR201+(1-EXP(-LN(2)/2))/(LN(2)/2)*BL202*BO202*VLOOKUP('Données projet'!$B$11,Paramètres!$A$1:$I$89,3,0)*0.475*44/12</f>
        <v>8.4074843111366999E-17</v>
      </c>
      <c r="BS202" s="22">
        <f t="shared" si="169"/>
        <v>7.4870213134633676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290.56523985296286</v>
      </c>
      <c r="S203" s="59">
        <f ca="1">AVERAGE(OFFSET($R$3,0,0,'Données projet'!$E$9+1,1))-AVERAGE(OFFSET($H$3,0,0,'Données projet'!$E$9+1,1))</f>
        <v>737.40414421611001</v>
      </c>
      <c r="T203" s="59">
        <f t="shared" si="204"/>
        <v>245.32893490531674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2.5579538487363607E-13</v>
      </c>
      <c r="AJ203" s="13">
        <f>AI203*VLOOKUP('Données projet'!$B$10,Paramètres!$A$1:$I$89,3,0)*VLOOKUP('Données projet'!$B$10,Paramètres!$A$1:$I$89,5,0)</f>
        <v>2.4341488824575211E-13</v>
      </c>
      <c r="AK203" s="13">
        <f t="shared" si="164"/>
        <v>3.2970717324875541E-12</v>
      </c>
      <c r="AL203" s="20">
        <f t="shared" si="165"/>
        <v>6.1663475311105072E-12</v>
      </c>
      <c r="AM203" s="59">
        <f t="shared" si="193"/>
        <v>290.56523985296025</v>
      </c>
      <c r="AN203" s="59">
        <f ca="1">AVERAGE(OFFSET($AM$3,0,0,'Données projet'!$E$10+1,1))-AVERAGE(OFFSET($H$3,0,0,'Données projet'!$E$10+1,1))</f>
        <v>486.36097333679697</v>
      </c>
      <c r="AO203" s="59">
        <f t="shared" si="205"/>
        <v>308.47736602748159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29.7024266371495</v>
      </c>
      <c r="AV203" s="21">
        <f>EXP(-LN(2)/25)*AV202+(1-EXP(-LN(2)/25))/(LN(2)/25)*Calculateur!AQ203*Calculateur!AS203*VLOOKUP('Données projet'!$B$10,Paramètres!$A$1:$I$89,3,0)*0.475*44/12</f>
        <v>3.555030469180398</v>
      </c>
      <c r="AW203" s="21">
        <f>EXP(-LN(2)/2)*AW202+(1-EXP(-LN(2)/2))/(LN(2)/2)*AQ203*AT203*VLOOKUP('Données projet'!$B$10,Paramètres!$A$1:$I$89,3,0)*0.475*44/12</f>
        <v>2.0842545124025527E-10</v>
      </c>
      <c r="AX203" s="21">
        <f t="shared" si="166"/>
        <v>33.257457106538318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408.246209980743</v>
      </c>
      <c r="BJ203" s="59">
        <f t="shared" si="206"/>
        <v>394.10236303013903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5.301133356453799</v>
      </c>
      <c r="BQ203" s="21">
        <f>EXP(-LN(2)/25)*BQ202+(1-EXP(-LN(2)/25))/(LN(2)/25)*Calculateur!BL203*Calculateur!BN203*VLOOKUP('Données projet'!$B$11,Paramètres!$A$1:$I$89,3,0)*0.475*44/12</f>
        <v>2.0229829656982723</v>
      </c>
      <c r="BR203" s="21">
        <f>EXP(-LN(2)/2)*BR202+(1-EXP(-LN(2)/2))/(LN(2)/2)*BL203*BO203*VLOOKUP('Données projet'!$B$11,Paramètres!$A$1:$I$89,3,0)*0.475*44/12</f>
        <v>5.9449891691242696E-17</v>
      </c>
      <c r="BS203" s="22">
        <f t="shared" si="169"/>
        <v>7.3241163221520713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1.141469227569226</v>
      </c>
      <c r="BA205" s="82">
        <f>EXP(LN('Données projet'!B88)/'Données projet'!A88)</f>
        <v>1.3208724756526424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D29" sqref="D29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M22" sqref="M22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3.5999999999999996</v>
      </c>
      <c r="C6" s="147">
        <f ca="1">IF(OR('Données projet'!B9="",'Données projet'!C9="",'Données projet'!C9=0%),0,Calculateur!S3)</f>
        <v>737.40414421611001</v>
      </c>
      <c r="D6" s="147">
        <f>IF(OR('Données projet'!B9="",'Données projet'!C9="",'Données projet'!C9=0%),0,Calculateur!T3)</f>
        <v>245.32893490531674</v>
      </c>
      <c r="E6" s="147">
        <f ca="1">MIN(C6,D6)</f>
        <v>245.32893490531674</v>
      </c>
      <c r="F6" s="147">
        <f ca="1">E6*B6</f>
        <v>883.18416565914015</v>
      </c>
      <c r="G6" s="147">
        <f ca="1">F6*(100%-'Données projet'!$C$24)*(100%-'Données projet'!$C$25)*(100%-'Données projet'!$C$26)*(100%-'Données projet'!$C$27)</f>
        <v>794.8657490932261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794.8657490932261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Charme</v>
      </c>
      <c r="B7" s="154">
        <f>'Données projet'!D10</f>
        <v>0.6</v>
      </c>
      <c r="C7" s="147">
        <f ca="1">IF(OR('Données projet'!B10="",'Données projet'!C10="",'Données projet'!C10=0%),0,Calculateur!AN3)</f>
        <v>486.36097333679697</v>
      </c>
      <c r="D7" s="147">
        <f>IF(OR('Données projet'!B10="",'Données projet'!C10="",'Données projet'!C10=0%),0,Calculateur!AO3)</f>
        <v>308.47736602748159</v>
      </c>
      <c r="E7" s="147">
        <f t="shared" ref="E7:E15" ca="1" si="0">MIN(C7,D7)</f>
        <v>308.47736602748159</v>
      </c>
      <c r="F7" s="147">
        <f t="shared" ref="F7:F15" ca="1" si="1">E7*B7</f>
        <v>185.08641961648894</v>
      </c>
      <c r="G7" s="147">
        <f ca="1">F7*(100%-'Données projet'!$C$24)*(100%-'Données projet'!$C$25)*(100%-'Données projet'!$C$26)*(100%-'Données projet'!$C$27)</f>
        <v>166.57777765484005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166.57777765484005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Erable champêtre</v>
      </c>
      <c r="B8" s="154">
        <f>'Données projet'!D11</f>
        <v>0.6</v>
      </c>
      <c r="C8" s="147">
        <f ca="1">IF(OR('Données projet'!B11="",'Données projet'!C11="",'Données projet'!C11=0%),0,Calculateur!BI3)</f>
        <v>408.246209980743</v>
      </c>
      <c r="D8" s="147">
        <f>IF(OR('Données projet'!B11="",'Données projet'!C11="",'Données projet'!C11=0%),0,Calculateur!BJ3)</f>
        <v>394.10236303013903</v>
      </c>
      <c r="E8" s="147">
        <f t="shared" ca="1" si="0"/>
        <v>394.10236303013903</v>
      </c>
      <c r="F8" s="147">
        <f t="shared" ca="1" si="1"/>
        <v>236.46141781808342</v>
      </c>
      <c r="G8" s="147">
        <f ca="1">F8*(100%-'Données projet'!$C$24)*(100%-'Données projet'!$C$25)*(100%-'Données projet'!$C$26)*(100%-'Données projet'!$C$27)</f>
        <v>212.81527603627509</v>
      </c>
      <c r="H8" s="155">
        <f>IF(OR('Données projet'!B11="",'Données projet'!C11="",'Données projet'!C11=0%),0,AVERAGE(Calculateur!$BS$3:$BS$33)*B8)</f>
        <v>3.9779716438927641</v>
      </c>
      <c r="I8" s="149">
        <f>H8*(100%-'Données projet'!$C$24)*(100%-'Données projet'!$C$25)*(100%-'Données projet'!$C$26)*(100%-'Données projet'!$C$27)</f>
        <v>3.580174479503488</v>
      </c>
      <c r="J8" s="150">
        <f>IF(OR('Données projet'!B11="",'Données projet'!C11="",'Données projet'!C11=0%),0,SUM(Calculateur!$BL$3:$BL$33)*VLOOKUP('Données projet'!$B$11,Paramètres!$A$1:$I$89,9,0)*B8)</f>
        <v>20.55</v>
      </c>
      <c r="K8" s="151">
        <f>J8*(100%-'Données projet'!$C$24)*(100%-'Données projet'!$C$25)*(100%-'Données projet'!$C$26)*(100%-'Données projet'!$C$27)</f>
        <v>18.495000000000001</v>
      </c>
      <c r="L8" s="152">
        <f t="shared" ca="1" si="2"/>
        <v>234.89045051577858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1304.7320030937126</v>
      </c>
      <c r="G16" s="166">
        <f t="shared" ca="1" si="3"/>
        <v>1174.2588027843412</v>
      </c>
      <c r="H16" s="167">
        <f t="shared" si="3"/>
        <v>3.9779716438927641</v>
      </c>
      <c r="I16" s="167">
        <f t="shared" si="3"/>
        <v>3.580174479503488</v>
      </c>
      <c r="J16" s="168">
        <f t="shared" si="3"/>
        <v>20.55</v>
      </c>
      <c r="K16" s="168">
        <f t="shared" si="3"/>
        <v>18.495000000000001</v>
      </c>
      <c r="L16" s="169">
        <f t="shared" ca="1" si="3"/>
        <v>1196.3339772638446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6" zoomScale="80" zoomScaleNormal="80" workbookViewId="0">
      <selection activeCell="J23" sqref="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1871.5356930073738</v>
      </c>
      <c r="U10" s="178">
        <f>'Données projet'!D9</f>
        <v>3.5999999999999996</v>
      </c>
      <c r="V10" s="177">
        <f>U10*T10</f>
        <v>6737.5284948265453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730.09564918383762</v>
      </c>
      <c r="U11" s="178">
        <f>'Données projet'!D10</f>
        <v>0.6</v>
      </c>
      <c r="V11" s="177">
        <f t="shared" ref="V11" si="0">U11*T11</f>
        <v>438.05738951030258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1728.1744097706571</v>
      </c>
      <c r="U12" s="178">
        <f>'Données projet'!D11</f>
        <v>0.6</v>
      </c>
      <c r="V12" s="177">
        <f t="shared" ref="V12:V19" si="1">U12*T12</f>
        <v>1036.9046458623943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29578/'Données projet'!C5+(360+1000+150*'Données projet'!C5+600*5)/'Données projet'!C5</f>
        <v>7220.4166666666679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15600/4/'Données projet'!C$5</f>
        <v>812.5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15600/4/'Données projet'!C$5</f>
        <v>812.5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36.679999999999978</v>
      </c>
      <c r="C23" s="193">
        <v>15</v>
      </c>
      <c r="D23" s="182">
        <f>B23*C23</f>
        <v>550.1999999999997</v>
      </c>
      <c r="E23" s="193">
        <v>60</v>
      </c>
      <c r="F23" s="230"/>
      <c r="H23" s="190">
        <v>5</v>
      </c>
      <c r="I23" s="191">
        <f>15600/4/'Données projet'!C$5</f>
        <v>812.5</v>
      </c>
      <c r="J23" s="257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-35071.52235602781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42</v>
      </c>
      <c r="B24" s="181">
        <f>'Données projet'!D37</f>
        <v>58.099999999999994</v>
      </c>
      <c r="C24" s="193">
        <v>15</v>
      </c>
      <c r="D24" s="182">
        <f t="shared" ref="D24:D42" si="2">B24*C24</f>
        <v>871.49999999999989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12997.638678302708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50</v>
      </c>
      <c r="B25" s="181">
        <f>'Données projet'!D38</f>
        <v>70.730000000000018</v>
      </c>
      <c r="C25" s="193">
        <v>15</v>
      </c>
      <c r="D25" s="182">
        <f t="shared" si="2"/>
        <v>1060.9500000000003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304">
        <f ca="1">T23-T24</f>
        <v>-48069.161034330522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58</v>
      </c>
      <c r="B26" s="181">
        <f>'Données projet'!D39</f>
        <v>65.819999999999993</v>
      </c>
      <c r="C26" s="193">
        <v>59.875</v>
      </c>
      <c r="D26" s="182">
        <f t="shared" si="2"/>
        <v>3940.9724999999994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66</v>
      </c>
      <c r="B27" s="181">
        <f>'Données projet'!D40</f>
        <v>76.480000000000018</v>
      </c>
      <c r="C27" s="193">
        <v>59.875</v>
      </c>
      <c r="D27" s="182">
        <f t="shared" si="2"/>
        <v>4579.2400000000007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74</v>
      </c>
      <c r="B28" s="181">
        <f>'Données projet'!D41</f>
        <v>75.29000000000002</v>
      </c>
      <c r="C28" s="193">
        <v>59.875</v>
      </c>
      <c r="D28" s="182">
        <f t="shared" si="2"/>
        <v>4507.9887500000013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82</v>
      </c>
      <c r="B29" s="181">
        <f>'Données projet'!D42</f>
        <v>58.140000000000043</v>
      </c>
      <c r="C29" s="193">
        <v>59.875</v>
      </c>
      <c r="D29" s="182">
        <f t="shared" si="2"/>
        <v>3481.1325000000024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90</v>
      </c>
      <c r="B30" s="181">
        <f>'Données projet'!D43</f>
        <v>68.54000000000002</v>
      </c>
      <c r="C30" s="193">
        <v>59.875</v>
      </c>
      <c r="D30" s="182">
        <f t="shared" si="2"/>
        <v>4103.8325000000013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2707.8413913130644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100</v>
      </c>
      <c r="B31" s="181">
        <f>'Données projet'!D44</f>
        <v>93.039999999999964</v>
      </c>
      <c r="C31" s="193">
        <v>179.75</v>
      </c>
      <c r="D31" s="182">
        <f t="shared" si="2"/>
        <v>16723.939999999995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110</v>
      </c>
      <c r="B32" s="181">
        <f>'Données projet'!D45</f>
        <v>73.299999999999955</v>
      </c>
      <c r="C32" s="193">
        <v>179.75</v>
      </c>
      <c r="D32" s="182">
        <f t="shared" si="2"/>
        <v>13175.674999999992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120</v>
      </c>
      <c r="B33" s="181">
        <f>'Données projet'!D46</f>
        <v>66.050000000000011</v>
      </c>
      <c r="C33" s="193">
        <v>179.75</v>
      </c>
      <c r="D33" s="182">
        <f t="shared" si="2"/>
        <v>11872.487500000003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130</v>
      </c>
      <c r="B34" s="181">
        <f>'Données projet'!D47</f>
        <v>75.799999999999955</v>
      </c>
      <c r="C34" s="193">
        <v>179.75</v>
      </c>
      <c r="D34" s="182">
        <f t="shared" si="2"/>
        <v>13625.049999999992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140</v>
      </c>
      <c r="B35" s="181">
        <f>'Données projet'!D48</f>
        <v>74.669999999999959</v>
      </c>
      <c r="C35" s="193">
        <v>179.75</v>
      </c>
      <c r="D35" s="182">
        <f t="shared" si="2"/>
        <v>13421.932499999994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150</v>
      </c>
      <c r="B36" s="181">
        <f>'Données projet'!D49</f>
        <v>259.52</v>
      </c>
      <c r="C36" s="193">
        <v>234.375</v>
      </c>
      <c r="D36" s="182">
        <f t="shared" si="2"/>
        <v>60824.999999999993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153</v>
      </c>
      <c r="B37" s="181">
        <f>'Données projet'!D50</f>
        <v>156.29000000000002</v>
      </c>
      <c r="C37" s="193">
        <v>234.375</v>
      </c>
      <c r="D37" s="182">
        <f t="shared" si="2"/>
        <v>36630.468750000007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156</v>
      </c>
      <c r="B38" s="181">
        <f>'Données projet'!D51</f>
        <v>96.65</v>
      </c>
      <c r="C38" s="193">
        <v>234.375</v>
      </c>
      <c r="D38" s="182">
        <f t="shared" si="2"/>
        <v>22652.34375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159</v>
      </c>
      <c r="B39" s="181">
        <f>'Données projet'!D52</f>
        <v>201.48</v>
      </c>
      <c r="C39" s="193">
        <v>234.375</v>
      </c>
      <c r="D39" s="182">
        <f t="shared" si="2"/>
        <v>47221.875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38</v>
      </c>
      <c r="B54" s="181">
        <f>'Données projet'!D62</f>
        <v>71.569999999999993</v>
      </c>
      <c r="C54" s="191">
        <v>15</v>
      </c>
      <c r="D54" s="179">
        <f>B54*C54</f>
        <v>1073.55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45</v>
      </c>
      <c r="B55" s="181">
        <f>'Données projet'!D63</f>
        <v>41.69</v>
      </c>
      <c r="C55" s="191">
        <v>15</v>
      </c>
      <c r="D55" s="179">
        <f t="shared" ref="D55:D73" si="4">B55*C55</f>
        <v>625.34999999999991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52</v>
      </c>
      <c r="B56" s="181">
        <f>'Données projet'!D64</f>
        <v>44.400000000000006</v>
      </c>
      <c r="C56" s="191">
        <v>28</v>
      </c>
      <c r="D56" s="179">
        <f t="shared" si="4"/>
        <v>1243.2000000000003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59</v>
      </c>
      <c r="B57" s="181">
        <f>'Données projet'!D65</f>
        <v>41.81</v>
      </c>
      <c r="C57" s="191">
        <v>28</v>
      </c>
      <c r="D57" s="179">
        <f t="shared" si="4"/>
        <v>1170.68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67</v>
      </c>
      <c r="B58" s="181">
        <f>'Données projet'!D66</f>
        <v>42.550000000000011</v>
      </c>
      <c r="C58" s="191">
        <v>28</v>
      </c>
      <c r="D58" s="179">
        <f t="shared" si="4"/>
        <v>1191.4000000000003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75</v>
      </c>
      <c r="B59" s="181">
        <f>'Données projet'!D67</f>
        <v>43.519999999999982</v>
      </c>
      <c r="C59" s="191">
        <v>28</v>
      </c>
      <c r="D59" s="179">
        <f t="shared" si="4"/>
        <v>1218.5599999999995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83</v>
      </c>
      <c r="B60" s="181">
        <f>'Données projet'!D68</f>
        <v>49.980000000000018</v>
      </c>
      <c r="C60" s="191">
        <v>28</v>
      </c>
      <c r="D60" s="179">
        <f t="shared" si="4"/>
        <v>1399.4400000000005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93</v>
      </c>
      <c r="B61" s="181">
        <f>'Données projet'!D69</f>
        <v>67.45999999999998</v>
      </c>
      <c r="C61" s="191">
        <v>47</v>
      </c>
      <c r="D61" s="179">
        <f t="shared" si="4"/>
        <v>3170.619999999999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103</v>
      </c>
      <c r="B62" s="181">
        <f>'Données projet'!D70</f>
        <v>67.759999999999991</v>
      </c>
      <c r="C62" s="191">
        <v>47</v>
      </c>
      <c r="D62" s="179">
        <f t="shared" si="4"/>
        <v>3184.7199999999993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113</v>
      </c>
      <c r="B63" s="181">
        <f>'Données projet'!D71</f>
        <v>68.670000000000016</v>
      </c>
      <c r="C63" s="191">
        <v>47</v>
      </c>
      <c r="D63" s="179">
        <f t="shared" si="4"/>
        <v>3227.4900000000007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123</v>
      </c>
      <c r="B64" s="181">
        <f>'Données projet'!D72</f>
        <v>203.78999999999996</v>
      </c>
      <c r="C64" s="191">
        <v>47</v>
      </c>
      <c r="D64" s="179">
        <f t="shared" si="4"/>
        <v>9578.1299999999974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125</v>
      </c>
      <c r="B65" s="181">
        <f>'Données projet'!D73</f>
        <v>70.609999999999985</v>
      </c>
      <c r="C65" s="191">
        <v>62</v>
      </c>
      <c r="D65" s="179">
        <f t="shared" si="4"/>
        <v>4377.8199999999988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127</v>
      </c>
      <c r="B66" s="181">
        <f>'Données projet'!D74</f>
        <v>46.039999999999992</v>
      </c>
      <c r="C66" s="191">
        <v>62</v>
      </c>
      <c r="D66" s="179">
        <f t="shared" si="4"/>
        <v>2854.4799999999996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130</v>
      </c>
      <c r="B67" s="181">
        <f>'Données projet'!D75</f>
        <v>112.75</v>
      </c>
      <c r="C67" s="191">
        <v>62</v>
      </c>
      <c r="D67" s="179">
        <f t="shared" si="4"/>
        <v>6990.5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15</v>
      </c>
      <c r="B85" s="181">
        <f>'Données projet'!D88</f>
        <v>32</v>
      </c>
      <c r="C85" s="191">
        <v>13.75</v>
      </c>
      <c r="D85" s="179">
        <f t="shared" ref="D85:D98" si="6">B85*C85</f>
        <v>440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20</v>
      </c>
      <c r="B86" s="181">
        <f>'Données projet'!D89</f>
        <v>35</v>
      </c>
      <c r="C86" s="191">
        <v>13.75</v>
      </c>
      <c r="D86" s="179">
        <f t="shared" si="6"/>
        <v>481.25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25</v>
      </c>
      <c r="B87" s="181">
        <f>'Données projet'!D90</f>
        <v>35</v>
      </c>
      <c r="C87" s="191">
        <v>13.75</v>
      </c>
      <c r="D87" s="179">
        <f t="shared" si="6"/>
        <v>481.25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35</v>
      </c>
      <c r="C88" s="191">
        <v>23.75</v>
      </c>
      <c r="D88" s="179">
        <f t="shared" si="6"/>
        <v>831.25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35</v>
      </c>
      <c r="B89" s="181">
        <f>'Données projet'!D92</f>
        <v>35</v>
      </c>
      <c r="C89" s="191">
        <v>23.75</v>
      </c>
      <c r="D89" s="179">
        <f t="shared" si="6"/>
        <v>831.25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40</v>
      </c>
      <c r="B90" s="181">
        <f>'Données projet'!D93</f>
        <v>35</v>
      </c>
      <c r="C90" s="191">
        <v>23.75</v>
      </c>
      <c r="D90" s="179">
        <f t="shared" si="6"/>
        <v>831.25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45</v>
      </c>
      <c r="B91" s="181">
        <f>'Données projet'!D94</f>
        <v>24</v>
      </c>
      <c r="C91" s="191">
        <v>23.75</v>
      </c>
      <c r="D91" s="179">
        <f t="shared" si="6"/>
        <v>570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50</v>
      </c>
      <c r="B92" s="181">
        <f>'Données projet'!D95</f>
        <v>19</v>
      </c>
      <c r="C92" s="191">
        <v>23.75</v>
      </c>
      <c r="D92" s="179">
        <f t="shared" si="6"/>
        <v>451.25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55</v>
      </c>
      <c r="B93" s="181">
        <f>'Données projet'!D96</f>
        <v>16</v>
      </c>
      <c r="C93" s="191">
        <v>44.375</v>
      </c>
      <c r="D93" s="179">
        <f t="shared" si="6"/>
        <v>710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60</v>
      </c>
      <c r="B94" s="181">
        <f>'Données projet'!D97</f>
        <v>14</v>
      </c>
      <c r="C94" s="191">
        <v>44.375</v>
      </c>
      <c r="D94" s="179">
        <f t="shared" si="6"/>
        <v>621.25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8.186297601616058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65</v>
      </c>
      <c r="B95" s="181">
        <f>'Données projet'!D98</f>
        <v>13</v>
      </c>
      <c r="C95" s="191">
        <v>44.375</v>
      </c>
      <c r="D95" s="179">
        <f t="shared" si="6"/>
        <v>576.875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7.8337776092019729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70</v>
      </c>
      <c r="B96" s="181">
        <f>'Données projet'!D99</f>
        <v>13</v>
      </c>
      <c r="C96" s="191">
        <v>44.375</v>
      </c>
      <c r="D96" s="179">
        <f t="shared" si="6"/>
        <v>576.875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7.4964379035425566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75</v>
      </c>
      <c r="B97" s="181">
        <f>'Données projet'!D100</f>
        <v>12</v>
      </c>
      <c r="C97" s="191">
        <v>44.375</v>
      </c>
      <c r="D97" s="179">
        <f t="shared" si="6"/>
        <v>532.5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7.1736247880790058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80</v>
      </c>
      <c r="B98" s="181">
        <f>'Données projet'!D101</f>
        <v>330</v>
      </c>
      <c r="C98" s="191">
        <v>44.375</v>
      </c>
      <c r="D98" s="179">
        <f t="shared" si="6"/>
        <v>14643.75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6.8647127158650765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ref="D99:D104" si="8">B99*C99</f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6.5691030773828505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6.2862230405577515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6.0155244407251214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5.7564827183972458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5.5085959027724858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5.271383639016733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5.0443862574322811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4.8271638827103178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4.6192955815409737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4.4203785469291619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4.2300273176355629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4.0478730312302034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3.8735627093112006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3.7067585735035409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3.5471373909124804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5DE6487B-18E4-4E36-B4BD-16A76CABA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2025-02-07T10:38:33Z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