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ZA ST PHILIBERT DU PEUPLE (49) - MOREAU\Dossier déposé 06112024\"/>
    </mc:Choice>
  </mc:AlternateContent>
  <xr:revisionPtr revIDLastSave="0" documentId="13_ncr:1_{EB2AB2E6-21C7-4850-9B75-512F72EBE3B3}" xr6:coauthVersionLast="36" xr6:coauthVersionMax="36" xr10:uidLastSave="{00000000-0000-0000-0000-000000000000}"/>
  <bookViews>
    <workbookView xWindow="0" yWindow="0" windowWidth="28800" windowHeight="1210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6" l="1"/>
  <c r="I24" i="6"/>
  <c r="I23" i="6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32" i="2" a="1"/>
  <c r="BC32" i="2" s="1"/>
  <c r="BC84" i="2" a="1"/>
  <c r="BC84" i="2" s="1"/>
  <c r="BC7" i="2" a="1"/>
  <c r="BC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83" i="2" l="1" a="1"/>
  <c r="BC83" i="2" s="1"/>
  <c r="BC151" i="2" a="1"/>
  <c r="BC151" i="2" s="1"/>
  <c r="BC181" i="2" a="1"/>
  <c r="BC181" i="2" s="1"/>
  <c r="BC68" i="2" a="1"/>
  <c r="BC68" i="2" s="1"/>
  <c r="BC18" i="2" a="1"/>
  <c r="BC18" i="2" s="1"/>
  <c r="BC38" i="2" a="1"/>
  <c r="BC38" i="2" s="1"/>
  <c r="BC47" i="2" a="1"/>
  <c r="BC47" i="2" s="1"/>
  <c r="BC164" i="2" a="1"/>
  <c r="BC164" i="2" s="1"/>
  <c r="BC192" i="2" a="1"/>
  <c r="BC192" i="2" s="1"/>
  <c r="BC117" i="2" a="1"/>
  <c r="BC117" i="2" s="1"/>
  <c r="BC65" i="2" a="1"/>
  <c r="BC65" i="2" s="1"/>
  <c r="BC114" i="2" a="1"/>
  <c r="BC114" i="2" s="1"/>
  <c r="BC55" i="2" a="1"/>
  <c r="BC55" i="2" s="1"/>
  <c r="BC126" i="2" a="1"/>
  <c r="BC126" i="2" s="1"/>
  <c r="BC82" i="2" a="1"/>
  <c r="BC82" i="2" s="1"/>
  <c r="BC34" i="2" a="1"/>
  <c r="BC34" i="2" s="1"/>
  <c r="BC58" i="2" a="1"/>
  <c r="BC58" i="2" s="1"/>
  <c r="BC143" i="2" a="1"/>
  <c r="BC143" i="2" s="1"/>
  <c r="BC185" i="2" a="1"/>
  <c r="BC185" i="2" s="1"/>
  <c r="BC31" i="2" a="1"/>
  <c r="BC31" i="2" s="1"/>
  <c r="BX107" i="2" a="1"/>
  <c r="BX107" i="2" s="1"/>
  <c r="AH90" i="2" a="1"/>
  <c r="AH90" i="2" s="1"/>
  <c r="AH151" i="2" a="1"/>
  <c r="AH151" i="2" s="1"/>
  <c r="AH62" i="2" a="1"/>
  <c r="AH62" i="2" s="1"/>
  <c r="AH163" i="2" a="1"/>
  <c r="AH163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58" i="2" l="1"/>
  <c r="CD49" i="2"/>
  <c r="CD76" i="2"/>
  <c r="CD151" i="2"/>
  <c r="CD197" i="2"/>
  <c r="CD203" i="2"/>
  <c r="CD80" i="2"/>
  <c r="CD191" i="2"/>
  <c r="CD89" i="2"/>
  <c r="CD130" i="2"/>
  <c r="CD23" i="2"/>
  <c r="CD77" i="2"/>
  <c r="CD51" i="2"/>
  <c r="CD162" i="2"/>
  <c r="CD40" i="2"/>
  <c r="CD63" i="2"/>
  <c r="CD134" i="2"/>
  <c r="CD117" i="2"/>
  <c r="CD57" i="2"/>
  <c r="CD168" i="2"/>
  <c r="CD106" i="2"/>
  <c r="CD55" i="2"/>
  <c r="CD60" i="2"/>
  <c r="CD54" i="2"/>
  <c r="CD9" i="2"/>
  <c r="CD148" i="2"/>
  <c r="CD155" i="2"/>
  <c r="CD15" i="2"/>
  <c r="CD141" i="2"/>
  <c r="CD131" i="2"/>
  <c r="CD115" i="2"/>
  <c r="CD87" i="2"/>
  <c r="CD200" i="2"/>
  <c r="CD21" i="2"/>
  <c r="CD187" i="2"/>
  <c r="CD140" i="2"/>
  <c r="CD153" i="2"/>
  <c r="CD196" i="2"/>
  <c r="CD6" i="2"/>
  <c r="CD104" i="2"/>
  <c r="CD27" i="2"/>
  <c r="CD178" i="2"/>
  <c r="CD157" i="2"/>
  <c r="CD147" i="2"/>
  <c r="CD24" i="2"/>
  <c r="CD13" i="2"/>
  <c r="CD167" i="2"/>
  <c r="CD90" i="2"/>
  <c r="CD62" i="2"/>
  <c r="CD56" i="2"/>
  <c r="CD154" i="2"/>
  <c r="CD22" i="2"/>
  <c r="CD31" i="2"/>
  <c r="CD18" i="2"/>
  <c r="CD42" i="2"/>
  <c r="CD192" i="2"/>
  <c r="CD91" i="2"/>
  <c r="CD150" i="2"/>
  <c r="CD19" i="2"/>
  <c r="CD102" i="2"/>
  <c r="CD177" i="2"/>
  <c r="CD193" i="2"/>
  <c r="CD17" i="2"/>
  <c r="CD116" i="2"/>
  <c r="CD48" i="2"/>
  <c r="CD137" i="2"/>
  <c r="CD145" i="2"/>
  <c r="CD199" i="2"/>
  <c r="CD126" i="2"/>
  <c r="CD173" i="2"/>
  <c r="CD74" i="2"/>
  <c r="CD112" i="2"/>
  <c r="CD160" i="2"/>
  <c r="CD98" i="2"/>
  <c r="CD181" i="2"/>
  <c r="CD32" i="2"/>
  <c r="CD34" i="2"/>
  <c r="CD182" i="2"/>
  <c r="CD28" i="2"/>
  <c r="CD198" i="2"/>
  <c r="CD170" i="2"/>
  <c r="CD14" i="2"/>
  <c r="CD123" i="2"/>
  <c r="CD85" i="2"/>
  <c r="CD39" i="2"/>
  <c r="CD83" i="2"/>
  <c r="CD194" i="2"/>
  <c r="CD109" i="2"/>
  <c r="CD122" i="2"/>
  <c r="CD20" i="2"/>
  <c r="CD47" i="2"/>
  <c r="CD69" i="2"/>
  <c r="CD120" i="2"/>
  <c r="CD81" i="2"/>
  <c r="CD97" i="2"/>
  <c r="CD4" i="2"/>
  <c r="CD53" i="2"/>
  <c r="CD142" i="2"/>
  <c r="CD36" i="2"/>
  <c r="CD127" i="2"/>
  <c r="CD45" i="2"/>
  <c r="CD165" i="2"/>
  <c r="CD159" i="2"/>
  <c r="CD183" i="2"/>
  <c r="CD93" i="2"/>
  <c r="CD138" i="2"/>
  <c r="CD146" i="2"/>
  <c r="CD179" i="2"/>
  <c r="CD114" i="2"/>
  <c r="CD5" i="2"/>
  <c r="CD50" i="2"/>
  <c r="CD118" i="2"/>
  <c r="CD70" i="2"/>
  <c r="CD169" i="2"/>
  <c r="CD105" i="2"/>
  <c r="CD71" i="2"/>
  <c r="CD43" i="2"/>
  <c r="CD78" i="2"/>
  <c r="CD133" i="2"/>
  <c r="CD163" i="2"/>
  <c r="CD136" i="2"/>
  <c r="CD135" i="2"/>
  <c r="CD195" i="2"/>
  <c r="CD16" i="2"/>
  <c r="CD94" i="2"/>
  <c r="CD129" i="2"/>
  <c r="CD171" i="2"/>
  <c r="CD121" i="2"/>
  <c r="CD46" i="2"/>
  <c r="CD11" i="2"/>
  <c r="CD66" i="2"/>
  <c r="CD25" i="2"/>
  <c r="CD184" i="2"/>
  <c r="CD149" i="2"/>
  <c r="CD8" i="2"/>
  <c r="CD79" i="2"/>
  <c r="CD3" i="2"/>
  <c r="C9" i="4" s="1"/>
  <c r="E9" i="4" s="1"/>
  <c r="F9" i="4" s="1"/>
  <c r="G9" i="4" s="1"/>
  <c r="L9" i="4" s="1"/>
  <c r="CD189" i="2"/>
  <c r="CD125" i="2"/>
  <c r="CD95" i="2"/>
  <c r="CD61" i="2"/>
  <c r="CD29" i="2"/>
  <c r="CD108" i="2"/>
  <c r="CD99" i="2"/>
  <c r="CD186" i="2"/>
  <c r="CD175" i="2"/>
  <c r="CD201" i="2"/>
  <c r="CD103" i="2"/>
  <c r="CD72" i="2"/>
  <c r="CD73" i="2"/>
  <c r="CD101" i="2"/>
  <c r="CD161" i="2"/>
  <c r="CD7" i="2"/>
  <c r="CD52" i="2"/>
  <c r="CD26" i="2"/>
  <c r="CD158" i="2"/>
  <c r="CD128" i="2"/>
  <c r="CD64" i="2"/>
  <c r="CD84" i="2"/>
  <c r="CD113" i="2"/>
  <c r="CD172" i="2"/>
  <c r="CD92" i="2"/>
  <c r="CD10" i="2"/>
  <c r="CD188" i="2"/>
  <c r="CD143" i="2"/>
  <c r="CD139" i="2"/>
  <c r="CD44" i="2"/>
  <c r="CD100" i="2"/>
  <c r="CD88" i="2"/>
  <c r="CD68" i="2"/>
  <c r="CD119" i="2"/>
  <c r="CD202" i="2"/>
  <c r="CD185" i="2"/>
  <c r="CD33" i="2"/>
  <c r="CD152" i="2"/>
  <c r="CD156" i="2"/>
  <c r="CD110" i="2"/>
  <c r="CD107" i="2"/>
  <c r="CD86" i="2"/>
  <c r="CD82" i="2"/>
  <c r="CD132" i="2"/>
  <c r="CD30" i="2"/>
  <c r="CD75" i="2"/>
  <c r="CD37" i="2"/>
  <c r="CD174" i="2"/>
  <c r="CD96" i="2"/>
  <c r="CD35" i="2"/>
  <c r="CD166" i="2"/>
  <c r="CD124" i="2"/>
  <c r="CD65" i="2"/>
  <c r="CD190" i="2"/>
  <c r="CD111" i="2"/>
  <c r="CD59" i="2"/>
  <c r="CD176" i="2"/>
  <c r="CD180" i="2"/>
  <c r="CD164" i="2"/>
  <c r="CD67" i="2"/>
  <c r="CD41" i="2"/>
  <c r="CD144" i="2"/>
  <c r="CD12" i="2"/>
  <c r="CD38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<sst xmlns="http://schemas.openxmlformats.org/spreadsheetml/2006/main" count="1166" uniqueCount="324">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</sst>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1.4510830455063717</c:v>
                </c:pt>
                <c:pt idx="2">
                  <c:v>1.7184301528794064</c:v>
                </c:pt>
                <c:pt idx="3">
                  <c:v>2.0352204266630141</c:v>
                </c:pt>
                <c:pt idx="4">
                  <c:v>2.4106307115433077</c:v>
                </c:pt>
                <c:pt idx="5">
                  <c:v>2.8555468445814327</c:v>
                </c:pt>
                <c:pt idx="6">
                  <c:v>3.3828829167979486</c:v>
                </c:pt>
                <c:pt idx="7">
                  <c:v>4.0079603500291228</c:v>
                </c:pt>
                <c:pt idx="8">
                  <c:v>4.7489580256884283</c:v>
                </c:pt>
                <c:pt idx="9">
                  <c:v>5.6274468180933814</c:v>
                </c:pt>
                <c:pt idx="10">
                  <c:v>6.6690244004121082</c:v>
                </c:pt>
                <c:pt idx="11">
                  <c:v>7.9040691815723489</c:v>
                </c:pt>
                <c:pt idx="12">
                  <c:v>9.3686357874943393</c:v>
                </c:pt>
                <c:pt idx="13">
                  <c:v>11.105518726618792</c:v>
                </c:pt>
                <c:pt idx="14">
                  <c:v>13.1655159050199</c:v>
                </c:pt>
                <c:pt idx="15">
                  <c:v>15.608929631640637</c:v>
                </c:pt>
                <c:pt idx="16">
                  <c:v>18.507349859263261</c:v>
                </c:pt>
                <c:pt idx="17">
                  <c:v>21.945772855758133</c:v>
                </c:pt>
                <c:pt idx="18">
                  <c:v>26.025118547577296</c:v>
                </c:pt>
                <c:pt idx="19">
                  <c:v>30.865221726339751</c:v>
                </c:pt>
                <c:pt idx="20">
                  <c:v>36.608386520174683</c:v>
                </c:pt>
                <c:pt idx="21">
                  <c:v>43.423610433172257</c:v>
                </c:pt>
                <c:pt idx="22">
                  <c:v>51.511604359231313</c:v>
                </c:pt>
                <c:pt idx="23">
                  <c:v>61.110758888134434</c:v>
                </c:pt>
                <c:pt idx="24">
                  <c:v>72.504235664570714</c:v>
                </c:pt>
                <c:pt idx="25">
                  <c:v>86.028396395165245</c:v>
                </c:pt>
                <c:pt idx="26">
                  <c:v>102.08282234796172</c:v>
                </c:pt>
                <c:pt idx="27">
                  <c:v>121.14222507144363</c:v>
                </c:pt>
                <c:pt idx="28">
                  <c:v>143.77060602594568</c:v>
                </c:pt>
                <c:pt idx="29">
                  <c:v>170.63809059483708</c:v>
                </c:pt>
                <c:pt idx="30">
                  <c:v>202.54094258007748</c:v>
                </c:pt>
                <c:pt idx="31">
                  <c:v>219.61222399453172</c:v>
                </c:pt>
                <c:pt idx="32">
                  <c:v>236.65303049357692</c:v>
                </c:pt>
                <c:pt idx="33">
                  <c:v>253.66586546913962</c:v>
                </c:pt>
                <c:pt idx="34">
                  <c:v>270.65286891847927</c:v>
                </c:pt>
                <c:pt idx="35">
                  <c:v>287.6158901809053</c:v>
                </c:pt>
                <c:pt idx="36">
                  <c:v>307.23708630953638</c:v>
                </c:pt>
                <c:pt idx="37">
                  <c:v>326.83044753519135</c:v>
                </c:pt>
                <c:pt idx="38">
                  <c:v>346.39787662414318</c:v>
                </c:pt>
                <c:pt idx="39">
                  <c:v>365.94104386785261</c:v>
                </c:pt>
                <c:pt idx="40">
                  <c:v>385.46142664243024</c:v>
                </c:pt>
                <c:pt idx="41">
                  <c:v>404.9603405331514</c:v>
                </c:pt>
                <c:pt idx="42">
                  <c:v>424.43896415017292</c:v>
                </c:pt>
                <c:pt idx="43">
                  <c:v>263.43320731240277</c:v>
                </c:pt>
                <c:pt idx="44">
                  <c:v>281.10956764611268</c:v>
                </c:pt>
                <c:pt idx="45">
                  <c:v>298.76101946759735</c:v>
                </c:pt>
                <c:pt idx="46">
                  <c:v>316.38924124003148</c:v>
                </c:pt>
                <c:pt idx="47">
                  <c:v>333.99570911458437</c:v>
                </c:pt>
                <c:pt idx="48">
                  <c:v>351.58173091870771</c:v>
                </c:pt>
                <c:pt idx="49">
                  <c:v>369.14847298502377</c:v>
                </c:pt>
                <c:pt idx="50">
                  <c:v>285.34825454721067</c:v>
                </c:pt>
                <c:pt idx="51">
                  <c:v>302.43111467084145</c:v>
                </c:pt>
                <c:pt idx="52">
                  <c:v>319.4925073071027</c:v>
                </c:pt>
                <c:pt idx="53">
                  <c:v>336.53373998340851</c:v>
                </c:pt>
                <c:pt idx="54">
                  <c:v>353.55597700482872</c:v>
                </c:pt>
                <c:pt idx="55">
                  <c:v>370.56026142641809</c:v>
                </c:pt>
                <c:pt idx="56">
                  <c:v>387.54753278046701</c:v>
                </c:pt>
                <c:pt idx="57">
                  <c:v>324.37629966034956</c:v>
                </c:pt>
                <c:pt idx="58">
                  <c:v>341.05049421910081</c:v>
                </c:pt>
                <c:pt idx="59">
                  <c:v>357.70676712723872</c:v>
                </c:pt>
                <c:pt idx="60">
                  <c:v>374.34607016552553</c:v>
                </c:pt>
                <c:pt idx="61">
                  <c:v>390.9692636126295</c:v>
                </c:pt>
                <c:pt idx="62">
                  <c:v>407.57712863926145</c:v>
                </c:pt>
                <c:pt idx="63">
                  <c:v>424.17037757659028</c:v>
                </c:pt>
                <c:pt idx="64">
                  <c:v>361.12446840006714</c:v>
                </c:pt>
                <c:pt idx="65">
                  <c:v>377.17009724933331</c:v>
                </c:pt>
                <c:pt idx="66">
                  <c:v>393.2008687130413</c:v>
                </c:pt>
                <c:pt idx="67">
                  <c:v>409.21747366272535</c:v>
                </c:pt>
                <c:pt idx="68">
                  <c:v>425.22054448868658</c:v>
                </c:pt>
                <c:pt idx="69">
                  <c:v>441.21066211067341</c:v>
                </c:pt>
                <c:pt idx="70">
                  <c:v>457.1883619193361</c:v>
                </c:pt>
                <c:pt idx="71">
                  <c:v>473.15413884394292</c:v>
                </c:pt>
                <c:pt idx="72">
                  <c:v>397.86059002257917</c:v>
                </c:pt>
                <c:pt idx="73">
                  <c:v>412.91768516797657</c:v>
                </c:pt>
                <c:pt idx="74">
                  <c:v>427.96293681814245</c:v>
                </c:pt>
                <c:pt idx="75">
                  <c:v>442.99681988354081</c:v>
                </c:pt>
                <c:pt idx="76">
                  <c:v>458.01977441859185</c:v>
                </c:pt>
                <c:pt idx="77">
                  <c:v>473.03220926309092</c:v>
                </c:pt>
                <c:pt idx="78">
                  <c:v>488.03450519735719</c:v>
                </c:pt>
                <c:pt idx="79">
                  <c:v>503.02701768929563</c:v>
                </c:pt>
                <c:pt idx="80">
                  <c:v>430.14805444118105</c:v>
                </c:pt>
                <c:pt idx="81">
                  <c:v>444.22489124994286</c:v>
                </c:pt>
                <c:pt idx="82">
                  <c:v>458.29217559527996</c:v>
                </c:pt>
                <c:pt idx="83">
                  <c:v>472.35024193902149</c:v>
                </c:pt>
                <c:pt idx="84">
                  <c:v>486.39940321481521</c:v>
                </c:pt>
                <c:pt idx="85">
                  <c:v>500.43995280861191</c:v>
                </c:pt>
                <c:pt idx="86">
                  <c:v>514.47216630536309</c:v>
                </c:pt>
                <c:pt idx="87">
                  <c:v>528.49630303527977</c:v>
                </c:pt>
                <c:pt idx="88">
                  <c:v>454.17031803082273</c:v>
                </c:pt>
                <c:pt idx="89">
                  <c:v>467.12585389682596</c:v>
                </c:pt>
                <c:pt idx="90">
                  <c:v>480.07373346291911</c:v>
                </c:pt>
                <c:pt idx="91">
                  <c:v>493.01419229307686</c:v>
                </c:pt>
                <c:pt idx="92">
                  <c:v>505.94745257858148</c:v>
                </c:pt>
                <c:pt idx="93">
                  <c:v>518.87372422679118</c:v>
                </c:pt>
                <c:pt idx="94">
                  <c:v>531.79320583578794</c:v>
                </c:pt>
                <c:pt idx="95">
                  <c:v>544.98644157199544</c:v>
                </c:pt>
                <c:pt idx="96">
                  <c:v>287.88677558805261</c:v>
                </c:pt>
                <c:pt idx="97">
                  <c:v>296.42847582858366</c:v>
                </c:pt>
                <c:pt idx="98">
                  <c:v>304.9646884541342</c:v>
                </c:pt>
                <c:pt idx="99">
                  <c:v>313.49558886091171</c:v>
                </c:pt>
                <c:pt idx="100">
                  <c:v>322.02134211207596</c:v>
                </c:pt>
                <c:pt idx="101">
                  <c:v>330.54210380994283</c:v>
                </c:pt>
                <c:pt idx="102">
                  <c:v>339.05802087349701</c:v>
                </c:pt>
                <c:pt idx="103">
                  <c:v>347.56923223366266</c:v>
                </c:pt>
                <c:pt idx="104">
                  <c:v>356.07586945687609</c:v>
                </c:pt>
                <c:pt idx="105">
                  <c:v>364.57805730592491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1.6497039937604379</c:v>
                </c:pt>
                <c:pt idx="2">
                  <c:v>2.1457808916760492</c:v>
                </c:pt>
                <c:pt idx="3">
                  <c:v>2.7916455051821689</c:v>
                </c:pt>
                <c:pt idx="4">
                  <c:v>3.6327005804349892</c:v>
                </c:pt>
                <c:pt idx="5">
                  <c:v>4.7281608254612948</c:v>
                </c:pt>
                <c:pt idx="6">
                  <c:v>6.1552687238937169</c:v>
                </c:pt>
                <c:pt idx="7">
                  <c:v>8.0148011075613255</c:v>
                </c:pt>
                <c:pt idx="8">
                  <c:v>10.43826279597898</c:v>
                </c:pt>
                <c:pt idx="9">
                  <c:v>13.597285603662925</c:v>
                </c:pt>
                <c:pt idx="10">
                  <c:v>17.715910648636076</c:v>
                </c:pt>
                <c:pt idx="11">
                  <c:v>23.086640805063201</c:v>
                </c:pt>
                <c:pt idx="12">
                  <c:v>30.091423572191577</c:v>
                </c:pt>
                <c:pt idx="13">
                  <c:v>39.229082546675706</c:v>
                </c:pt>
                <c:pt idx="14">
                  <c:v>51.151184241588446</c:v>
                </c:pt>
                <c:pt idx="15">
                  <c:v>66.708940460169117</c:v>
                </c:pt>
                <c:pt idx="16">
                  <c:v>87.014549703894829</c:v>
                </c:pt>
                <c:pt idx="17">
                  <c:v>113.52143300528077</c:v>
                </c:pt>
                <c:pt idx="18">
                  <c:v>148.12919722352106</c:v>
                </c:pt>
                <c:pt idx="19">
                  <c:v>193.32096326709316</c:v>
                </c:pt>
                <c:pt idx="20">
                  <c:v>252.34306034349746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672.39385739452007</c:v>
                </c:pt>
                <c:pt idx="92">
                  <c:v>685.19868466154992</c:v>
                </c:pt>
                <c:pt idx="93">
                  <c:v>697.99860485695478</c:v>
                </c:pt>
                <c:pt idx="94">
                  <c:v>710.79372059813079</c:v>
                </c:pt>
                <c:pt idx="95">
                  <c:v>723.58413050890977</c:v>
                </c:pt>
                <c:pt idx="96">
                  <c:v>676.23582709036771</c:v>
                </c:pt>
                <c:pt idx="97">
                  <c:v>688.61247220601751</c:v>
                </c:pt>
                <c:pt idx="98">
                  <c:v>700.98455790524156</c:v>
                </c:pt>
                <c:pt idx="99">
                  <c:v>713.3521759584537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680.07734848952111</c:v>
                </c:pt>
                <c:pt idx="112">
                  <c:v>689.89255298185071</c:v>
                </c:pt>
                <c:pt idx="113">
                  <c:v>699.70489568745631</c:v>
                </c:pt>
                <c:pt idx="114">
                  <c:v>709.51442238342361</c:v>
                </c:pt>
                <c:pt idx="115">
                  <c:v>719.32117747825214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17" sqref="F1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12.73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0.125</v>
      </c>
      <c r="D9" s="36">
        <f t="shared" ref="D9:D18" si="0">C9*$C$5</f>
        <v>1.5912500000000001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0.75600000000000001</v>
      </c>
      <c r="D10" s="36">
        <f t="shared" si="0"/>
        <v>9.6238799999999998</v>
      </c>
      <c r="E10" s="37">
        <v>105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122</v>
      </c>
      <c r="C11" s="35">
        <v>0.09</v>
      </c>
      <c r="D11" s="36">
        <f t="shared" si="0"/>
        <v>1.1456999999999999</v>
      </c>
      <c r="E11" s="37">
        <v>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12</v>
      </c>
      <c r="C12" s="35">
        <v>2.9000000000000001E-2</v>
      </c>
      <c r="D12" s="36">
        <f t="shared" si="0"/>
        <v>0.36917000000000005</v>
      </c>
      <c r="E12" s="37">
        <v>115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12.73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53">
        <v>73</v>
      </c>
      <c r="C36" s="53">
        <v>1</v>
      </c>
      <c r="D36" s="53">
        <v>6</v>
      </c>
      <c r="E36" s="54"/>
      <c r="F36" s="54"/>
      <c r="G36" s="54">
        <v>1</v>
      </c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53">
        <v>103</v>
      </c>
      <c r="C37" s="53">
        <v>2</v>
      </c>
      <c r="D37" s="53">
        <v>28</v>
      </c>
      <c r="E37" s="54">
        <v>0.05</v>
      </c>
      <c r="F37" s="54">
        <v>0.25</v>
      </c>
      <c r="G37" s="54">
        <v>0.7</v>
      </c>
      <c r="H37" s="54"/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53">
        <v>121</v>
      </c>
      <c r="C38" s="53">
        <v>3</v>
      </c>
      <c r="D38" s="53">
        <v>28</v>
      </c>
      <c r="E38" s="93"/>
      <c r="F38" s="93"/>
      <c r="G38" s="93"/>
      <c r="H38" s="93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53">
        <v>147</v>
      </c>
      <c r="C39" s="53">
        <v>4</v>
      </c>
      <c r="D39" s="53">
        <v>28</v>
      </c>
      <c r="E39" s="93"/>
      <c r="F39" s="93"/>
      <c r="G39" s="93"/>
      <c r="H39" s="93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53">
        <v>175</v>
      </c>
      <c r="C40" s="53">
        <v>5</v>
      </c>
      <c r="D40" s="53">
        <v>28</v>
      </c>
      <c r="E40" s="93"/>
      <c r="F40" s="93"/>
      <c r="G40" s="93"/>
      <c r="H40" s="93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53">
        <v>204</v>
      </c>
      <c r="C41" s="53">
        <v>6</v>
      </c>
      <c r="D41" s="53">
        <v>28</v>
      </c>
      <c r="E41" s="93"/>
      <c r="F41" s="93"/>
      <c r="G41" s="93"/>
      <c r="H41" s="93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53">
        <v>231</v>
      </c>
      <c r="C42" s="53">
        <v>7</v>
      </c>
      <c r="D42" s="53">
        <v>28</v>
      </c>
      <c r="E42" s="93"/>
      <c r="F42" s="93"/>
      <c r="G42" s="93"/>
      <c r="H42" s="93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53">
        <v>254</v>
      </c>
      <c r="C43" s="53">
        <v>8</v>
      </c>
      <c r="D43" s="53">
        <v>28</v>
      </c>
      <c r="E43" s="93"/>
      <c r="F43" s="93"/>
      <c r="G43" s="93"/>
      <c r="H43" s="93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53">
        <v>273</v>
      </c>
      <c r="C44" s="53">
        <v>9</v>
      </c>
      <c r="D44" s="53">
        <v>28</v>
      </c>
      <c r="E44" s="93"/>
      <c r="F44" s="93"/>
      <c r="G44" s="93"/>
      <c r="H44" s="93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53">
        <v>289</v>
      </c>
      <c r="C45" s="53">
        <v>10</v>
      </c>
      <c r="D45" s="53">
        <v>28</v>
      </c>
      <c r="E45" s="93"/>
      <c r="F45" s="93"/>
      <c r="G45" s="93"/>
      <c r="H45" s="93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53">
        <v>302</v>
      </c>
      <c r="C46" s="53">
        <v>11</v>
      </c>
      <c r="D46" s="53">
        <v>28</v>
      </c>
      <c r="E46" s="93"/>
      <c r="F46" s="93"/>
      <c r="G46" s="93"/>
      <c r="H46" s="93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53">
        <v>312</v>
      </c>
      <c r="C47" s="53">
        <v>12</v>
      </c>
      <c r="D47" s="53">
        <v>28</v>
      </c>
      <c r="E47" s="93"/>
      <c r="F47" s="93"/>
      <c r="G47" s="93"/>
      <c r="H47" s="93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53">
        <v>320</v>
      </c>
      <c r="C48" s="53">
        <v>13</v>
      </c>
      <c r="D48" s="53">
        <v>28</v>
      </c>
      <c r="E48" s="68"/>
      <c r="F48" s="68"/>
      <c r="G48" s="68"/>
      <c r="H48" s="68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85</v>
      </c>
      <c r="B49" s="53">
        <v>326</v>
      </c>
      <c r="C49" s="53">
        <v>14</v>
      </c>
      <c r="D49" s="53">
        <v>28</v>
      </c>
      <c r="E49" s="68"/>
      <c r="F49" s="68"/>
      <c r="G49" s="68"/>
      <c r="H49" s="68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90</v>
      </c>
      <c r="B50" s="53">
        <v>330</v>
      </c>
      <c r="C50" s="53">
        <v>15</v>
      </c>
      <c r="D50" s="53">
        <v>28</v>
      </c>
      <c r="E50" s="57"/>
      <c r="F50" s="57"/>
      <c r="G50" s="57"/>
      <c r="H50" s="57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95</v>
      </c>
      <c r="B51" s="53">
        <v>332</v>
      </c>
      <c r="C51" s="53">
        <v>16</v>
      </c>
      <c r="D51" s="53">
        <v>28</v>
      </c>
      <c r="E51" s="57"/>
      <c r="F51" s="57"/>
      <c r="G51" s="57"/>
      <c r="H51" s="57"/>
      <c r="I51" s="52">
        <f t="shared" si="1"/>
        <v>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100</v>
      </c>
      <c r="B52" s="53">
        <v>333</v>
      </c>
      <c r="C52" s="53">
        <v>17</v>
      </c>
      <c r="D52" s="53">
        <v>27</v>
      </c>
      <c r="E52" s="57"/>
      <c r="F52" s="57"/>
      <c r="G52" s="57"/>
      <c r="H52" s="57"/>
      <c r="I52" s="52">
        <f t="shared" si="1"/>
        <v>5.8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105</v>
      </c>
      <c r="B53" s="53">
        <v>333</v>
      </c>
      <c r="C53" s="53">
        <v>18</v>
      </c>
      <c r="D53" s="53">
        <v>26</v>
      </c>
      <c r="E53" s="57"/>
      <c r="F53" s="57"/>
      <c r="G53" s="57"/>
      <c r="H53" s="57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110</v>
      </c>
      <c r="B54" s="53">
        <v>332</v>
      </c>
      <c r="C54" s="53">
        <v>19</v>
      </c>
      <c r="D54" s="53">
        <v>25</v>
      </c>
      <c r="E54" s="57"/>
      <c r="F54" s="57"/>
      <c r="G54" s="57"/>
      <c r="H54" s="57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115</v>
      </c>
      <c r="B55" s="53">
        <v>330</v>
      </c>
      <c r="C55" s="53">
        <v>20</v>
      </c>
      <c r="D55" s="53">
        <v>330</v>
      </c>
      <c r="E55" s="57"/>
      <c r="F55" s="57"/>
      <c r="G55" s="57"/>
      <c r="H55" s="57"/>
      <c r="I55" s="52">
        <f t="shared" si="1"/>
        <v>4.5999999999999996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30</v>
      </c>
      <c r="B62" s="63">
        <v>195.28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6.5093333333333332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35</v>
      </c>
      <c r="B63" s="63">
        <v>279.76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16.895999999999997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42</v>
      </c>
      <c r="B64" s="63">
        <v>416.76</v>
      </c>
      <c r="C64" s="63">
        <v>3</v>
      </c>
      <c r="D64" s="63">
        <v>182.39</v>
      </c>
      <c r="E64" s="54"/>
      <c r="F64" s="54"/>
      <c r="G64" s="54"/>
      <c r="H64" s="54"/>
      <c r="I64" s="52">
        <f>IF(A64&lt;&gt;0,(B64-(B63-D63))/(A64-A63),"")</f>
        <v>19.571428571428573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43</v>
      </c>
      <c r="B65" s="63">
        <v>255.68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21.310000000000002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49</v>
      </c>
      <c r="B66" s="63">
        <v>361.26</v>
      </c>
      <c r="C66" s="63">
        <v>5</v>
      </c>
      <c r="D66" s="63">
        <v>100.16</v>
      </c>
      <c r="E66" s="54"/>
      <c r="F66" s="54"/>
      <c r="G66" s="54"/>
      <c r="H66" s="54"/>
      <c r="I66" s="52">
        <f t="shared" ref="I66:I81" si="2">IF(A66&lt;&gt;0,(B66-(B65-D65))/(A66-A65),"")</f>
        <v>17.596666666666664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277.5</v>
      </c>
      <c r="C67" s="63">
        <v>6</v>
      </c>
      <c r="D67" s="63">
        <v>0</v>
      </c>
      <c r="E67" s="54"/>
      <c r="F67" s="54"/>
      <c r="G67" s="54"/>
      <c r="H67" s="54"/>
      <c r="I67" s="52">
        <f t="shared" si="2"/>
        <v>16.399999999999977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56</v>
      </c>
      <c r="B68" s="63">
        <v>379.71</v>
      </c>
      <c r="C68" s="63">
        <v>7</v>
      </c>
      <c r="D68" s="63">
        <v>79.39</v>
      </c>
      <c r="E68" s="54"/>
      <c r="F68" s="54"/>
      <c r="G68" s="54"/>
      <c r="H68" s="54"/>
      <c r="I68" s="52">
        <f t="shared" si="2"/>
        <v>17.034999999999997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3">
        <v>57</v>
      </c>
      <c r="B69" s="63">
        <v>316.45</v>
      </c>
      <c r="C69" s="63">
        <v>8</v>
      </c>
      <c r="D69" s="63">
        <v>0</v>
      </c>
      <c r="E69" s="54"/>
      <c r="F69" s="54"/>
      <c r="G69" s="54"/>
      <c r="H69" s="54"/>
      <c r="I69" s="52">
        <f t="shared" si="2"/>
        <v>16.129999999999995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3">
        <v>63</v>
      </c>
      <c r="B70" s="63">
        <v>416.49</v>
      </c>
      <c r="C70" s="63">
        <v>9</v>
      </c>
      <c r="D70" s="63">
        <v>79.099999999999994</v>
      </c>
      <c r="E70" s="54"/>
      <c r="F70" s="54"/>
      <c r="G70" s="54"/>
      <c r="H70" s="54"/>
      <c r="I70" s="52">
        <f t="shared" si="2"/>
        <v>16.673333333333336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64</v>
      </c>
      <c r="B71" s="53">
        <v>353.22</v>
      </c>
      <c r="C71" s="53">
        <v>10</v>
      </c>
      <c r="D71" s="53">
        <v>0</v>
      </c>
      <c r="E71" s="54"/>
      <c r="F71" s="54"/>
      <c r="G71" s="54"/>
      <c r="H71" s="54"/>
      <c r="I71" s="52">
        <f t="shared" si="2"/>
        <v>15.830000000000041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71</v>
      </c>
      <c r="B72" s="53">
        <v>465.79</v>
      </c>
      <c r="C72" s="53">
        <v>11</v>
      </c>
      <c r="D72" s="53">
        <v>90.8</v>
      </c>
      <c r="E72" s="54"/>
      <c r="F72" s="54"/>
      <c r="G72" s="54"/>
      <c r="H72" s="54"/>
      <c r="I72" s="52">
        <f t="shared" si="2"/>
        <v>16.081428571428571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72</v>
      </c>
      <c r="B73" s="53">
        <v>390.06</v>
      </c>
      <c r="C73" s="53">
        <v>12</v>
      </c>
      <c r="D73" s="53">
        <v>0</v>
      </c>
      <c r="E73" s="54"/>
      <c r="F73" s="54"/>
      <c r="G73" s="54"/>
      <c r="H73" s="54"/>
      <c r="I73" s="52">
        <f t="shared" si="2"/>
        <v>15.069999999999993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79</v>
      </c>
      <c r="B74" s="53">
        <v>495.91</v>
      </c>
      <c r="C74" s="53">
        <v>13</v>
      </c>
      <c r="D74" s="53">
        <v>87.99</v>
      </c>
      <c r="E74" s="54"/>
      <c r="F74" s="54"/>
      <c r="G74" s="54"/>
      <c r="H74" s="54"/>
      <c r="I74" s="52">
        <f t="shared" si="2"/>
        <v>15.121428571428575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80</v>
      </c>
      <c r="B75" s="53">
        <v>422.5</v>
      </c>
      <c r="C75" s="53">
        <v>14</v>
      </c>
      <c r="D75" s="53">
        <v>0</v>
      </c>
      <c r="E75" s="54"/>
      <c r="F75" s="54"/>
      <c r="G75" s="54"/>
      <c r="H75" s="54"/>
      <c r="I75" s="52">
        <f t="shared" si="2"/>
        <v>14.579999999999984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87</v>
      </c>
      <c r="B76" s="53">
        <v>521.62</v>
      </c>
      <c r="C76" s="53">
        <v>15</v>
      </c>
      <c r="D76" s="53">
        <v>88.62</v>
      </c>
      <c r="E76" s="54"/>
      <c r="F76" s="54"/>
      <c r="G76" s="54"/>
      <c r="H76" s="54"/>
      <c r="I76" s="52">
        <f t="shared" si="2"/>
        <v>14.16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88</v>
      </c>
      <c r="B77" s="53">
        <v>446.67</v>
      </c>
      <c r="C77" s="53">
        <v>16</v>
      </c>
      <c r="D77" s="53">
        <v>0</v>
      </c>
      <c r="E77" s="54"/>
      <c r="F77" s="54"/>
      <c r="G77" s="54"/>
      <c r="H77" s="54"/>
      <c r="I77" s="52">
        <f t="shared" si="2"/>
        <v>13.670000000000016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94</v>
      </c>
      <c r="B78" s="53">
        <v>524.95000000000005</v>
      </c>
      <c r="C78" s="53">
        <v>17</v>
      </c>
      <c r="D78" s="53">
        <v>0</v>
      </c>
      <c r="E78" s="54"/>
      <c r="F78" s="54"/>
      <c r="G78" s="54"/>
      <c r="H78" s="54"/>
      <c r="I78" s="52">
        <f t="shared" si="2"/>
        <v>13.046666666666672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95</v>
      </c>
      <c r="B79" s="53">
        <v>538.28</v>
      </c>
      <c r="C79" s="53">
        <v>18</v>
      </c>
      <c r="D79" s="53">
        <v>268.81</v>
      </c>
      <c r="E79" s="54"/>
      <c r="F79" s="54"/>
      <c r="G79" s="54"/>
      <c r="H79" s="54"/>
      <c r="I79" s="52">
        <f t="shared" si="2"/>
        <v>13.329999999999927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96</v>
      </c>
      <c r="B80" s="53">
        <v>280.02999999999997</v>
      </c>
      <c r="C80" s="53">
        <v>19</v>
      </c>
      <c r="D80" s="53">
        <v>0</v>
      </c>
      <c r="E80" s="54"/>
      <c r="F80" s="54"/>
      <c r="G80" s="54"/>
      <c r="H80" s="54"/>
      <c r="I80" s="52">
        <f t="shared" si="2"/>
        <v>10.560000000000002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105</v>
      </c>
      <c r="B81" s="53">
        <v>356.68</v>
      </c>
      <c r="C81" s="53">
        <v>20</v>
      </c>
      <c r="D81" s="53">
        <v>356.68</v>
      </c>
      <c r="E81" s="54"/>
      <c r="F81" s="54"/>
      <c r="G81" s="54"/>
      <c r="H81" s="54"/>
      <c r="I81" s="52">
        <f t="shared" si="2"/>
        <v>8.516666666666671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Peuplier Blanc du Poitou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236</v>
      </c>
      <c r="C88" s="63">
        <v>1</v>
      </c>
      <c r="D88" s="63">
        <v>236</v>
      </c>
      <c r="E88" s="54">
        <v>0.8</v>
      </c>
      <c r="F88" s="54">
        <v>0.2</v>
      </c>
      <c r="G88" s="54"/>
      <c r="H88" s="93"/>
      <c r="I88" s="56">
        <f>IFERROR(B88/A88,"")</f>
        <v>11.8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pubescent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73</v>
      </c>
      <c r="C114" s="53">
        <v>1</v>
      </c>
      <c r="D114" s="63">
        <v>6</v>
      </c>
      <c r="E114" s="54"/>
      <c r="F114" s="54"/>
      <c r="G114" s="54">
        <v>1</v>
      </c>
      <c r="H114" s="54"/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v>103</v>
      </c>
      <c r="C115" s="53">
        <v>2</v>
      </c>
      <c r="D115" s="63">
        <v>28</v>
      </c>
      <c r="E115" s="54">
        <v>0.05</v>
      </c>
      <c r="F115" s="54">
        <v>0.25</v>
      </c>
      <c r="G115" s="54">
        <v>0.7</v>
      </c>
      <c r="H115" s="54"/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v>121</v>
      </c>
      <c r="C116" s="53">
        <v>3</v>
      </c>
      <c r="D116" s="63">
        <v>28</v>
      </c>
      <c r="E116" s="54"/>
      <c r="F116" s="54"/>
      <c r="G116" s="54"/>
      <c r="H116" s="54"/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v>147</v>
      </c>
      <c r="C117" s="53">
        <v>4</v>
      </c>
      <c r="D117" s="63">
        <v>28</v>
      </c>
      <c r="E117" s="54"/>
      <c r="F117" s="54"/>
      <c r="G117" s="54"/>
      <c r="H117" s="54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v>175</v>
      </c>
      <c r="C118" s="53">
        <v>5</v>
      </c>
      <c r="D118" s="63">
        <v>28</v>
      </c>
      <c r="E118" s="54"/>
      <c r="F118" s="54"/>
      <c r="G118" s="54"/>
      <c r="H118" s="54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v>204</v>
      </c>
      <c r="C119" s="53">
        <v>6</v>
      </c>
      <c r="D119" s="63">
        <v>28</v>
      </c>
      <c r="E119" s="54"/>
      <c r="F119" s="54"/>
      <c r="G119" s="54"/>
      <c r="H119" s="54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v>231</v>
      </c>
      <c r="C120" s="63">
        <v>7</v>
      </c>
      <c r="D120" s="63">
        <v>28</v>
      </c>
      <c r="E120" s="93"/>
      <c r="F120" s="93"/>
      <c r="G120" s="93"/>
      <c r="H120" s="93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55</v>
      </c>
      <c r="B121" s="63">
        <v>254</v>
      </c>
      <c r="C121" s="63">
        <v>8</v>
      </c>
      <c r="D121" s="63">
        <v>28</v>
      </c>
      <c r="E121" s="93"/>
      <c r="F121" s="93"/>
      <c r="G121" s="93"/>
      <c r="H121" s="93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60</v>
      </c>
      <c r="B122" s="63">
        <v>273</v>
      </c>
      <c r="C122" s="63">
        <v>9</v>
      </c>
      <c r="D122" s="63">
        <v>28</v>
      </c>
      <c r="E122" s="93"/>
      <c r="F122" s="93"/>
      <c r="G122" s="93"/>
      <c r="H122" s="93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65</v>
      </c>
      <c r="B123" s="63">
        <v>289</v>
      </c>
      <c r="C123" s="63">
        <v>10</v>
      </c>
      <c r="D123" s="63">
        <v>28</v>
      </c>
      <c r="E123" s="93"/>
      <c r="F123" s="93"/>
      <c r="G123" s="93"/>
      <c r="H123" s="93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70</v>
      </c>
      <c r="B124" s="63">
        <v>302</v>
      </c>
      <c r="C124" s="63">
        <v>11</v>
      </c>
      <c r="D124" s="63">
        <v>28</v>
      </c>
      <c r="E124" s="93"/>
      <c r="F124" s="93"/>
      <c r="G124" s="93"/>
      <c r="H124" s="93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75</v>
      </c>
      <c r="B125" s="63">
        <v>312</v>
      </c>
      <c r="C125" s="63">
        <v>12</v>
      </c>
      <c r="D125" s="63">
        <v>28</v>
      </c>
      <c r="E125" s="93"/>
      <c r="F125" s="93"/>
      <c r="G125" s="93"/>
      <c r="H125" s="93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80</v>
      </c>
      <c r="B126" s="63">
        <v>320</v>
      </c>
      <c r="C126" s="63">
        <v>13</v>
      </c>
      <c r="D126" s="63">
        <v>28</v>
      </c>
      <c r="E126" s="68"/>
      <c r="F126" s="68"/>
      <c r="G126" s="68"/>
      <c r="H126" s="68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85</v>
      </c>
      <c r="B127" s="63">
        <v>326</v>
      </c>
      <c r="C127" s="63">
        <v>14</v>
      </c>
      <c r="D127" s="63">
        <v>28</v>
      </c>
      <c r="E127" s="68"/>
      <c r="F127" s="68"/>
      <c r="G127" s="68"/>
      <c r="H127" s="68"/>
      <c r="I127" s="56">
        <f t="shared" si="4"/>
        <v>6.8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90</v>
      </c>
      <c r="B128" s="53">
        <v>330</v>
      </c>
      <c r="C128" s="53">
        <v>15</v>
      </c>
      <c r="D128" s="53">
        <v>28</v>
      </c>
      <c r="E128" s="57"/>
      <c r="F128" s="57"/>
      <c r="G128" s="57"/>
      <c r="H128" s="57"/>
      <c r="I128" s="56">
        <f t="shared" si="4"/>
        <v>6.4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95</v>
      </c>
      <c r="B129" s="53">
        <v>332</v>
      </c>
      <c r="C129" s="53">
        <v>16</v>
      </c>
      <c r="D129" s="53">
        <v>28</v>
      </c>
      <c r="E129" s="57"/>
      <c r="F129" s="57"/>
      <c r="G129" s="57"/>
      <c r="H129" s="57"/>
      <c r="I129" s="56">
        <f t="shared" si="4"/>
        <v>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100</v>
      </c>
      <c r="B130" s="53">
        <v>333</v>
      </c>
      <c r="C130" s="53">
        <v>17</v>
      </c>
      <c r="D130" s="53">
        <v>27</v>
      </c>
      <c r="E130" s="57"/>
      <c r="F130" s="57"/>
      <c r="G130" s="57"/>
      <c r="H130" s="57"/>
      <c r="I130" s="56">
        <f t="shared" si="4"/>
        <v>5.8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105</v>
      </c>
      <c r="B131" s="53">
        <v>333</v>
      </c>
      <c r="C131" s="53">
        <v>18</v>
      </c>
      <c r="D131" s="53">
        <v>26</v>
      </c>
      <c r="E131" s="57"/>
      <c r="F131" s="57"/>
      <c r="G131" s="57"/>
      <c r="H131" s="57"/>
      <c r="I131" s="56">
        <f t="shared" si="4"/>
        <v>5.4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110</v>
      </c>
      <c r="B132" s="53">
        <v>332</v>
      </c>
      <c r="C132" s="53">
        <v>19</v>
      </c>
      <c r="D132" s="53">
        <v>25</v>
      </c>
      <c r="E132" s="57"/>
      <c r="F132" s="57"/>
      <c r="G132" s="57"/>
      <c r="H132" s="57"/>
      <c r="I132" s="56">
        <f t="shared" si="4"/>
        <v>5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115</v>
      </c>
      <c r="B133" s="53">
        <v>330</v>
      </c>
      <c r="C133" s="53">
        <v>20</v>
      </c>
      <c r="D133" s="53">
        <v>330</v>
      </c>
      <c r="E133" s="57"/>
      <c r="F133" s="57"/>
      <c r="G133" s="57"/>
      <c r="H133" s="57"/>
      <c r="I133" s="56">
        <f t="shared" si="4"/>
        <v>4.5999999999999996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31" sqref="C3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Peuplier Blanc du Poitou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pubescent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472.83070477639035</v>
      </c>
      <c r="T3" s="62">
        <f>IF('Données projet'!E9&gt;30,$R$33-$H$33,LOOKUP('Données projet'!$E$9,$A$3:$A$203,R3:R203)-LOOKUP('Données projet'!$E$9,$A$3:$A$203,$H$3:$H$203))</f>
        <v>297.32483725004136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348.76787471354476</v>
      </c>
      <c r="AO3" s="62">
        <f>IF('Données projet'!E10&gt;30,$AM$33-$H$33,LOOKUP('Données projet'!$E$10,$A$3:$A$203,AM3:AM203)-LOOKUP('Données projet'!$E$10,$A$3:$A$203,$H$3:$H$203))</f>
        <v>258.31503417978615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59.385225562404884</v>
      </c>
      <c r="BJ3" s="62">
        <f>IF('Données projet'!E11&gt;30,$BH$33-$H$33,LOOKUP('Données projet'!$E$11,$A$3:$A$203,BH3:BH203)-LOOKUP('Données projet'!$E$11,$A$3:$A$203,$H$3:$H$203))</f>
        <v>285.5244298970598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520.80494930257237</v>
      </c>
      <c r="CE3" s="62">
        <f>IF('Données projet'!E12&gt;30,$CC$33-$H$33,LOOKUP('Données projet'!$E$12,$A$3:$A$203,CC3:CC203)-LOOKUP('Données projet'!$E$12,$A$3:$A$203,$H$3:$H$203))</f>
        <v>325.72635759450861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170.65342372509684</v>
      </c>
      <c r="S4" s="62">
        <f ca="1">AVERAGE(OFFSET($R$3,0,0,'Données projet'!$E$9+1,1))-AVERAGE(OFFSET($H$3,0,0,'Données projet'!$E$9+1,1))</f>
        <v>472.83070477639035</v>
      </c>
      <c r="T4" s="62">
        <f>$T$3</f>
        <v>297.32483725004136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6.5093333333333332</v>
      </c>
      <c r="AI4" s="14">
        <f>IF('Données projet'!$A$62&gt;35,AI3+AH4-AQ3,IF(A4&lt;'Données projet'!$A$62,$AF$205^A4,IF(A4='Données projet'!$A$62,'Données projet'!$B$62,AI3+AH4-AQ3)))</f>
        <v>1.1922168590978506</v>
      </c>
      <c r="AJ4" s="14">
        <f>AI4*VLOOKUP('Données projet'!$B$10,Paramètres!$A$1:$I$89,3,0)*VLOOKUP('Données projet'!$B$10,Paramètres!$A$1:$I$89,5,0)</f>
        <v>0.55795749005779405</v>
      </c>
      <c r="AK4" s="14">
        <f>EXP(-1.0587+0.8836*LN(AJ4)+0.284)</f>
        <v>0.27520023941954863</v>
      </c>
      <c r="AL4" s="22">
        <f t="shared" ref="AL4:AL67" si="4">(AJ4+AK4)*0.475*44/12</f>
        <v>1.4510830455063717</v>
      </c>
      <c r="AM4" s="62">
        <f t="shared" ref="AM4:AM67" si="5">AL4+(AD4+AE4)*44/12</f>
        <v>169.26351699843022</v>
      </c>
      <c r="AN4" s="62">
        <f ca="1">AVERAGE(OFFSET($AM$3,0,0,'Données projet'!$E$10+1,1))-AVERAGE(OFFSET($H$3,0,0,'Données projet'!$E$10+1,1))</f>
        <v>348.76787471354476</v>
      </c>
      <c r="AO4" s="62">
        <f>$AO$3</f>
        <v>258.31503417978615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11.8</v>
      </c>
      <c r="BD4" s="13">
        <f>IF('Données projet'!$A$88&gt;35,BD3+BC4-BL3,IF(A4&lt;'Données projet'!$A$88,$BA$205^A4,IF(A4='Données projet'!$A$88,'Données projet'!$B$88,BD3+BC4-BL3)))</f>
        <v>1.3141519994188957</v>
      </c>
      <c r="BE4" s="14">
        <f>BD4*VLOOKUP('Données projet'!$B$11,Paramètres!$A$1:$I$89,3,0)*VLOOKUP('Données projet'!$B$11,Paramètres!$A$1:$I$89,5,0)</f>
        <v>0.63757398403807142</v>
      </c>
      <c r="BF4" s="14">
        <f>EXP(-1.0587+0.8836*LN(BE4)+0.284)</f>
        <v>0.30962448127892633</v>
      </c>
      <c r="BG4" s="22">
        <f t="shared" ref="BG4:BG67" si="7">(BE4+BF4)*0.475*44/12</f>
        <v>1.6497039937604379</v>
      </c>
      <c r="BH4" s="62">
        <f t="shared" ref="BH4:BH67" si="8">BG4+(AY4+AZ4)*44/12</f>
        <v>169.46213794668427</v>
      </c>
      <c r="BI4" s="62">
        <f ca="1">AVERAGE(OFFSET($BH$3,0,0,'Données projet'!$E$11+1,1))-AVERAGE(OFFSET($H$3,0,0,'Données projet'!$E$11+1,1))</f>
        <v>59.385225562404884</v>
      </c>
      <c r="BJ4" s="62">
        <f>$BJ$3</f>
        <v>285.5244298970598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1.2566203774920315</v>
      </c>
      <c r="CA4" s="14">
        <f>EXP(-1.0587+0.8836*LN(BZ4)+0.284)</f>
        <v>0.56390871417545174</v>
      </c>
      <c r="CB4" s="22">
        <f t="shared" ref="CB4:CB67" si="10">(BZ4+CA4)*0.475*44/12</f>
        <v>3.1707548346542</v>
      </c>
      <c r="CC4" s="62">
        <f t="shared" ref="CC4:CC67" si="11">CB4+(BT4+BU4)*44/12</f>
        <v>170.98318878757803</v>
      </c>
      <c r="CD4" s="62">
        <f ca="1">AVERAGE(OFFSET($CC$3,0,0,'Données projet'!$E$12+1,1))-AVERAGE(OFFSET($H$3,0,0,'Données projet'!$E$12+1,1))</f>
        <v>520.80494930257237</v>
      </c>
      <c r="CE4" s="62">
        <f>$CE$3</f>
        <v>325.72635759450861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174.0908950642665</v>
      </c>
      <c r="S5" s="62">
        <f ca="1">AVERAGE(OFFSET($R$3,0,0,'Données projet'!$E$9+1,1))-AVERAGE(OFFSET($H$3,0,0,'Données projet'!$E$9+1,1))</f>
        <v>472.83070477639035</v>
      </c>
      <c r="T5" s="62">
        <f t="shared" ref="T5:T68" si="34">$T$3</f>
        <v>297.32483725004136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6.5093333333333332</v>
      </c>
      <c r="AI5" s="14">
        <f>IF('Données projet'!$A$62&gt;35,AI4+AH5-AQ4,IF(A5&lt;'Données projet'!$A$62,$AF$205^A5,IF(A5='Données projet'!$A$62,'Données projet'!$B$62,AI4+AH5-AQ4)))</f>
        <v>1.4213810391171442</v>
      </c>
      <c r="AJ5" s="14">
        <f>AI5*VLOOKUP('Données projet'!$B$10,Paramètres!$A$1:$I$89,3,0)*VLOOKUP('Données projet'!$B$10,Paramètres!$A$1:$I$89,5,0)</f>
        <v>0.66520632630682341</v>
      </c>
      <c r="AK5" s="14">
        <f t="shared" ref="AK5:AK68" si="35">EXP(-1.0587+0.8836*LN(AJ5)+0.284)</f>
        <v>0.32145213467656786</v>
      </c>
      <c r="AL5" s="22">
        <f t="shared" si="4"/>
        <v>1.7184301528794064</v>
      </c>
      <c r="AM5" s="62">
        <f t="shared" si="5"/>
        <v>172.31571144038023</v>
      </c>
      <c r="AN5" s="62">
        <f ca="1">AVERAGE(OFFSET($AM$3,0,0,'Données projet'!$E$10+1,1))-AVERAGE(OFFSET($H$3,0,0,'Données projet'!$E$10+1,1))</f>
        <v>348.76787471354476</v>
      </c>
      <c r="AO5" s="62">
        <f t="shared" ref="AO5:AO68" si="36">$AO$3</f>
        <v>258.31503417978615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11.8</v>
      </c>
      <c r="BD5" s="13">
        <f>IF('Données projet'!$A$88&gt;35,BD4+BC5-BL4,IF(A5&lt;'Données projet'!$A$88,$BA$205^A5,IF(A5='Données projet'!$A$88,'Données projet'!$B$88,BD4+BC5-BL4)))</f>
        <v>1.7269954775766814</v>
      </c>
      <c r="BE5" s="14">
        <f>BD5*VLOOKUP('Données projet'!$B$11,Paramètres!$A$1:$I$89,3,0)*VLOOKUP('Données projet'!$B$11,Paramètres!$A$1:$I$89,5,0)</f>
        <v>0.83786912590110285</v>
      </c>
      <c r="BF5" s="14">
        <f t="shared" ref="BF5:BF68" si="37">EXP(-1.0587+0.8836*LN(BE5)+0.284)</f>
        <v>0.3941581803243801</v>
      </c>
      <c r="BG5" s="22">
        <f t="shared" si="7"/>
        <v>2.1457808916760492</v>
      </c>
      <c r="BH5" s="62">
        <f t="shared" si="8"/>
        <v>172.74306217917689</v>
      </c>
      <c r="BI5" s="62">
        <f ca="1">AVERAGE(OFFSET($BH$3,0,0,'Données projet'!$E$11+1,1))-AVERAGE(OFFSET($H$3,0,0,'Données projet'!$E$11+1,1))</f>
        <v>59.385225562404884</v>
      </c>
      <c r="BJ5" s="62">
        <f t="shared" ref="BJ5:BJ68" si="38">$BJ$3</f>
        <v>285.5244298970598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1.5572926756688519</v>
      </c>
      <c r="CA5" s="14">
        <f t="shared" ref="CA5:CA68" si="39">EXP(-1.0587+0.8836*LN(BZ5)+0.284)</f>
        <v>0.68160129960402205</v>
      </c>
      <c r="CB5" s="22">
        <f t="shared" si="10"/>
        <v>3.8994070069335893</v>
      </c>
      <c r="CC5" s="62">
        <f t="shared" si="11"/>
        <v>174.49668829443442</v>
      </c>
      <c r="CD5" s="62">
        <f ca="1">AVERAGE(OFFSET($CC$3,0,0,'Données projet'!$E$12+1,1))-AVERAGE(OFFSET($H$3,0,0,'Données projet'!$E$12+1,1))</f>
        <v>520.80494930257237</v>
      </c>
      <c r="CE5" s="62">
        <f t="shared" ref="CE5:CE68" si="40">$CE$3</f>
        <v>325.72635759450861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177.65174746089073</v>
      </c>
      <c r="S6" s="62">
        <f ca="1">AVERAGE(OFFSET($R$3,0,0,'Données projet'!$E$9+1,1))-AVERAGE(OFFSET($H$3,0,0,'Données projet'!$E$9+1,1))</f>
        <v>472.83070477639035</v>
      </c>
      <c r="T6" s="62">
        <f t="shared" si="34"/>
        <v>297.32483725004136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6.5093333333333332</v>
      </c>
      <c r="AI6" s="14">
        <f>IF('Données projet'!$A$62&gt;35,AI5+AH6-AQ5,IF(A6&lt;'Données projet'!$A$62,$AF$205^A6,IF(A6='Données projet'!$A$62,'Données projet'!$B$62,AI5+AH6-AQ5)))</f>
        <v>1.6945944380374807</v>
      </c>
      <c r="AJ6" s="14">
        <f>AI6*VLOOKUP('Données projet'!$B$10,Paramètres!$A$1:$I$89,3,0)*VLOOKUP('Données projet'!$B$10,Paramètres!$A$1:$I$89,5,0)</f>
        <v>0.79307019700154091</v>
      </c>
      <c r="AK6" s="14">
        <f t="shared" si="35"/>
        <v>0.37547741639349119</v>
      </c>
      <c r="AL6" s="22">
        <f t="shared" si="4"/>
        <v>2.0352204266630141</v>
      </c>
      <c r="AM6" s="62">
        <f t="shared" si="5"/>
        <v>175.3902409965479</v>
      </c>
      <c r="AN6" s="62">
        <f ca="1">AVERAGE(OFFSET($AM$3,0,0,'Données projet'!$E$10+1,1))-AVERAGE(OFFSET($H$3,0,0,'Données projet'!$E$10+1,1))</f>
        <v>348.76787471354476</v>
      </c>
      <c r="AO6" s="62">
        <f t="shared" si="36"/>
        <v>258.31503417978615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11.8</v>
      </c>
      <c r="BD6" s="13">
        <f>IF('Données projet'!$A$88&gt;35,BD5+BC6-BL5,IF(A6&lt;'Données projet'!$A$88,$BA$205^A6,IF(A6='Données projet'!$A$88,'Données projet'!$B$88,BD5+BC6-BL5)))</f>
        <v>2.2695345598447867</v>
      </c>
      <c r="BE6" s="14">
        <f>BD6*VLOOKUP('Données projet'!$B$11,Paramètres!$A$1:$I$89,3,0)*VLOOKUP('Données projet'!$B$11,Paramètres!$A$1:$I$89,5,0)</f>
        <v>1.1010873870542968</v>
      </c>
      <c r="BF6" s="14">
        <f t="shared" si="37"/>
        <v>0.50177127620819262</v>
      </c>
      <c r="BG6" s="22">
        <f t="shared" si="7"/>
        <v>2.7916455051821689</v>
      </c>
      <c r="BH6" s="62">
        <f t="shared" si="8"/>
        <v>176.14666607506706</v>
      </c>
      <c r="BI6" s="62">
        <f ca="1">AVERAGE(OFFSET($BH$3,0,0,'Données projet'!$E$11+1,1))-AVERAGE(OFFSET($H$3,0,0,'Données projet'!$E$11+1,1))</f>
        <v>59.385225562404884</v>
      </c>
      <c r="BJ6" s="62">
        <f t="shared" si="38"/>
        <v>285.5244298970598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1.9299070117993768</v>
      </c>
      <c r="CA6" s="14">
        <f t="shared" si="39"/>
        <v>0.82385733708903885</v>
      </c>
      <c r="CB6" s="22">
        <f t="shared" si="10"/>
        <v>4.7961395743139903</v>
      </c>
      <c r="CC6" s="62">
        <f t="shared" si="11"/>
        <v>178.15116014419888</v>
      </c>
      <c r="CD6" s="62">
        <f ca="1">AVERAGE(OFFSET($CC$3,0,0,'Données projet'!$E$12+1,1))-AVERAGE(OFFSET($H$3,0,0,'Données projet'!$E$12+1,1))</f>
        <v>520.80494930257237</v>
      </c>
      <c r="CE6" s="62">
        <f t="shared" si="40"/>
        <v>325.72635759450861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181.37127654212841</v>
      </c>
      <c r="S7" s="62">
        <f ca="1">AVERAGE(OFFSET($R$3,0,0,'Données projet'!$E$9+1,1))-AVERAGE(OFFSET($H$3,0,0,'Données projet'!$E$9+1,1))</f>
        <v>472.83070477639035</v>
      </c>
      <c r="T7" s="62">
        <f t="shared" si="34"/>
        <v>297.32483725004136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6.5093333333333332</v>
      </c>
      <c r="AI7" s="14">
        <f>IF('Données projet'!$A$62&gt;35,AI6+AH7-AQ6,IF(A7&lt;'Données projet'!$A$62,$AF$205^A7,IF(A7='Données projet'!$A$62,'Données projet'!$B$62,AI6+AH7-AQ6)))</f>
        <v>2.0203240583617328</v>
      </c>
      <c r="AJ7" s="14">
        <f>AI7*VLOOKUP('Données projet'!$B$10,Paramètres!$A$1:$I$89,3,0)*VLOOKUP('Données projet'!$B$10,Paramètres!$A$1:$I$89,5,0)</f>
        <v>0.94551165931329084</v>
      </c>
      <c r="AK7" s="14">
        <f t="shared" si="35"/>
        <v>0.43858252913262774</v>
      </c>
      <c r="AL7" s="22">
        <f t="shared" si="4"/>
        <v>2.4106307115433077</v>
      </c>
      <c r="AM7" s="62">
        <f t="shared" si="5"/>
        <v>178.49675277572027</v>
      </c>
      <c r="AN7" s="62">
        <f ca="1">AVERAGE(OFFSET($AM$3,0,0,'Données projet'!$E$10+1,1))-AVERAGE(OFFSET($H$3,0,0,'Données projet'!$E$10+1,1))</f>
        <v>348.76787471354476</v>
      </c>
      <c r="AO7" s="62">
        <f t="shared" si="36"/>
        <v>258.31503417978615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11.8</v>
      </c>
      <c r="BD7" s="13">
        <f>IF('Données projet'!$A$88&gt;35,BD6+BC7-BL6,IF(A7&lt;'Données projet'!$A$88,$BA$205^A7,IF(A7='Données projet'!$A$88,'Données projet'!$B$88,BD6+BC7-BL6)))</f>
        <v>2.9825133795703098</v>
      </c>
      <c r="BE7" s="14">
        <f>BD7*VLOOKUP('Données projet'!$B$11,Paramètres!$A$1:$I$89,3,0)*VLOOKUP('Données projet'!$B$11,Paramètres!$A$1:$I$89,5,0)</f>
        <v>1.4469961912323317</v>
      </c>
      <c r="BF7" s="14">
        <f t="shared" si="37"/>
        <v>0.63876490758201632</v>
      </c>
      <c r="BG7" s="22">
        <f t="shared" si="7"/>
        <v>3.6327005804349892</v>
      </c>
      <c r="BH7" s="62">
        <f t="shared" si="8"/>
        <v>179.71882264461195</v>
      </c>
      <c r="BI7" s="62">
        <f ca="1">AVERAGE(OFFSET($BH$3,0,0,'Données projet'!$E$11+1,1))-AVERAGE(OFFSET($H$3,0,0,'Données projet'!$E$11+1,1))</f>
        <v>59.385225562404884</v>
      </c>
      <c r="BJ7" s="62">
        <f t="shared" si="38"/>
        <v>285.5244298970598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2.3916769996961063</v>
      </c>
      <c r="CA7" s="14">
        <f t="shared" si="39"/>
        <v>0.9958034297612971</v>
      </c>
      <c r="CB7" s="22">
        <f t="shared" si="10"/>
        <v>5.8998617479716442</v>
      </c>
      <c r="CC7" s="62">
        <f t="shared" si="11"/>
        <v>181.98598381214859</v>
      </c>
      <c r="CD7" s="62">
        <f ca="1">AVERAGE(OFFSET($CC$3,0,0,'Données projet'!$E$12+1,1))-AVERAGE(OFFSET($H$3,0,0,'Données projet'!$E$12+1,1))</f>
        <v>520.80494930257237</v>
      </c>
      <c r="CE7" s="62">
        <f t="shared" si="40"/>
        <v>325.72635759450861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185.29285571551281</v>
      </c>
      <c r="S8" s="62">
        <f ca="1">AVERAGE(OFFSET($R$3,0,0,'Données projet'!$E$9+1,1))-AVERAGE(OFFSET($H$3,0,0,'Données projet'!$E$9+1,1))</f>
        <v>472.83070477639035</v>
      </c>
      <c r="T8" s="62">
        <f t="shared" si="34"/>
        <v>297.32483725004136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6.5093333333333332</v>
      </c>
      <c r="AI8" s="14">
        <f>IF('Données projet'!$A$62&gt;35,AI7+AH8-AQ7,IF(A8&lt;'Données projet'!$A$62,$AF$205^A8,IF(A8='Données projet'!$A$62,'Données projet'!$B$62,AI7+AH8-AQ7)))</f>
        <v>2.4086644032198476</v>
      </c>
      <c r="AJ8" s="14">
        <f>AI8*VLOOKUP('Données projet'!$B$10,Paramètres!$A$1:$I$89,3,0)*VLOOKUP('Données projet'!$B$10,Paramètres!$A$1:$I$89,5,0)</f>
        <v>1.1272549407068886</v>
      </c>
      <c r="AK8" s="14">
        <f t="shared" si="35"/>
        <v>0.5122934868039819</v>
      </c>
      <c r="AL8" s="22">
        <f t="shared" si="4"/>
        <v>2.8555468445814327</v>
      </c>
      <c r="AM8" s="62">
        <f t="shared" si="5"/>
        <v>181.64659472102878</v>
      </c>
      <c r="AN8" s="62">
        <f ca="1">AVERAGE(OFFSET($AM$3,0,0,'Données projet'!$E$10+1,1))-AVERAGE(OFFSET($H$3,0,0,'Données projet'!$E$10+1,1))</f>
        <v>348.76787471354476</v>
      </c>
      <c r="AO8" s="62">
        <f t="shared" si="36"/>
        <v>258.31503417978615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11.8</v>
      </c>
      <c r="BD8" s="13">
        <f>IF('Données projet'!$A$88&gt;35,BD7+BC8-BL7,IF(A8&lt;'Données projet'!$A$88,$BA$205^A8,IF(A8='Données projet'!$A$88,'Données projet'!$B$88,BD7+BC8-BL7)))</f>
        <v>3.9194759210559305</v>
      </c>
      <c r="BE8" s="14">
        <f>BD8*VLOOKUP('Données projet'!$B$11,Paramètres!$A$1:$I$89,3,0)*VLOOKUP('Données projet'!$B$11,Paramètres!$A$1:$I$89,5,0)</f>
        <v>1.9015729378594952</v>
      </c>
      <c r="BF8" s="14">
        <f t="shared" si="37"/>
        <v>0.81316055044364022</v>
      </c>
      <c r="BG8" s="22">
        <f t="shared" si="7"/>
        <v>4.7281608254612948</v>
      </c>
      <c r="BH8" s="62">
        <f t="shared" si="8"/>
        <v>183.51920870190864</v>
      </c>
      <c r="BI8" s="62">
        <f ca="1">AVERAGE(OFFSET($BH$3,0,0,'Données projet'!$E$11+1,1))-AVERAGE(OFFSET($H$3,0,0,'Données projet'!$E$11+1,1))</f>
        <v>59.385225562404884</v>
      </c>
      <c r="BJ8" s="62">
        <f t="shared" si="38"/>
        <v>285.5244298970598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2.9639349646914495</v>
      </c>
      <c r="CA8" s="14">
        <f t="shared" si="39"/>
        <v>1.2036361467970902</v>
      </c>
      <c r="CB8" s="22">
        <f t="shared" si="10"/>
        <v>7.2585196858425398</v>
      </c>
      <c r="CC8" s="62">
        <f t="shared" si="11"/>
        <v>186.04956756228989</v>
      </c>
      <c r="CD8" s="62">
        <f ca="1">AVERAGE(OFFSET($CC$3,0,0,'Données projet'!$E$12+1,1))-AVERAGE(OFFSET($H$3,0,0,'Données projet'!$E$12+1,1))</f>
        <v>520.80494930257237</v>
      </c>
      <c r="CE8" s="62">
        <f t="shared" si="40"/>
        <v>325.72635759450861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189.46981953956174</v>
      </c>
      <c r="S9" s="62">
        <f ca="1">AVERAGE(OFFSET($R$3,0,0,'Données projet'!$E$9+1,1))-AVERAGE(OFFSET($H$3,0,0,'Données projet'!$E$9+1,1))</f>
        <v>472.83070477639035</v>
      </c>
      <c r="T9" s="62">
        <f t="shared" si="34"/>
        <v>297.32483725004136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6.5093333333333332</v>
      </c>
      <c r="AI9" s="14">
        <f>IF('Données projet'!$A$62&gt;35,AI8+AH9-AQ8,IF(A9&lt;'Données projet'!$A$62,$AF$205^A9,IF(A9='Données projet'!$A$62,'Données projet'!$B$62,AI8+AH9-AQ8)))</f>
        <v>2.8716503094275656</v>
      </c>
      <c r="AJ9" s="14">
        <f>AI9*VLOOKUP('Données projet'!$B$10,Paramètres!$A$1:$I$89,3,0)*VLOOKUP('Données projet'!$B$10,Paramètres!$A$1:$I$89,5,0)</f>
        <v>1.3439323448121006</v>
      </c>
      <c r="AK9" s="14">
        <f t="shared" si="35"/>
        <v>0.5983927748805018</v>
      </c>
      <c r="AL9" s="22">
        <f t="shared" si="4"/>
        <v>3.3828829167979486</v>
      </c>
      <c r="AM9" s="62">
        <f t="shared" si="5"/>
        <v>184.85313501305691</v>
      </c>
      <c r="AN9" s="62">
        <f ca="1">AVERAGE(OFFSET($AM$3,0,0,'Données projet'!$E$10+1,1))-AVERAGE(OFFSET($H$3,0,0,'Données projet'!$E$10+1,1))</f>
        <v>348.76787471354476</v>
      </c>
      <c r="AO9" s="62">
        <f t="shared" si="36"/>
        <v>258.31503417978615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11.8</v>
      </c>
      <c r="BD9" s="13">
        <f>IF('Données projet'!$A$88&gt;35,BD8+BC9-BL8,IF(A9&lt;'Données projet'!$A$88,$BA$205^A9,IF(A9='Données projet'!$A$88,'Données projet'!$B$88,BD8+BC9-BL8)))</f>
        <v>5.1507871183298688</v>
      </c>
      <c r="BE9" s="14">
        <f>BD9*VLOOKUP('Données projet'!$B$11,Paramètres!$A$1:$I$89,3,0)*VLOOKUP('Données projet'!$B$11,Paramètres!$A$1:$I$89,5,0)</f>
        <v>2.4989558783289194</v>
      </c>
      <c r="BF9" s="14">
        <f t="shared" si="37"/>
        <v>1.0351697047679522</v>
      </c>
      <c r="BG9" s="22">
        <f t="shared" si="7"/>
        <v>6.1552687238937169</v>
      </c>
      <c r="BH9" s="62">
        <f t="shared" si="8"/>
        <v>187.6255208201527</v>
      </c>
      <c r="BI9" s="62">
        <f ca="1">AVERAGE(OFFSET($BH$3,0,0,'Données projet'!$E$11+1,1))-AVERAGE(OFFSET($H$3,0,0,'Données projet'!$E$11+1,1))</f>
        <v>59.385225562404884</v>
      </c>
      <c r="BJ9" s="62">
        <f t="shared" si="38"/>
        <v>285.5244298970598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3.6731174301700205</v>
      </c>
      <c r="CA9" s="14">
        <f t="shared" si="39"/>
        <v>1.4548453345092642</v>
      </c>
      <c r="CB9" s="22">
        <f t="shared" si="10"/>
        <v>8.9312018151497536</v>
      </c>
      <c r="CC9" s="62">
        <f t="shared" si="11"/>
        <v>190.40145391140874</v>
      </c>
      <c r="CD9" s="62">
        <f ca="1">AVERAGE(OFFSET($CC$3,0,0,'Données projet'!$E$12+1,1))-AVERAGE(OFFSET($H$3,0,0,'Données projet'!$E$12+1,1))</f>
        <v>520.80494930257237</v>
      </c>
      <c r="CE9" s="62">
        <f t="shared" si="40"/>
        <v>325.72635759450861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193.96778694515905</v>
      </c>
      <c r="S10" s="62">
        <f ca="1">AVERAGE(OFFSET($R$3,0,0,'Données projet'!$E$9+1,1))-AVERAGE(OFFSET($H$3,0,0,'Données projet'!$E$9+1,1))</f>
        <v>472.83070477639035</v>
      </c>
      <c r="T10" s="62">
        <f t="shared" si="34"/>
        <v>297.32483725004136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6.5093333333333332</v>
      </c>
      <c r="AI10" s="14">
        <f>IF('Données projet'!$A$62&gt;35,AI9+AH10-AQ9,IF(A10&lt;'Données projet'!$A$62,$AF$205^A10,IF(A10='Données projet'!$A$62,'Données projet'!$B$62,AI9+AH10-AQ9)))</f>
        <v>3.4236299123331029</v>
      </c>
      <c r="AJ10" s="14">
        <f>AI10*VLOOKUP('Données projet'!$B$10,Paramètres!$A$1:$I$89,3,0)*VLOOKUP('Données projet'!$B$10,Paramètres!$A$1:$I$89,5,0)</f>
        <v>1.6022587989718919</v>
      </c>
      <c r="AK10" s="14">
        <f t="shared" si="35"/>
        <v>0.69896245463334605</v>
      </c>
      <c r="AL10" s="22">
        <f t="shared" si="4"/>
        <v>4.0079603500291228</v>
      </c>
      <c r="AM10" s="62">
        <f t="shared" si="5"/>
        <v>188.13214128576536</v>
      </c>
      <c r="AN10" s="62">
        <f ca="1">AVERAGE(OFFSET($AM$3,0,0,'Données projet'!$E$10+1,1))-AVERAGE(OFFSET($H$3,0,0,'Données projet'!$E$10+1,1))</f>
        <v>348.76787471354476</v>
      </c>
      <c r="AO10" s="62">
        <f t="shared" si="36"/>
        <v>258.31503417978615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11.8</v>
      </c>
      <c r="BD10" s="13">
        <f>IF('Données projet'!$A$88&gt;35,BD9+BC10-BL9,IF(A10&lt;'Données projet'!$A$88,$BA$205^A10,IF(A10='Données projet'!$A$88,'Données projet'!$B$88,BD9+BC10-BL9)))</f>
        <v>6.7689171901342906</v>
      </c>
      <c r="BE10" s="14">
        <f>BD10*VLOOKUP('Données projet'!$B$11,Paramètres!$A$1:$I$89,3,0)*VLOOKUP('Données projet'!$B$11,Paramètres!$A$1:$I$89,5,0)</f>
        <v>3.2840078639655523</v>
      </c>
      <c r="BF10" s="14">
        <f t="shared" si="37"/>
        <v>1.3177918150170271</v>
      </c>
      <c r="BG10" s="22">
        <f t="shared" si="7"/>
        <v>8.0148011075613255</v>
      </c>
      <c r="BH10" s="62">
        <f t="shared" si="8"/>
        <v>192.13898204329757</v>
      </c>
      <c r="BI10" s="62">
        <f ca="1">AVERAGE(OFFSET($BH$3,0,0,'Données projet'!$E$11+1,1))-AVERAGE(OFFSET($H$3,0,0,'Données projet'!$E$11+1,1))</f>
        <v>59.385225562404884</v>
      </c>
      <c r="BJ10" s="62">
        <f t="shared" si="38"/>
        <v>285.5244298970598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4.5519864020441929</v>
      </c>
      <c r="CA10" s="14">
        <f t="shared" si="39"/>
        <v>1.7584840343783612</v>
      </c>
      <c r="CB10" s="22">
        <f t="shared" si="10"/>
        <v>10.990736010102614</v>
      </c>
      <c r="CC10" s="62">
        <f t="shared" si="11"/>
        <v>195.11491694583884</v>
      </c>
      <c r="CD10" s="62">
        <f ca="1">AVERAGE(OFFSET($CC$3,0,0,'Données projet'!$E$12+1,1))-AVERAGE(OFFSET($H$3,0,0,'Données projet'!$E$12+1,1))</f>
        <v>520.80494930257237</v>
      </c>
      <c r="CE10" s="62">
        <f t="shared" si="40"/>
        <v>325.72635759450861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198.86752730846644</v>
      </c>
      <c r="S11" s="62">
        <f ca="1">AVERAGE(OFFSET($R$3,0,0,'Données projet'!$E$9+1,1))-AVERAGE(OFFSET($H$3,0,0,'Données projet'!$E$9+1,1))</f>
        <v>472.83070477639035</v>
      </c>
      <c r="T11" s="62">
        <f t="shared" si="34"/>
        <v>297.32483725004136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6.5093333333333332</v>
      </c>
      <c r="AI11" s="14">
        <f>IF('Données projet'!$A$62&gt;35,AI10+AH11-AQ10,IF(A11&lt;'Données projet'!$A$62,$AF$205^A11,IF(A11='Données projet'!$A$62,'Données projet'!$B$62,AI10+AH11-AQ10)))</f>
        <v>4.0817093007952225</v>
      </c>
      <c r="AJ11" s="14">
        <f>AI11*VLOOKUP('Données projet'!$B$10,Paramètres!$A$1:$I$89,3,0)*VLOOKUP('Données projet'!$B$10,Paramètres!$A$1:$I$89,5,0)</f>
        <v>1.9102399527721641</v>
      </c>
      <c r="AK11" s="14">
        <f t="shared" si="35"/>
        <v>0.81643451173793824</v>
      </c>
      <c r="AL11" s="22">
        <f t="shared" si="4"/>
        <v>4.7489580256884283</v>
      </c>
      <c r="AM11" s="62">
        <f t="shared" si="5"/>
        <v>191.50223089190899</v>
      </c>
      <c r="AN11" s="62">
        <f ca="1">AVERAGE(OFFSET($AM$3,0,0,'Données projet'!$E$10+1,1))-AVERAGE(OFFSET($H$3,0,0,'Données projet'!$E$10+1,1))</f>
        <v>348.76787471354476</v>
      </c>
      <c r="AO11" s="62">
        <f t="shared" si="36"/>
        <v>258.31503417978615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11.8</v>
      </c>
      <c r="BD11" s="13">
        <f>IF('Données projet'!$A$88&gt;35,BD10+BC11-BL10,IF(A11&lt;'Données projet'!$A$88,$BA$205^A11,IF(A11='Données projet'!$A$88,'Données projet'!$B$88,BD10+BC11-BL10)))</f>
        <v>8.8953860593159106</v>
      </c>
      <c r="BE11" s="14">
        <f>BD11*VLOOKUP('Données projet'!$B$11,Paramètres!$A$1:$I$89,3,0)*VLOOKUP('Données projet'!$B$11,Paramètres!$A$1:$I$89,5,0)</f>
        <v>4.3156855005377075</v>
      </c>
      <c r="BF11" s="14">
        <f t="shared" si="37"/>
        <v>1.6775754349526175</v>
      </c>
      <c r="BG11" s="22">
        <f t="shared" si="7"/>
        <v>10.43826279597898</v>
      </c>
      <c r="BH11" s="62">
        <f t="shared" si="8"/>
        <v>197.19153566219953</v>
      </c>
      <c r="BI11" s="62">
        <f ca="1">AVERAGE(OFFSET($BH$3,0,0,'Données projet'!$E$11+1,1))-AVERAGE(OFFSET($H$3,0,0,'Données projet'!$E$11+1,1))</f>
        <v>59.385225562404884</v>
      </c>
      <c r="BJ11" s="62">
        <f t="shared" si="38"/>
        <v>285.5244298970598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5.6411428706857674</v>
      </c>
      <c r="CA11" s="14">
        <f t="shared" si="39"/>
        <v>2.125494735292019</v>
      </c>
      <c r="CB11" s="22">
        <f t="shared" si="10"/>
        <v>13.526893830411311</v>
      </c>
      <c r="CC11" s="62">
        <f t="shared" si="11"/>
        <v>200.28016669663185</v>
      </c>
      <c r="CD11" s="62">
        <f ca="1">AVERAGE(OFFSET($CC$3,0,0,'Données projet'!$E$12+1,1))-AVERAGE(OFFSET($H$3,0,0,'Données projet'!$E$12+1,1))</f>
        <v>520.80494930257237</v>
      </c>
      <c r="CE11" s="62">
        <f t="shared" si="40"/>
        <v>325.72635759450861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204.26849655299031</v>
      </c>
      <c r="S12" s="62">
        <f ca="1">AVERAGE(OFFSET($R$3,0,0,'Données projet'!$E$9+1,1))-AVERAGE(OFFSET($H$3,0,0,'Données projet'!$E$9+1,1))</f>
        <v>472.83070477639035</v>
      </c>
      <c r="T12" s="62">
        <f t="shared" si="34"/>
        <v>297.32483725004136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6.5093333333333332</v>
      </c>
      <c r="AI12" s="14">
        <f>IF('Données projet'!$A$62&gt;35,AI11+AH12-AQ11,IF(A12&lt;'Données projet'!$A$62,$AF$205^A12,IF(A12='Données projet'!$A$62,'Données projet'!$B$62,AI11+AH12-AQ11)))</f>
        <v>4.8662826423445642</v>
      </c>
      <c r="AJ12" s="14">
        <f>AI12*VLOOKUP('Données projet'!$B$10,Paramètres!$A$1:$I$89,3,0)*VLOOKUP('Données projet'!$B$10,Paramètres!$A$1:$I$89,5,0)</f>
        <v>2.277420276617256</v>
      </c>
      <c r="AK12" s="14">
        <f t="shared" si="35"/>
        <v>0.95364966678564289</v>
      </c>
      <c r="AL12" s="22">
        <f t="shared" si="4"/>
        <v>5.6274468180933814</v>
      </c>
      <c r="AM12" s="62">
        <f t="shared" si="5"/>
        <v>194.98540557064945</v>
      </c>
      <c r="AN12" s="62">
        <f ca="1">AVERAGE(OFFSET($AM$3,0,0,'Données projet'!$E$10+1,1))-AVERAGE(OFFSET($H$3,0,0,'Données projet'!$E$10+1,1))</f>
        <v>348.76787471354476</v>
      </c>
      <c r="AO12" s="62">
        <f t="shared" si="36"/>
        <v>258.31503417978615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11.8</v>
      </c>
      <c r="BD12" s="13">
        <f>IF('Données projet'!$A$88&gt;35,BD11+BC12-BL11,IF(A12&lt;'Données projet'!$A$88,$BA$205^A12,IF(A12='Données projet'!$A$88,'Données projet'!$B$88,BD11+BC12-BL11)))</f>
        <v>11.689889375452976</v>
      </c>
      <c r="BE12" s="14">
        <f>BD12*VLOOKUP('Données projet'!$B$11,Paramètres!$A$1:$I$89,3,0)*VLOOKUP('Données projet'!$B$11,Paramètres!$A$1:$I$89,5,0)</f>
        <v>5.6714667293947656</v>
      </c>
      <c r="BF12" s="14">
        <f t="shared" si="37"/>
        <v>2.1355872057227043</v>
      </c>
      <c r="BG12" s="22">
        <f t="shared" si="7"/>
        <v>13.597285603662925</v>
      </c>
      <c r="BH12" s="62">
        <f t="shared" si="8"/>
        <v>202.955244356219</v>
      </c>
      <c r="BI12" s="62">
        <f ca="1">AVERAGE(OFFSET($BH$3,0,0,'Données projet'!$E$11+1,1))-AVERAGE(OFFSET($H$3,0,0,'Données projet'!$E$11+1,1))</f>
        <v>59.385225562404884</v>
      </c>
      <c r="BJ12" s="62">
        <f t="shared" si="38"/>
        <v>285.5244298970598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6.9909024493566383</v>
      </c>
      <c r="CA12" s="14">
        <f t="shared" si="39"/>
        <v>2.5691037174250742</v>
      </c>
      <c r="CB12" s="22">
        <f t="shared" si="10"/>
        <v>16.650344073811482</v>
      </c>
      <c r="CC12" s="62">
        <f t="shared" si="11"/>
        <v>206.00830282636755</v>
      </c>
      <c r="CD12" s="62">
        <f ca="1">AVERAGE(OFFSET($CC$3,0,0,'Données projet'!$E$12+1,1))-AVERAGE(OFFSET($H$3,0,0,'Données projet'!$E$12+1,1))</f>
        <v>520.80494930257237</v>
      </c>
      <c r="CE12" s="62">
        <f t="shared" si="40"/>
        <v>325.72635759450861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210.29320032238616</v>
      </c>
      <c r="S13" s="62">
        <f ca="1">AVERAGE(OFFSET($R$3,0,0,'Données projet'!$E$9+1,1))-AVERAGE(OFFSET($H$3,0,0,'Données projet'!$E$9+1,1))</f>
        <v>472.83070477639035</v>
      </c>
      <c r="T13" s="62">
        <f t="shared" si="34"/>
        <v>297.32483725004136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6.5093333333333332</v>
      </c>
      <c r="AI13" s="14">
        <f>IF('Données projet'!$A$62&gt;35,AI12+AH13-AQ12,IF(A13&lt;'Données projet'!$A$62,$AF$205^A13,IF(A13='Données projet'!$A$62,'Données projet'!$B$62,AI12+AH13-AQ12)))</f>
        <v>5.8016642073384252</v>
      </c>
      <c r="AJ13" s="14">
        <f>AI13*VLOOKUP('Données projet'!$B$10,Paramètres!$A$1:$I$89,3,0)*VLOOKUP('Données projet'!$B$10,Paramètres!$A$1:$I$89,5,0)</f>
        <v>2.7151788490343831</v>
      </c>
      <c r="AK13" s="14">
        <f t="shared" si="35"/>
        <v>1.1139260698625209</v>
      </c>
      <c r="AL13" s="22">
        <f t="shared" si="4"/>
        <v>6.6690244004121082</v>
      </c>
      <c r="AM13" s="62">
        <f t="shared" si="5"/>
        <v>198.60768638545699</v>
      </c>
      <c r="AN13" s="62">
        <f ca="1">AVERAGE(OFFSET($AM$3,0,0,'Données projet'!$E$10+1,1))-AVERAGE(OFFSET($H$3,0,0,'Données projet'!$E$10+1,1))</f>
        <v>348.76787471354476</v>
      </c>
      <c r="AO13" s="62">
        <f t="shared" si="36"/>
        <v>258.31503417978615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11.8</v>
      </c>
      <c r="BD13" s="13">
        <f>IF('Données projet'!$A$88&gt;35,BD12+BC13-BL12,IF(A13&lt;'Données projet'!$A$88,$BA$205^A13,IF(A13='Données projet'!$A$88,'Données projet'!$B$88,BD12+BC13-BL12)))</f>
        <v>15.362291495737235</v>
      </c>
      <c r="BE13" s="14">
        <f>BD13*VLOOKUP('Données projet'!$B$11,Paramètres!$A$1:$I$89,3,0)*VLOOKUP('Données projet'!$B$11,Paramètres!$A$1:$I$89,5,0)</f>
        <v>7.4531693420718774</v>
      </c>
      <c r="BF13" s="14">
        <f t="shared" si="37"/>
        <v>2.7186453844177354</v>
      </c>
      <c r="BG13" s="22">
        <f t="shared" si="7"/>
        <v>17.715910648636076</v>
      </c>
      <c r="BH13" s="62">
        <f t="shared" si="8"/>
        <v>209.65457263368097</v>
      </c>
      <c r="BI13" s="62">
        <f ca="1">AVERAGE(OFFSET($BH$3,0,0,'Données projet'!$E$11+1,1))-AVERAGE(OFFSET($H$3,0,0,'Données projet'!$E$11+1,1))</f>
        <v>59.385225562404884</v>
      </c>
      <c r="BJ13" s="62">
        <f t="shared" si="38"/>
        <v>285.5244298970598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8.6636197977519771</v>
      </c>
      <c r="CA13" s="14">
        <f t="shared" si="39"/>
        <v>3.1052976990698267</v>
      </c>
      <c r="CB13" s="22">
        <f t="shared" si="10"/>
        <v>20.497531306964643</v>
      </c>
      <c r="CC13" s="62">
        <f t="shared" si="11"/>
        <v>212.43619329200953</v>
      </c>
      <c r="CD13" s="62">
        <f ca="1">AVERAGE(OFFSET($CC$3,0,0,'Données projet'!$E$12+1,1))-AVERAGE(OFFSET($H$3,0,0,'Données projet'!$E$12+1,1))</f>
        <v>520.80494930257237</v>
      </c>
      <c r="CE13" s="62">
        <f t="shared" si="40"/>
        <v>325.72635759450861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217.09257815700823</v>
      </c>
      <c r="S14" s="62">
        <f ca="1">AVERAGE(OFFSET($R$3,0,0,'Données projet'!$E$9+1,1))-AVERAGE(OFFSET($H$3,0,0,'Données projet'!$E$9+1,1))</f>
        <v>472.83070477639035</v>
      </c>
      <c r="T14" s="62">
        <f t="shared" si="34"/>
        <v>297.32483725004136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6.5093333333333332</v>
      </c>
      <c r="AI14" s="14">
        <f>IF('Données projet'!$A$62&gt;35,AI13+AH14-AQ13,IF(A14&lt;'Données projet'!$A$62,$AF$205^A14,IF(A14='Données projet'!$A$62,'Données projet'!$B$62,AI13+AH14-AQ13)))</f>
        <v>6.9168418788134387</v>
      </c>
      <c r="AJ14" s="14">
        <f>AI14*VLOOKUP('Données projet'!$B$10,Paramètres!$A$1:$I$89,3,0)*VLOOKUP('Données projet'!$B$10,Paramètres!$A$1:$I$89,5,0)</f>
        <v>3.2370819992846895</v>
      </c>
      <c r="AK14" s="14">
        <f t="shared" si="35"/>
        <v>1.3011395403740753</v>
      </c>
      <c r="AL14" s="22">
        <f t="shared" si="4"/>
        <v>7.9040691815723489</v>
      </c>
      <c r="AM14" s="62">
        <f t="shared" si="5"/>
        <v>202.39986779068647</v>
      </c>
      <c r="AN14" s="62">
        <f ca="1">AVERAGE(OFFSET($AM$3,0,0,'Données projet'!$E$10+1,1))-AVERAGE(OFFSET($H$3,0,0,'Données projet'!$E$10+1,1))</f>
        <v>348.76787471354476</v>
      </c>
      <c r="AO14" s="62">
        <f t="shared" si="36"/>
        <v>258.31503417978615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11.8</v>
      </c>
      <c r="BD14" s="13">
        <f>IF('Données projet'!$A$88&gt;35,BD13+BC14-BL13,IF(A14&lt;'Données projet'!$A$88,$BA$205^A14,IF(A14='Données projet'!$A$88,'Données projet'!$B$88,BD13+BC14-BL13)))</f>
        <v>20.188386084778987</v>
      </c>
      <c r="BE14" s="14">
        <f>BD14*VLOOKUP('Données projet'!$B$11,Paramètres!$A$1:$I$89,3,0)*VLOOKUP('Données projet'!$B$11,Paramètres!$A$1:$I$89,5,0)</f>
        <v>9.7945973928913741</v>
      </c>
      <c r="BF14" s="14">
        <f t="shared" si="37"/>
        <v>3.4608901506855858</v>
      </c>
      <c r="BG14" s="22">
        <f t="shared" si="7"/>
        <v>23.086640805063201</v>
      </c>
      <c r="BH14" s="62">
        <f t="shared" si="8"/>
        <v>217.58243941417734</v>
      </c>
      <c r="BI14" s="62">
        <f ca="1">AVERAGE(OFFSET($BH$3,0,0,'Données projet'!$E$11+1,1))-AVERAGE(OFFSET($H$3,0,0,'Données projet'!$E$11+1,1))</f>
        <v>59.385225562404884</v>
      </c>
      <c r="BJ14" s="62">
        <f t="shared" si="38"/>
        <v>285.5244298970598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10.736569211734251</v>
      </c>
      <c r="CA14" s="14">
        <f t="shared" si="39"/>
        <v>3.7533999637480915</v>
      </c>
      <c r="CB14" s="22">
        <f t="shared" si="10"/>
        <v>25.23669631396508</v>
      </c>
      <c r="CC14" s="62">
        <f t="shared" si="11"/>
        <v>219.7324949230792</v>
      </c>
      <c r="CD14" s="62">
        <f ca="1">AVERAGE(OFFSET($CC$3,0,0,'Données projet'!$E$12+1,1))-AVERAGE(OFFSET($H$3,0,0,'Données projet'!$E$12+1,1))</f>
        <v>520.80494930257237</v>
      </c>
      <c r="CE14" s="62">
        <f t="shared" si="40"/>
        <v>325.72635759450861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224.85264818290764</v>
      </c>
      <c r="S15" s="62">
        <f ca="1">AVERAGE(OFFSET($R$3,0,0,'Données projet'!$E$9+1,1))-AVERAGE(OFFSET($H$3,0,0,'Données projet'!$E$9+1,1))</f>
        <v>472.83070477639035</v>
      </c>
      <c r="T15" s="62">
        <f t="shared" si="34"/>
        <v>297.32483725004136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6.5093333333333332</v>
      </c>
      <c r="AI15" s="14">
        <f>IF('Données projet'!$A$62&gt;35,AI14+AH15-AQ14,IF(A15&lt;'Données projet'!$A$62,$AF$205^A15,IF(A15='Données projet'!$A$62,'Données projet'!$B$62,AI14+AH15-AQ14)))</f>
        <v>8.2463754996354339</v>
      </c>
      <c r="AJ15" s="14">
        <f>AI15*VLOOKUP('Données projet'!$B$10,Paramètres!$A$1:$I$89,3,0)*VLOOKUP('Données projet'!$B$10,Paramètres!$A$1:$I$89,5,0)</f>
        <v>3.8593037338293832</v>
      </c>
      <c r="AK15" s="14">
        <f t="shared" si="35"/>
        <v>1.5198172924831568</v>
      </c>
      <c r="AL15" s="22">
        <f t="shared" si="4"/>
        <v>9.3686357874943393</v>
      </c>
      <c r="AM15" s="62">
        <f t="shared" si="5"/>
        <v>206.3984132402272</v>
      </c>
      <c r="AN15" s="62">
        <f ca="1">AVERAGE(OFFSET($AM$3,0,0,'Données projet'!$E$10+1,1))-AVERAGE(OFFSET($H$3,0,0,'Données projet'!$E$10+1,1))</f>
        <v>348.76787471354476</v>
      </c>
      <c r="AO15" s="62">
        <f t="shared" si="36"/>
        <v>258.31503417978615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11.8</v>
      </c>
      <c r="BD15" s="13">
        <f>IF('Données projet'!$A$88&gt;35,BD14+BC15-BL14,IF(A15&lt;'Données projet'!$A$88,$BA$205^A15,IF(A15='Données projet'!$A$88,'Données projet'!$B$88,BD14+BC15-BL14)))</f>
        <v>26.530607938352919</v>
      </c>
      <c r="BE15" s="14">
        <f>BD15*VLOOKUP('Données projet'!$B$11,Paramètres!$A$1:$I$89,3,0)*VLOOKUP('Données projet'!$B$11,Paramètres!$A$1:$I$89,5,0)</f>
        <v>12.871589747371301</v>
      </c>
      <c r="BF15" s="14">
        <f t="shared" si="37"/>
        <v>4.4057826385760199</v>
      </c>
      <c r="BG15" s="22">
        <f t="shared" si="7"/>
        <v>30.091423572191577</v>
      </c>
      <c r="BH15" s="62">
        <f t="shared" si="8"/>
        <v>227.12120102492446</v>
      </c>
      <c r="BI15" s="62">
        <f ca="1">AVERAGE(OFFSET($BH$3,0,0,'Données projet'!$E$11+1,1))-AVERAGE(OFFSET($H$3,0,0,'Données projet'!$E$11+1,1))</f>
        <v>59.385225562404884</v>
      </c>
      <c r="BJ15" s="62">
        <f t="shared" si="38"/>
        <v>285.5244298970598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13.305514453470233</v>
      </c>
      <c r="CA15" s="14">
        <f t="shared" si="39"/>
        <v>4.5367667299931158</v>
      </c>
      <c r="CB15" s="22">
        <f t="shared" si="10"/>
        <v>31.075306394532003</v>
      </c>
      <c r="CC15" s="62">
        <f t="shared" si="11"/>
        <v>228.10508384726486</v>
      </c>
      <c r="CD15" s="62">
        <f ca="1">AVERAGE(OFFSET($CC$3,0,0,'Données projet'!$E$12+1,1))-AVERAGE(OFFSET($H$3,0,0,'Données projet'!$E$12+1,1))</f>
        <v>520.80494930257237</v>
      </c>
      <c r="CE15" s="62">
        <f t="shared" si="40"/>
        <v>325.72635759450861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233.80270813005566</v>
      </c>
      <c r="S16" s="62">
        <f ca="1">AVERAGE(OFFSET($R$3,0,0,'Données projet'!$E$9+1,1))-AVERAGE(OFFSET($H$3,0,0,'Données projet'!$E$9+1,1))</f>
        <v>472.83070477639035</v>
      </c>
      <c r="T16" s="62">
        <f t="shared" si="34"/>
        <v>297.32483725004136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6.5093333333333332</v>
      </c>
      <c r="AI16" s="14">
        <f>IF('Données projet'!$A$62&gt;35,AI15+AH16-AQ15,IF(A16&lt;'Données projet'!$A$62,$AF$205^A16,IF(A16='Données projet'!$A$62,'Données projet'!$B$62,AI15+AH16-AQ15)))</f>
        <v>9.831467897116827</v>
      </c>
      <c r="AJ16" s="14">
        <f>AI16*VLOOKUP('Données projet'!$B$10,Paramètres!$A$1:$I$89,3,0)*VLOOKUP('Données projet'!$B$10,Paramètres!$A$1:$I$89,5,0)</f>
        <v>4.6011269758506748</v>
      </c>
      <c r="AK16" s="14">
        <f t="shared" si="35"/>
        <v>1.7752474126385842</v>
      </c>
      <c r="AL16" s="22">
        <f t="shared" si="4"/>
        <v>11.105518726618792</v>
      </c>
      <c r="AM16" s="62">
        <f t="shared" si="5"/>
        <v>210.64651897823759</v>
      </c>
      <c r="AN16" s="62">
        <f ca="1">AVERAGE(OFFSET($AM$3,0,0,'Données projet'!$E$10+1,1))-AVERAGE(OFFSET($H$3,0,0,'Données projet'!$E$10+1,1))</f>
        <v>348.76787471354476</v>
      </c>
      <c r="AO16" s="62">
        <f t="shared" si="36"/>
        <v>258.31503417978615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11.8</v>
      </c>
      <c r="BD16" s="13">
        <f>IF('Données projet'!$A$88&gt;35,BD15+BC16-BL15,IF(A16&lt;'Données projet'!$A$88,$BA$205^A16,IF(A16='Données projet'!$A$88,'Données projet'!$B$88,BD15+BC16-BL15)))</f>
        <v>34.86525146798531</v>
      </c>
      <c r="BE16" s="14">
        <f>BD16*VLOOKUP('Données projet'!$B$11,Paramètres!$A$1:$I$89,3,0)*VLOOKUP('Données projet'!$B$11,Paramètres!$A$1:$I$89,5,0)</f>
        <v>16.915225402207753</v>
      </c>
      <c r="BF16" s="14">
        <f t="shared" si="37"/>
        <v>5.6086497442089218</v>
      </c>
      <c r="BG16" s="22">
        <f t="shared" si="7"/>
        <v>39.229082546675706</v>
      </c>
      <c r="BH16" s="62">
        <f t="shared" si="8"/>
        <v>238.77008279829451</v>
      </c>
      <c r="BI16" s="62">
        <f ca="1">AVERAGE(OFFSET($BH$3,0,0,'Données projet'!$E$11+1,1))-AVERAGE(OFFSET($H$3,0,0,'Données projet'!$E$11+1,1))</f>
        <v>59.385225562404884</v>
      </c>
      <c r="BJ16" s="62">
        <f t="shared" si="38"/>
        <v>285.5244298970598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16.489132736928447</v>
      </c>
      <c r="CA16" s="14">
        <f t="shared" si="39"/>
        <v>5.4836288594779292</v>
      </c>
      <c r="CB16" s="22">
        <f t="shared" si="10"/>
        <v>38.269226447074438</v>
      </c>
      <c r="CC16" s="62">
        <f t="shared" si="11"/>
        <v>237.81022669869324</v>
      </c>
      <c r="CD16" s="62">
        <f ca="1">AVERAGE(OFFSET($CC$3,0,0,'Données projet'!$E$12+1,1))-AVERAGE(OFFSET($H$3,0,0,'Données projet'!$E$12+1,1))</f>
        <v>520.80494930257237</v>
      </c>
      <c r="CE16" s="62">
        <f t="shared" si="40"/>
        <v>325.72635759450861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244.22545806894149</v>
      </c>
      <c r="S17" s="62">
        <f ca="1">AVERAGE(OFFSET($R$3,0,0,'Données projet'!$E$9+1,1))-AVERAGE(OFFSET($H$3,0,0,'Données projet'!$E$9+1,1))</f>
        <v>472.83070477639035</v>
      </c>
      <c r="T17" s="62">
        <f t="shared" si="34"/>
        <v>297.32483725004136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6.5093333333333332</v>
      </c>
      <c r="AI17" s="14">
        <f>IF('Données projet'!$A$62&gt;35,AI16+AH17-AQ16,IF(A17&lt;'Données projet'!$A$62,$AF$205^A17,IF(A17='Données projet'!$A$62,'Données projet'!$B$62,AI16+AH17-AQ16)))</f>
        <v>11.721241776621973</v>
      </c>
      <c r="AJ17" s="14">
        <f>AI17*VLOOKUP('Données projet'!$B$10,Paramètres!$A$1:$I$89,3,0)*VLOOKUP('Données projet'!$B$10,Paramètres!$A$1:$I$89,5,0)</f>
        <v>5.4855411514590839</v>
      </c>
      <c r="AK17" s="14">
        <f t="shared" si="35"/>
        <v>2.0736067365906181</v>
      </c>
      <c r="AL17" s="22">
        <f t="shared" si="4"/>
        <v>13.1655159050199</v>
      </c>
      <c r="AM17" s="62">
        <f t="shared" si="5"/>
        <v>215.1953776772931</v>
      </c>
      <c r="AN17" s="62">
        <f ca="1">AVERAGE(OFFSET($AM$3,0,0,'Données projet'!$E$10+1,1))-AVERAGE(OFFSET($H$3,0,0,'Données projet'!$E$10+1,1))</f>
        <v>348.76787471354476</v>
      </c>
      <c r="AO17" s="62">
        <f t="shared" si="36"/>
        <v>258.31503417978615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11.8</v>
      </c>
      <c r="BD17" s="13">
        <f>IF('Données projet'!$A$88&gt;35,BD16+BC17-BL16,IF(A17&lt;'Données projet'!$A$88,$BA$205^A17,IF(A17='Données projet'!$A$88,'Données projet'!$B$88,BD16+BC17-BL16)))</f>
        <v>45.818239926895487</v>
      </c>
      <c r="BE17" s="14">
        <f>BD17*VLOOKUP('Données projet'!$B$11,Paramètres!$A$1:$I$89,3,0)*VLOOKUP('Données projet'!$B$11,Paramètres!$A$1:$I$89,5,0)</f>
        <v>22.229177282932614</v>
      </c>
      <c r="BF17" s="14">
        <f t="shared" si="37"/>
        <v>7.1399237170224756</v>
      </c>
      <c r="BG17" s="22">
        <f t="shared" si="7"/>
        <v>51.151184241588446</v>
      </c>
      <c r="BH17" s="62">
        <f t="shared" si="8"/>
        <v>253.18104601386165</v>
      </c>
      <c r="BI17" s="62">
        <f ca="1">AVERAGE(OFFSET($BH$3,0,0,'Données projet'!$E$11+1,1))-AVERAGE(OFFSET($H$3,0,0,'Données projet'!$E$11+1,1))</f>
        <v>59.385225562404884</v>
      </c>
      <c r="BJ17" s="62">
        <f t="shared" si="38"/>
        <v>285.5244298970598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20.434497242993334</v>
      </c>
      <c r="CA17" s="14">
        <f t="shared" si="39"/>
        <v>6.6281092368495731</v>
      </c>
      <c r="CB17" s="22">
        <f t="shared" si="10"/>
        <v>47.134039619059727</v>
      </c>
      <c r="CC17" s="62">
        <f t="shared" si="11"/>
        <v>249.16390139133293</v>
      </c>
      <c r="CD17" s="62">
        <f ca="1">AVERAGE(OFFSET($CC$3,0,0,'Données projet'!$E$12+1,1))-AVERAGE(OFFSET($H$3,0,0,'Données projet'!$E$12+1,1))</f>
        <v>520.80494930257237</v>
      </c>
      <c r="CE17" s="62">
        <f t="shared" si="40"/>
        <v>325.72635759450861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256.46949622159559</v>
      </c>
      <c r="S18" s="62">
        <f ca="1">AVERAGE(OFFSET($R$3,0,0,'Données projet'!$E$9+1,1))-AVERAGE(OFFSET($H$3,0,0,'Données projet'!$E$9+1,1))</f>
        <v>472.83070477639035</v>
      </c>
      <c r="T18" s="62">
        <f t="shared" si="34"/>
        <v>297.32483725004136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6.5093333333333332</v>
      </c>
      <c r="AI18" s="14">
        <f>IF('Données projet'!$A$62&gt;35,AI17+AH18-AQ17,IF(A18&lt;'Données projet'!$A$62,$AF$205^A18,IF(A18='Données projet'!$A$62,'Données projet'!$B$62,AI17+AH18-AQ17)))</f>
        <v>13.974262055650758</v>
      </c>
      <c r="AJ18" s="14">
        <f>AI18*VLOOKUP('Données projet'!$B$10,Paramètres!$A$1:$I$89,3,0)*VLOOKUP('Données projet'!$B$10,Paramètres!$A$1:$I$89,5,0)</f>
        <v>6.5399546420445542</v>
      </c>
      <c r="AK18" s="14">
        <f t="shared" si="35"/>
        <v>2.4221102182275818</v>
      </c>
      <c r="AL18" s="22">
        <f t="shared" si="4"/>
        <v>15.608929631640637</v>
      </c>
      <c r="AM18" s="62">
        <f t="shared" si="5"/>
        <v>220.10567956452169</v>
      </c>
      <c r="AN18" s="62">
        <f ca="1">AVERAGE(OFFSET($AM$3,0,0,'Données projet'!$E$10+1,1))-AVERAGE(OFFSET($H$3,0,0,'Données projet'!$E$10+1,1))</f>
        <v>348.76787471354476</v>
      </c>
      <c r="AO18" s="62">
        <f t="shared" si="36"/>
        <v>258.31503417978615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11.8</v>
      </c>
      <c r="BD18" s="13">
        <f>IF('Données projet'!$A$88&gt;35,BD17+BC18-BL17,IF(A18&lt;'Données projet'!$A$88,$BA$205^A18,IF(A18='Données projet'!$A$88,'Données projet'!$B$88,BD17+BC18-BL17)))</f>
        <v>60.212131609784393</v>
      </c>
      <c r="BE18" s="14">
        <f>BD18*VLOOKUP('Données projet'!$B$11,Paramètres!$A$1:$I$89,3,0)*VLOOKUP('Données projet'!$B$11,Paramètres!$A$1:$I$89,5,0)</f>
        <v>29.212517771802997</v>
      </c>
      <c r="BF18" s="14">
        <f t="shared" si="37"/>
        <v>9.0892662244663622</v>
      </c>
      <c r="BG18" s="22">
        <f t="shared" si="7"/>
        <v>66.708940460169117</v>
      </c>
      <c r="BH18" s="62">
        <f t="shared" si="8"/>
        <v>271.20569039305019</v>
      </c>
      <c r="BI18" s="62">
        <f ca="1">AVERAGE(OFFSET($BH$3,0,0,'Données projet'!$E$11+1,1))-AVERAGE(OFFSET($H$3,0,0,'Données projet'!$E$11+1,1))</f>
        <v>59.385225562404884</v>
      </c>
      <c r="BJ18" s="62">
        <f t="shared" si="38"/>
        <v>285.5244298970598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25.323871439201337</v>
      </c>
      <c r="CA18" s="14">
        <f t="shared" si="39"/>
        <v>8.0114524854610902</v>
      </c>
      <c r="CB18" s="22">
        <f t="shared" si="10"/>
        <v>58.059022502120392</v>
      </c>
      <c r="CC18" s="62">
        <f t="shared" si="11"/>
        <v>262.55577243500142</v>
      </c>
      <c r="CD18" s="62">
        <f ca="1">AVERAGE(OFFSET($CC$3,0,0,'Données projet'!$E$12+1,1))-AVERAGE(OFFSET($H$3,0,0,'Données projet'!$E$12+1,1))</f>
        <v>520.80494930257237</v>
      </c>
      <c r="CE18" s="62">
        <f t="shared" si="40"/>
        <v>325.72635759450861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270.96474543463864</v>
      </c>
      <c r="S19" s="62">
        <f ca="1">AVERAGE(OFFSET($R$3,0,0,'Données projet'!$E$9+1,1))-AVERAGE(OFFSET($H$3,0,0,'Données projet'!$E$9+1,1))</f>
        <v>472.83070477639035</v>
      </c>
      <c r="T19" s="62">
        <f t="shared" si="34"/>
        <v>297.32483725004136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6.5093333333333332</v>
      </c>
      <c r="AI19" s="14">
        <f>IF('Données projet'!$A$62&gt;35,AI18+AH19-AQ18,IF(A19&lt;'Données projet'!$A$62,$AF$205^A19,IF(A19='Données projet'!$A$62,'Données projet'!$B$62,AI18+AH19-AQ18)))</f>
        <v>16.660350816198225</v>
      </c>
      <c r="AJ19" s="14">
        <f>AI19*VLOOKUP('Données projet'!$B$10,Paramètres!$A$1:$I$89,3,0)*VLOOKUP('Données projet'!$B$10,Paramètres!$A$1:$I$89,5,0)</f>
        <v>7.7970441819807697</v>
      </c>
      <c r="AK19" s="14">
        <f t="shared" si="35"/>
        <v>2.8291854022852188</v>
      </c>
      <c r="AL19" s="22">
        <f t="shared" si="4"/>
        <v>18.507349859263261</v>
      </c>
      <c r="AM19" s="62">
        <f t="shared" si="5"/>
        <v>225.44939578137732</v>
      </c>
      <c r="AN19" s="62">
        <f ca="1">AVERAGE(OFFSET($AM$3,0,0,'Données projet'!$E$10+1,1))-AVERAGE(OFFSET($H$3,0,0,'Données projet'!$E$10+1,1))</f>
        <v>348.76787471354476</v>
      </c>
      <c r="AO19" s="62">
        <f t="shared" si="36"/>
        <v>258.31503417978615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11.8</v>
      </c>
      <c r="BD19" s="13">
        <f>IF('Données projet'!$A$88&gt;35,BD18+BC19-BL18,IF(A19&lt;'Données projet'!$A$88,$BA$205^A19,IF(A19='Données projet'!$A$88,'Données projet'!$B$88,BD18+BC19-BL18)))</f>
        <v>79.127893144271852</v>
      </c>
      <c r="BE19" s="14">
        <f>BD19*VLOOKUP('Données projet'!$B$11,Paramètres!$A$1:$I$89,3,0)*VLOOKUP('Données projet'!$B$11,Paramètres!$A$1:$I$89,5,0)</f>
        <v>38.389688637874933</v>
      </c>
      <c r="BF19" s="14">
        <f t="shared" si="37"/>
        <v>11.570818369146025</v>
      </c>
      <c r="BG19" s="22">
        <f t="shared" si="7"/>
        <v>87.014549703894829</v>
      </c>
      <c r="BH19" s="62">
        <f t="shared" si="8"/>
        <v>293.95659562600889</v>
      </c>
      <c r="BI19" s="62">
        <f ca="1">AVERAGE(OFFSET($BH$3,0,0,'Données projet'!$E$11+1,1))-AVERAGE(OFFSET($H$3,0,0,'Données projet'!$E$11+1,1))</f>
        <v>59.385225562404884</v>
      </c>
      <c r="BJ19" s="62">
        <f t="shared" si="38"/>
        <v>285.5244298970598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31.383129080363769</v>
      </c>
      <c r="CA19" s="14">
        <f t="shared" si="39"/>
        <v>9.6835113353243223</v>
      </c>
      <c r="CB19" s="22">
        <f t="shared" si="10"/>
        <v>71.524398723990075</v>
      </c>
      <c r="CC19" s="62">
        <f t="shared" si="11"/>
        <v>278.46644464610415</v>
      </c>
      <c r="CD19" s="62">
        <f ca="1">AVERAGE(OFFSET($CC$3,0,0,'Données projet'!$E$12+1,1))-AVERAGE(OFFSET($H$3,0,0,'Données projet'!$E$12+1,1))</f>
        <v>520.80494930257237</v>
      </c>
      <c r="CE19" s="62">
        <f t="shared" si="40"/>
        <v>325.72635759450861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288.24149918328646</v>
      </c>
      <c r="S20" s="62">
        <f ca="1">AVERAGE(OFFSET($R$3,0,0,'Données projet'!$E$9+1,1))-AVERAGE(OFFSET($H$3,0,0,'Données projet'!$E$9+1,1))</f>
        <v>472.83070477639035</v>
      </c>
      <c r="T20" s="62">
        <f t="shared" si="34"/>
        <v>297.32483725004136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6.5093333333333332</v>
      </c>
      <c r="AI20" s="14">
        <f>IF('Données projet'!$A$62&gt;35,AI19+AH20-AQ19,IF(A20&lt;'Données projet'!$A$62,$AF$205^A20,IF(A20='Données projet'!$A$62,'Données projet'!$B$62,AI19+AH20-AQ19)))</f>
        <v>19.862751121556158</v>
      </c>
      <c r="AJ20" s="14">
        <f>AI20*VLOOKUP('Données projet'!$B$10,Paramètres!$A$1:$I$89,3,0)*VLOOKUP('Données projet'!$B$10,Paramètres!$A$1:$I$89,5,0)</f>
        <v>9.2957675248882818</v>
      </c>
      <c r="AK20" s="14">
        <f t="shared" si="35"/>
        <v>3.3046762200446183</v>
      </c>
      <c r="AL20" s="22">
        <f t="shared" si="4"/>
        <v>21.945772855758133</v>
      </c>
      <c r="AM20" s="62">
        <f t="shared" si="5"/>
        <v>231.31189717163085</v>
      </c>
      <c r="AN20" s="62">
        <f ca="1">AVERAGE(OFFSET($AM$3,0,0,'Données projet'!$E$10+1,1))-AVERAGE(OFFSET($H$3,0,0,'Données projet'!$E$10+1,1))</f>
        <v>348.76787471354476</v>
      </c>
      <c r="AO20" s="62">
        <f t="shared" si="36"/>
        <v>258.31503417978615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11.8</v>
      </c>
      <c r="BD20" s="13">
        <f>IF('Données projet'!$A$88&gt;35,BD19+BC20-BL19,IF(A20&lt;'Données projet'!$A$88,$BA$205^A20,IF(A20='Données projet'!$A$88,'Données projet'!$B$88,BD19+BC20-BL19)))</f>
        <v>103.98607898534958</v>
      </c>
      <c r="BE20" s="14">
        <f>BD20*VLOOKUP('Données projet'!$B$11,Paramètres!$A$1:$I$89,3,0)*VLOOKUP('Données projet'!$B$11,Paramètres!$A$1:$I$89,5,0)</f>
        <v>50.44988608053221</v>
      </c>
      <c r="BF20" s="14">
        <f t="shared" si="37"/>
        <v>14.729884066040489</v>
      </c>
      <c r="BG20" s="22">
        <f t="shared" si="7"/>
        <v>113.52143300528077</v>
      </c>
      <c r="BH20" s="62">
        <f t="shared" si="8"/>
        <v>322.88755732115351</v>
      </c>
      <c r="BI20" s="62">
        <f ca="1">AVERAGE(OFFSET($BH$3,0,0,'Données projet'!$E$11+1,1))-AVERAGE(OFFSET($H$3,0,0,'Données projet'!$E$11+1,1))</f>
        <v>59.385225562404884</v>
      </c>
      <c r="BJ20" s="62">
        <f t="shared" si="38"/>
        <v>285.5244298970598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38.892188867700071</v>
      </c>
      <c r="CA20" s="14">
        <f t="shared" si="39"/>
        <v>11.704543208803392</v>
      </c>
      <c r="CB20" s="22">
        <f t="shared" si="10"/>
        <v>88.122641699910204</v>
      </c>
      <c r="CC20" s="62">
        <f t="shared" si="11"/>
        <v>297.48876601578291</v>
      </c>
      <c r="CD20" s="62">
        <f ca="1">AVERAGE(OFFSET($CC$3,0,0,'Données projet'!$E$12+1,1))-AVERAGE(OFFSET($H$3,0,0,'Données projet'!$E$12+1,1))</f>
        <v>520.80494930257237</v>
      </c>
      <c r="CE20" s="62">
        <f t="shared" si="40"/>
        <v>325.72635759450861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308.95393822316214</v>
      </c>
      <c r="S21" s="62">
        <f ca="1">AVERAGE(OFFSET($R$3,0,0,'Données projet'!$E$9+1,1))-AVERAGE(OFFSET($H$3,0,0,'Données projet'!$E$9+1,1))</f>
        <v>472.83070477639035</v>
      </c>
      <c r="T21" s="62">
        <f t="shared" si="34"/>
        <v>297.32483725004136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6.5093333333333332</v>
      </c>
      <c r="AI21" s="14">
        <f>IF('Données projet'!$A$62&gt;35,AI20+AH21-AQ20,IF(A21&lt;'Données projet'!$A$62,$AF$205^A21,IF(A21='Données projet'!$A$62,'Données projet'!$B$62,AI20+AH21-AQ20)))</f>
        <v>23.680706755183994</v>
      </c>
      <c r="AJ21" s="14">
        <f>AI21*VLOOKUP('Données projet'!$B$10,Paramètres!$A$1:$I$89,3,0)*VLOOKUP('Données projet'!$B$10,Paramètres!$A$1:$I$89,5,0)</f>
        <v>11.08257076142611</v>
      </c>
      <c r="AK21" s="14">
        <f t="shared" si="35"/>
        <v>3.8600810362259259</v>
      </c>
      <c r="AL21" s="22">
        <f t="shared" si="4"/>
        <v>26.025118547577296</v>
      </c>
      <c r="AM21" s="62">
        <f t="shared" si="5"/>
        <v>237.79447173958042</v>
      </c>
      <c r="AN21" s="62">
        <f ca="1">AVERAGE(OFFSET($AM$3,0,0,'Données projet'!$E$10+1,1))-AVERAGE(OFFSET($H$3,0,0,'Données projet'!$E$10+1,1))</f>
        <v>348.76787471354476</v>
      </c>
      <c r="AO21" s="62">
        <f t="shared" si="36"/>
        <v>258.31503417978615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11.8</v>
      </c>
      <c r="BD21" s="13">
        <f>IF('Données projet'!$A$88&gt;35,BD20+BC21-BL20,IF(A21&lt;'Données projet'!$A$88,$BA$205^A21,IF(A21='Données projet'!$A$88,'Données projet'!$B$88,BD20+BC21-BL20)))</f>
        <v>136.65351361032839</v>
      </c>
      <c r="BE21" s="14">
        <f>BD21*VLOOKUP('Données projet'!$B$11,Paramètres!$A$1:$I$89,3,0)*VLOOKUP('Données projet'!$B$11,Paramètres!$A$1:$I$89,5,0)</f>
        <v>66.298818663186921</v>
      </c>
      <c r="BF21" s="14">
        <f t="shared" si="37"/>
        <v>18.751438115868254</v>
      </c>
      <c r="BG21" s="22">
        <f t="shared" si="7"/>
        <v>148.12919722352106</v>
      </c>
      <c r="BH21" s="62">
        <f t="shared" si="8"/>
        <v>359.89855041552414</v>
      </c>
      <c r="BI21" s="62">
        <f ca="1">AVERAGE(OFFSET($BH$3,0,0,'Données projet'!$E$11+1,1))-AVERAGE(OFFSET($H$3,0,0,'Données projet'!$E$11+1,1))</f>
        <v>59.385225562404884</v>
      </c>
      <c r="BJ21" s="62">
        <f t="shared" si="38"/>
        <v>285.5244298970598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48.197945815010499</v>
      </c>
      <c r="CA21" s="14">
        <f t="shared" si="39"/>
        <v>14.147381769152156</v>
      </c>
      <c r="CB21" s="22">
        <f t="shared" si="10"/>
        <v>108.58477887574996</v>
      </c>
      <c r="CC21" s="62">
        <f t="shared" si="11"/>
        <v>320.35413206775308</v>
      </c>
      <c r="CD21" s="62">
        <f ca="1">AVERAGE(OFFSET($CC$3,0,0,'Données projet'!$E$12+1,1))-AVERAGE(OFFSET($H$3,0,0,'Données projet'!$E$12+1,1))</f>
        <v>520.80494930257237</v>
      </c>
      <c r="CE21" s="62">
        <f t="shared" si="40"/>
        <v>325.72635759450861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333.90916953776684</v>
      </c>
      <c r="S22" s="62">
        <f ca="1">AVERAGE(OFFSET($R$3,0,0,'Données projet'!$E$9+1,1))-AVERAGE(OFFSET($H$3,0,0,'Données projet'!$E$9+1,1))</f>
        <v>472.83070477639035</v>
      </c>
      <c r="T22" s="62">
        <f t="shared" si="34"/>
        <v>297.32483725004136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6.5093333333333332</v>
      </c>
      <c r="AI22" s="14">
        <f>IF('Données projet'!$A$62&gt;35,AI21+AH22-AQ21,IF(A22&lt;'Données projet'!$A$62,$AF$205^A22,IF(A22='Données projet'!$A$62,'Données projet'!$B$62,AI21+AH22-AQ21)))</f>
        <v>28.232537828882712</v>
      </c>
      <c r="AJ22" s="14">
        <f>AI22*VLOOKUP('Données projet'!$B$10,Paramètres!$A$1:$I$89,3,0)*VLOOKUP('Données projet'!$B$10,Paramètres!$A$1:$I$89,5,0)</f>
        <v>13.21282770391711</v>
      </c>
      <c r="AK22" s="14">
        <f t="shared" si="35"/>
        <v>4.5088307035506903</v>
      </c>
      <c r="AL22" s="22">
        <f t="shared" si="4"/>
        <v>30.865221726339751</v>
      </c>
      <c r="AM22" s="62">
        <f t="shared" si="5"/>
        <v>245.01731596936327</v>
      </c>
      <c r="AN22" s="62">
        <f ca="1">AVERAGE(OFFSET($AM$3,0,0,'Données projet'!$E$10+1,1))-AVERAGE(OFFSET($H$3,0,0,'Données projet'!$E$10+1,1))</f>
        <v>348.76787471354476</v>
      </c>
      <c r="AO22" s="62">
        <f t="shared" si="36"/>
        <v>258.31503417978615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11.8</v>
      </c>
      <c r="BD22" s="13">
        <f>IF('Données projet'!$A$88&gt;35,BD21+BC22-BL21,IF(A22&lt;'Données projet'!$A$88,$BA$205^A22,IF(A22='Données projet'!$A$88,'Données projet'!$B$88,BD21+BC22-BL21)))</f>
        <v>179.58348813863034</v>
      </c>
      <c r="BE22" s="14">
        <f>BD22*VLOOKUP('Données projet'!$B$11,Paramètres!$A$1:$I$89,3,0)*VLOOKUP('Données projet'!$B$11,Paramètres!$A$1:$I$89,5,0)</f>
        <v>87.126725105337897</v>
      </c>
      <c r="BF22" s="14">
        <f t="shared" si="37"/>
        <v>23.870957153280205</v>
      </c>
      <c r="BG22" s="22">
        <f t="shared" si="7"/>
        <v>193.32096326709316</v>
      </c>
      <c r="BH22" s="62">
        <f t="shared" si="8"/>
        <v>407.47305751011669</v>
      </c>
      <c r="BI22" s="62">
        <f ca="1">AVERAGE(OFFSET($BH$3,0,0,'Données projet'!$E$11+1,1))-AVERAGE(OFFSET($H$3,0,0,'Données projet'!$E$11+1,1))</f>
        <v>59.385225562404884</v>
      </c>
      <c r="BJ22" s="62">
        <f t="shared" si="38"/>
        <v>285.5244298970598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59.730296710452635</v>
      </c>
      <c r="CA22" s="14">
        <f t="shared" si="39"/>
        <v>17.100061689857345</v>
      </c>
      <c r="CB22" s="22">
        <f t="shared" si="10"/>
        <v>133.81287421387319</v>
      </c>
      <c r="CC22" s="62">
        <f t="shared" si="11"/>
        <v>347.96496845689671</v>
      </c>
      <c r="CD22" s="62">
        <f ca="1">AVERAGE(OFFSET($CC$3,0,0,'Données projet'!$E$12+1,1))-AVERAGE(OFFSET($H$3,0,0,'Données projet'!$E$12+1,1))</f>
        <v>520.80494930257237</v>
      </c>
      <c r="CE22" s="62">
        <f t="shared" si="40"/>
        <v>325.72635759450861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364.10308709124286</v>
      </c>
      <c r="S23" s="62">
        <f ca="1">AVERAGE(OFFSET($R$3,0,0,'Données projet'!$E$9+1,1))-AVERAGE(OFFSET($H$3,0,0,'Données projet'!$E$9+1,1))</f>
        <v>472.83070477639035</v>
      </c>
      <c r="T23" s="62">
        <f t="shared" si="34"/>
        <v>297.32483725004136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1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5.1222189140097312</v>
      </c>
      <c r="AC23" s="24">
        <f t="shared" si="3"/>
        <v>5.1222189140097312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6.5093333333333332</v>
      </c>
      <c r="AI23" s="14">
        <f>IF('Données projet'!$A$62&gt;35,AI22+AH23-AQ22,IF(A23&lt;'Données projet'!$A$62,$AF$205^A23,IF(A23='Données projet'!$A$62,'Données projet'!$B$62,AI22+AH23-AQ22)))</f>
        <v>33.659307574711804</v>
      </c>
      <c r="AJ23" s="14">
        <f>AI23*VLOOKUP('Données projet'!$B$10,Paramètres!$A$1:$I$89,3,0)*VLOOKUP('Données projet'!$B$10,Paramètres!$A$1:$I$89,5,0)</f>
        <v>15.752555944965124</v>
      </c>
      <c r="AK23" s="14">
        <f t="shared" si="35"/>
        <v>5.2666133489150813</v>
      </c>
      <c r="AL23" s="22">
        <f t="shared" si="4"/>
        <v>36.608386520174683</v>
      </c>
      <c r="AM23" s="62">
        <f t="shared" si="5"/>
        <v>253.12308940707041</v>
      </c>
      <c r="AN23" s="62">
        <f ca="1">AVERAGE(OFFSET($AM$3,0,0,'Données projet'!$E$10+1,1))-AVERAGE(OFFSET($H$3,0,0,'Données projet'!$E$10+1,1))</f>
        <v>348.76787471354476</v>
      </c>
      <c r="AO23" s="62">
        <f t="shared" si="36"/>
        <v>258.31503417978615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236</v>
      </c>
      <c r="BB23" s="13">
        <f>VLOOKUP(A23,'Données projet'!$A$87:$I$107,9,0)</f>
        <v>11.8</v>
      </c>
      <c r="BC23" s="13">
        <f t="array" ref="BC23">INDEX(BB:BB,MIN(IF(ISNUMBER(BB23:BB219),ROW(BB23:BB219),"")))</f>
        <v>11.8</v>
      </c>
      <c r="BD23" s="13">
        <f>IF('Données projet'!$A$88&gt;35,BD22+BC23-BL22,IF(A23&lt;'Données projet'!$A$88,$BA$205^A23,IF(A23='Données projet'!$A$88,'Données projet'!$B$88,BD22+BC23-BL22)))</f>
        <v>236</v>
      </c>
      <c r="BE23" s="14">
        <f>BD23*VLOOKUP('Données projet'!$B$11,Paramètres!$A$1:$I$89,3,0)*VLOOKUP('Données projet'!$B$11,Paramètres!$A$1:$I$89,5,0)</f>
        <v>114.49776</v>
      </c>
      <c r="BF23" s="14">
        <f t="shared" si="37"/>
        <v>30.388207661338235</v>
      </c>
      <c r="BG23" s="22">
        <f t="shared" si="7"/>
        <v>252.34306034349746</v>
      </c>
      <c r="BH23" s="62">
        <f t="shared" si="8"/>
        <v>468.85776323039318</v>
      </c>
      <c r="BI23" s="62">
        <f ca="1">AVERAGE(OFFSET($BH$3,0,0,'Données projet'!$E$11+1,1))-AVERAGE(OFFSET($H$3,0,0,'Données projet'!$E$11+1,1))</f>
        <v>59.385225562404884</v>
      </c>
      <c r="BJ23" s="62">
        <f t="shared" si="38"/>
        <v>285.5244298970598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236</v>
      </c>
      <c r="BM23" s="17">
        <f>IF(ISNA(VLOOKUP(A23,'Données projet'!$A$87:$I$107,5,0)),0%,VLOOKUP(A23,'Données projet'!$A$87:$I$107,5,0)*VLOOKUP('Données projet'!$B$11,Paramètres!$A$1:$I$89,7,0))</f>
        <v>0.48</v>
      </c>
      <c r="BN23" s="17">
        <f>IF(ISNA(VLOOKUP(A23,'Données projet'!$A$87:$I$107,6,0)),0%,VLOOKUP(A23,'Données projet'!$A$87:$I$107,6,0)*VLOOKUP('Données projet'!$B$11,Paramètres!$A$1:$I$89,7,0))</f>
        <v>0.12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60.755463457378859</v>
      </c>
      <c r="BQ23" s="23">
        <f>EXP(-LN(2)/25)*BQ22+(1-EXP(-LN(2)/25))/(LN(2)/25)*Calculateur!BL23*Calculateur!BN23*VLOOKUP('Données projet'!$B$11,Paramètres!$A$1:$I$89,3,0)*0.475*44/12</f>
        <v>15.129061512025169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75.884524969404026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74.022000000000006</v>
      </c>
      <c r="CA23" s="14">
        <f t="shared" si="39"/>
        <v>20.668991235856851</v>
      </c>
      <c r="CB23" s="22">
        <f t="shared" si="10"/>
        <v>164.92014306911736</v>
      </c>
      <c r="CC23" s="62">
        <f t="shared" si="11"/>
        <v>381.43484595601308</v>
      </c>
      <c r="CD23" s="62">
        <f ca="1">AVERAGE(OFFSET($CC$3,0,0,'Données projet'!$E$12+1,1))-AVERAGE(OFFSET($H$3,0,0,'Données projet'!$E$12+1,1))</f>
        <v>520.80494930257237</v>
      </c>
      <c r="CE23" s="62">
        <f t="shared" si="40"/>
        <v>325.72635759450861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6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1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5.7404177484591825</v>
      </c>
      <c r="CN23" s="24">
        <f t="shared" si="12"/>
        <v>5.7404177484591825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368.80929029089941</v>
      </c>
      <c r="S24" s="62">
        <f ca="1">AVERAGE(OFFSET($R$3,0,0,'Données projet'!$E$9+1,1))-AVERAGE(OFFSET($H$3,0,0,'Données projet'!$E$9+1,1))</f>
        <v>472.83070477639035</v>
      </c>
      <c r="T24" s="62">
        <f t="shared" si="34"/>
        <v>297.32483725004136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3.6219557288182744</v>
      </c>
      <c r="AC24" s="24">
        <f t="shared" si="3"/>
        <v>3.6219557288182744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6.5093333333333332</v>
      </c>
      <c r="AI24" s="14">
        <f>IF('Données projet'!$A$62&gt;35,AI23+AH24-AQ23,IF(A24&lt;'Données projet'!$A$62,$AF$205^A24,IF(A24='Données projet'!$A$62,'Données projet'!$B$62,AI23+AH24-AQ23)))</f>
        <v>40.129193956131395</v>
      </c>
      <c r="AJ24" s="14">
        <f>AI24*VLOOKUP('Données projet'!$B$10,Paramètres!$A$1:$I$89,3,0)*VLOOKUP('Données projet'!$B$10,Paramètres!$A$1:$I$89,5,0)</f>
        <v>18.780462771469494</v>
      </c>
      <c r="AK24" s="14">
        <f t="shared" si="35"/>
        <v>6.1517537451844344</v>
      </c>
      <c r="AL24" s="22">
        <f t="shared" si="4"/>
        <v>43.423610433172257</v>
      </c>
      <c r="AM24" s="62">
        <f t="shared" si="5"/>
        <v>262.28113880904664</v>
      </c>
      <c r="AN24" s="62">
        <f ca="1">AVERAGE(OFFSET($AM$3,0,0,'Données projet'!$E$10+1,1))-AVERAGE(OFFSET($H$3,0,0,'Données projet'!$E$10+1,1))</f>
        <v>348.76787471354476</v>
      </c>
      <c r="AO24" s="62">
        <f t="shared" si="36"/>
        <v>258.31503417978615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59.385225562404884</v>
      </c>
      <c r="BJ24" s="62">
        <f t="shared" si="38"/>
        <v>285.5244298970598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59.564085876153278</v>
      </c>
      <c r="BQ24" s="23">
        <f>EXP(-LN(2)/25)*BQ23+(1-EXP(-LN(2)/25))/(LN(2)/25)*Calculateur!BL24*Calculateur!BN24*VLOOKUP('Données projet'!$B$11,Paramètres!$A$1:$I$89,3,0)*0.475*44/12</f>
        <v>14.715356529376074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74.279442405529352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74.2</v>
      </c>
      <c r="BZ24" s="14">
        <f>BY24*VLOOKUP('Données projet'!$B$12,Paramètres!$A$1:$I$89,3,0)*VLOOKUP('Données projet'!$B$12,Paramètres!$A$1:$I$89,5,0)</f>
        <v>75.238800000000012</v>
      </c>
      <c r="CA24" s="14">
        <f t="shared" si="39"/>
        <v>20.96892143970209</v>
      </c>
      <c r="CB24" s="22">
        <f t="shared" si="10"/>
        <v>167.56178150748116</v>
      </c>
      <c r="CC24" s="62">
        <f t="shared" si="11"/>
        <v>386.41930988335554</v>
      </c>
      <c r="CD24" s="62">
        <f ca="1">AVERAGE(OFFSET($CC$3,0,0,'Données projet'!$E$12+1,1))-AVERAGE(OFFSET($H$3,0,0,'Données projet'!$E$12+1,1))</f>
        <v>520.80494930257237</v>
      </c>
      <c r="CE24" s="62">
        <f t="shared" si="40"/>
        <v>325.72635759450861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4.0590883167791016</v>
      </c>
      <c r="CN24" s="24">
        <f t="shared" si="12"/>
        <v>4.0590883167791016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385.29482020389531</v>
      </c>
      <c r="S25" s="62">
        <f ca="1">AVERAGE(OFFSET($R$3,0,0,'Données projet'!$E$9+1,1))-AVERAGE(OFFSET($H$3,0,0,'Données projet'!$E$9+1,1))</f>
        <v>472.83070477639035</v>
      </c>
      <c r="T25" s="62">
        <f t="shared" si="34"/>
        <v>297.32483725004136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2.561109457004866</v>
      </c>
      <c r="AC25" s="24">
        <f t="shared" si="3"/>
        <v>2.561109457004866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6.5093333333333332</v>
      </c>
      <c r="AI25" s="14">
        <f>IF('Données projet'!$A$62&gt;35,AI24+AH25-AQ24,IF(A25&lt;'Données projet'!$A$62,$AF$205^A25,IF(A25='Données projet'!$A$62,'Données projet'!$B$62,AI24+AH25-AQ24)))</f>
        <v>47.84270157650743</v>
      </c>
      <c r="AJ25" s="14">
        <f>AI25*VLOOKUP('Données projet'!$B$10,Paramètres!$A$1:$I$89,3,0)*VLOOKUP('Données projet'!$B$10,Paramètres!$A$1:$I$89,5,0)</f>
        <v>22.390384337805479</v>
      </c>
      <c r="AK25" s="14">
        <f t="shared" si="35"/>
        <v>7.1856564426144116</v>
      </c>
      <c r="AL25" s="22">
        <f t="shared" si="4"/>
        <v>51.511604359231313</v>
      </c>
      <c r="AM25" s="62">
        <f t="shared" si="5"/>
        <v>272.69251826269971</v>
      </c>
      <c r="AN25" s="62">
        <f ca="1">AVERAGE(OFFSET($AM$3,0,0,'Données projet'!$E$10+1,1))-AVERAGE(OFFSET($H$3,0,0,'Données projet'!$E$10+1,1))</f>
        <v>348.76787471354476</v>
      </c>
      <c r="AO25" s="62">
        <f t="shared" si="36"/>
        <v>258.31503417978615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59.385225562404884</v>
      </c>
      <c r="BJ25" s="62">
        <f t="shared" si="38"/>
        <v>285.5244298970598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58.396070482626961</v>
      </c>
      <c r="BQ25" s="23">
        <f>EXP(-LN(2)/25)*BQ24+(1-EXP(-LN(2)/25))/(LN(2)/25)*Calculateur!BL25*Calculateur!BN25*VLOOKUP('Données projet'!$B$11,Paramètres!$A$1:$I$89,3,0)*0.475*44/12</f>
        <v>14.312964331233317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72.709034813860285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81.400000000000006</v>
      </c>
      <c r="BZ25" s="14">
        <f>BY25*VLOOKUP('Données projet'!$B$12,Paramètres!$A$1:$I$89,3,0)*VLOOKUP('Données projet'!$B$12,Paramètres!$A$1:$I$89,5,0)</f>
        <v>82.539600000000007</v>
      </c>
      <c r="CA25" s="14">
        <f t="shared" si="39"/>
        <v>22.756995627482848</v>
      </c>
      <c r="CB25" s="22">
        <f t="shared" si="10"/>
        <v>183.39157071786599</v>
      </c>
      <c r="CC25" s="62">
        <f t="shared" si="11"/>
        <v>404.57248462133441</v>
      </c>
      <c r="CD25" s="62">
        <f ca="1">AVERAGE(OFFSET($CC$3,0,0,'Données projet'!$E$12+1,1))-AVERAGE(OFFSET($H$3,0,0,'Données projet'!$E$12+1,1))</f>
        <v>520.80494930257237</v>
      </c>
      <c r="CE25" s="62">
        <f t="shared" si="40"/>
        <v>325.72635759450861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2.8702088742295921</v>
      </c>
      <c r="CN25" s="24">
        <f t="shared" si="12"/>
        <v>2.8702088742295921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401.73236386226296</v>
      </c>
      <c r="S26" s="62">
        <f ca="1">AVERAGE(OFFSET($R$3,0,0,'Données projet'!$E$9+1,1))-AVERAGE(OFFSET($H$3,0,0,'Données projet'!$E$9+1,1))</f>
        <v>472.83070477639035</v>
      </c>
      <c r="T26" s="62">
        <f t="shared" si="34"/>
        <v>297.32483725004136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1.8109778644091374</v>
      </c>
      <c r="AC26" s="24">
        <f t="shared" si="3"/>
        <v>1.8109778644091374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6.5093333333333332</v>
      </c>
      <c r="AI26" s="14">
        <f>IF('Données projet'!$A$62&gt;35,AI25+AH26-AQ25,IF(A26&lt;'Données projet'!$A$62,$AF$205^A26,IF(A26='Données projet'!$A$62,'Données projet'!$B$62,AI25+AH26-AQ25)))</f>
        <v>57.038875404299468</v>
      </c>
      <c r="AJ26" s="14">
        <f>AI26*VLOOKUP('Données projet'!$B$10,Paramètres!$A$1:$I$89,3,0)*VLOOKUP('Données projet'!$B$10,Paramètres!$A$1:$I$89,5,0)</f>
        <v>26.694193689212153</v>
      </c>
      <c r="AK26" s="14">
        <f t="shared" si="35"/>
        <v>8.3933233757454229</v>
      </c>
      <c r="AL26" s="22">
        <f t="shared" si="4"/>
        <v>61.110758888134434</v>
      </c>
      <c r="AM26" s="62">
        <f t="shared" si="5"/>
        <v>284.59595559768093</v>
      </c>
      <c r="AN26" s="62">
        <f ca="1">AVERAGE(OFFSET($AM$3,0,0,'Données projet'!$E$10+1,1))-AVERAGE(OFFSET($H$3,0,0,'Données projet'!$E$10+1,1))</f>
        <v>348.76787471354476</v>
      </c>
      <c r="AO26" s="62">
        <f t="shared" si="36"/>
        <v>258.31503417978615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59.385225562404884</v>
      </c>
      <c r="BJ26" s="62">
        <f t="shared" si="38"/>
        <v>285.5244298970598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57.250959158548646</v>
      </c>
      <c r="BQ26" s="23">
        <f>EXP(-LN(2)/25)*BQ25+(1-EXP(-LN(2)/25))/(LN(2)/25)*Calculateur!BL26*Calculateur!BN26*VLOOKUP('Données projet'!$B$11,Paramètres!$A$1:$I$89,3,0)*0.475*44/12</f>
        <v>13.921575568909661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71.172534727458313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88.600000000000009</v>
      </c>
      <c r="BZ26" s="14">
        <f>BY26*VLOOKUP('Données projet'!$B$12,Paramètres!$A$1:$I$89,3,0)*VLOOKUP('Données projet'!$B$12,Paramètres!$A$1:$I$89,5,0)</f>
        <v>89.840400000000017</v>
      </c>
      <c r="CA26" s="14">
        <f t="shared" si="39"/>
        <v>24.526729341796202</v>
      </c>
      <c r="CB26" s="22">
        <f t="shared" si="10"/>
        <v>199.18941693696172</v>
      </c>
      <c r="CC26" s="62">
        <f t="shared" si="11"/>
        <v>422.67461364650819</v>
      </c>
      <c r="CD26" s="62">
        <f ca="1">AVERAGE(OFFSET($CC$3,0,0,'Données projet'!$E$12+1,1))-AVERAGE(OFFSET($H$3,0,0,'Données projet'!$E$12+1,1))</f>
        <v>520.80494930257237</v>
      </c>
      <c r="CE26" s="62">
        <f t="shared" si="40"/>
        <v>325.72635759450861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2.0295441583895513</v>
      </c>
      <c r="CN26" s="24">
        <f t="shared" si="12"/>
        <v>2.0295441583895513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418.12486670230362</v>
      </c>
      <c r="S27" s="62">
        <f ca="1">AVERAGE(OFFSET($R$3,0,0,'Données projet'!$E$9+1,1))-AVERAGE(OFFSET($H$3,0,0,'Données projet'!$E$9+1,1))</f>
        <v>472.83070477639035</v>
      </c>
      <c r="T27" s="62">
        <f t="shared" si="34"/>
        <v>297.32483725004136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1.2805547285024332</v>
      </c>
      <c r="AC27" s="24">
        <f t="shared" si="3"/>
        <v>1.2805547285024332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6.5093333333333332</v>
      </c>
      <c r="AI27" s="14">
        <f>IF('Données projet'!$A$62&gt;35,AI26+AH27-AQ26,IF(A27&lt;'Données projet'!$A$62,$AF$205^A27,IF(A27='Données projet'!$A$62,'Données projet'!$B$62,AI26+AH27-AQ26)))</f>
        <v>68.002708880987569</v>
      </c>
      <c r="AJ27" s="14">
        <f>AI27*VLOOKUP('Données projet'!$B$10,Paramètres!$A$1:$I$89,3,0)*VLOOKUP('Données projet'!$B$10,Paramètres!$A$1:$I$89,5,0)</f>
        <v>31.825267756302182</v>
      </c>
      <c r="AK27" s="14">
        <f t="shared" si="35"/>
        <v>9.803958462590094</v>
      </c>
      <c r="AL27" s="22">
        <f t="shared" si="4"/>
        <v>72.504235664570714</v>
      </c>
      <c r="AM27" s="62">
        <f t="shared" si="5"/>
        <v>298.2749438481905</v>
      </c>
      <c r="AN27" s="62">
        <f ca="1">AVERAGE(OFFSET($AM$3,0,0,'Données projet'!$E$10+1,1))-AVERAGE(OFFSET($H$3,0,0,'Données projet'!$E$10+1,1))</f>
        <v>348.76787471354476</v>
      </c>
      <c r="AO27" s="62">
        <f t="shared" si="36"/>
        <v>258.31503417978615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59.385225562404884</v>
      </c>
      <c r="BJ27" s="62">
        <f t="shared" si="38"/>
        <v>285.5244298970598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56.128302769086567</v>
      </c>
      <c r="BQ27" s="23">
        <f>EXP(-LN(2)/25)*BQ26+(1-EXP(-LN(2)/25))/(LN(2)/25)*Calculateur!BL27*Calculateur!BN27*VLOOKUP('Données projet'!$B$11,Paramètres!$A$1:$I$89,3,0)*0.475*44/12</f>
        <v>13.540889352873986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69.669192121960549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95.800000000000011</v>
      </c>
      <c r="BZ27" s="14">
        <f>BY27*VLOOKUP('Données projet'!$B$12,Paramètres!$A$1:$I$89,3,0)*VLOOKUP('Données projet'!$B$12,Paramètres!$A$1:$I$89,5,0)</f>
        <v>97.141200000000026</v>
      </c>
      <c r="CA27" s="14">
        <f t="shared" si="39"/>
        <v>26.279782450761708</v>
      </c>
      <c r="CB27" s="22">
        <f t="shared" si="10"/>
        <v>214.95821110174333</v>
      </c>
      <c r="CC27" s="62">
        <f t="shared" si="11"/>
        <v>440.72891928536313</v>
      </c>
      <c r="CD27" s="62">
        <f ca="1">AVERAGE(OFFSET($CC$3,0,0,'Données projet'!$E$12+1,1))-AVERAGE(OFFSET($H$3,0,0,'Données projet'!$E$12+1,1))</f>
        <v>520.80494930257237</v>
      </c>
      <c r="CE27" s="62">
        <f t="shared" si="40"/>
        <v>325.72635759450861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1.4351044371147963</v>
      </c>
      <c r="CN27" s="24">
        <f t="shared" si="12"/>
        <v>1.4351044371147963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434.47485318479289</v>
      </c>
      <c r="S28" s="62">
        <f ca="1">AVERAGE(OFFSET($R$3,0,0,'Données projet'!$E$9+1,1))-AVERAGE(OFFSET($H$3,0,0,'Données projet'!$E$9+1,1))</f>
        <v>472.83070477639035</v>
      </c>
      <c r="T28" s="62">
        <f t="shared" si="34"/>
        <v>297.32483725004136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2.1500000000000002E-2</v>
      </c>
      <c r="X28" s="17">
        <f>IF(ISNA(VLOOKUP(A28,'Données projet'!$A$35:$I$55,6,0)),0%,VLOOKUP(A28,'Données projet'!$A$35:$I$55,6,0)*VLOOKUP('Données projet'!$B$9,Paramètres!$A$1:$I$89,7,0))</f>
        <v>0.1075</v>
      </c>
      <c r="Y28" s="17">
        <f>IF(ISNA(VLOOKUP(A28,'Données projet'!$A$35:$I$55,7,0)),0%,VLOOKUP(A28,'Données projet'!$A$35:$I$55,7,0))</f>
        <v>0.7</v>
      </c>
      <c r="Z28" s="23">
        <f>EXP(-LN(2)/35)*Z27+(1-EXP(-LN(2)/35))/(LN(2)/35)*V28*W28*VLOOKUP('Données projet'!$B$9,Paramètres!$A$1:$I$89,3,0)*0.475*44/12</f>
        <v>0.6021382188396508</v>
      </c>
      <c r="AA28" s="23">
        <f>EXP(-LN(2)/25)*AA27+(1-EXP(-LN(2)/25))/(LN(2)/25)*Calculateur!V28*Calculateur!X28*VLOOKUP('Données projet'!$B$9,Paramètres!$A$1:$I$89,3,0)*0.475*44/12</f>
        <v>2.9988368561971526</v>
      </c>
      <c r="AB28" s="23">
        <f>EXP(-LN(2)/2)*AB27+(1-EXP(-LN(2)/2))/(LN(2)/2)*V28*Y28*VLOOKUP('Données projet'!$B$9,Paramètres!$A$1:$I$89,3,0)*0.475*44/12</f>
        <v>17.63807071796969</v>
      </c>
      <c r="AC28" s="24">
        <f t="shared" si="3"/>
        <v>21.239045793006493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6.5093333333333332</v>
      </c>
      <c r="AI28" s="14">
        <f>IF('Données projet'!$A$62&gt;35,AI27+AH28-AQ27,IF(A28&lt;'Données projet'!$A$62,$AF$205^A28,IF(A28='Données projet'!$A$62,'Données projet'!$B$62,AI27+AH28-AQ27)))</f>
        <v>81.073975992236512</v>
      </c>
      <c r="AJ28" s="14">
        <f>AI28*VLOOKUP('Données projet'!$B$10,Paramètres!$A$1:$I$89,3,0)*VLOOKUP('Données projet'!$B$10,Paramètres!$A$1:$I$89,5,0)</f>
        <v>37.942620764366687</v>
      </c>
      <c r="AK28" s="14">
        <f t="shared" si="35"/>
        <v>11.451673816589436</v>
      </c>
      <c r="AL28" s="22">
        <f t="shared" si="4"/>
        <v>86.028396395165245</v>
      </c>
      <c r="AM28" s="62">
        <f t="shared" si="5"/>
        <v>314.06617036149737</v>
      </c>
      <c r="AN28" s="62">
        <f ca="1">AVERAGE(OFFSET($AM$3,0,0,'Données projet'!$E$10+1,1))-AVERAGE(OFFSET($H$3,0,0,'Données projet'!$E$10+1,1))</f>
        <v>348.76787471354476</v>
      </c>
      <c r="AO28" s="62">
        <f t="shared" si="36"/>
        <v>258.31503417978615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59.385225562404884</v>
      </c>
      <c r="BJ28" s="62">
        <f t="shared" si="38"/>
        <v>285.5244298970598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55.027660986669055</v>
      </c>
      <c r="BQ28" s="23">
        <f>EXP(-LN(2)/25)*BQ27+(1-EXP(-LN(2)/25))/(LN(2)/25)*Calculateur!BL28*Calculateur!BN28*VLOOKUP('Données projet'!$B$11,Paramètres!$A$1:$I$89,3,0)*0.475*44/12</f>
        <v>13.170613021435225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68.198274008104278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103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103.00000000000001</v>
      </c>
      <c r="BZ28" s="14">
        <f>BY28*VLOOKUP('Données projet'!$B$12,Paramètres!$A$1:$I$89,3,0)*VLOOKUP('Données projet'!$B$12,Paramètres!$A$1:$I$89,5,0)</f>
        <v>104.44200000000004</v>
      </c>
      <c r="CA28" s="14">
        <f t="shared" si="39"/>
        <v>28.01755116176631</v>
      </c>
      <c r="CB28" s="22">
        <f t="shared" si="10"/>
        <v>230.70038494007636</v>
      </c>
      <c r="CC28" s="62">
        <f t="shared" si="11"/>
        <v>458.73815890640844</v>
      </c>
      <c r="CD28" s="62">
        <f ca="1">AVERAGE(OFFSET($CC$3,0,0,'Données projet'!$E$12+1,1))-AVERAGE(OFFSET($H$3,0,0,'Données projet'!$E$12+1,1))</f>
        <v>520.80494930257237</v>
      </c>
      <c r="CE28" s="62">
        <f t="shared" si="40"/>
        <v>325.72635759450861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28</v>
      </c>
      <c r="CH28" s="17">
        <f>IF(ISNA(VLOOKUP(A28,'Données projet'!$A$113:$I$133,5,0)),0%,VLOOKUP(A28,'Données projet'!$A$113:$I$133,5,0)*VLOOKUP('Données projet'!$B$12,Paramètres!$A$1:$I$89,7,0))</f>
        <v>2.1500000000000002E-2</v>
      </c>
      <c r="CI28" s="17">
        <f>IF(ISNA(VLOOKUP(A28,'Données projet'!$A$113:$I$133,6,0)),0%,VLOOKUP(A28,'Données projet'!$A$113:$I$133,6,0)*VLOOKUP('Données projet'!$B$12,Paramètres!$A$1:$I$89,7,0))</f>
        <v>0.1075</v>
      </c>
      <c r="CJ28" s="17">
        <f>IF(ISNA(VLOOKUP(A28,'Données projet'!$A$113:$I$133,7,0)),0%,VLOOKUP(A28,'Données projet'!$A$113:$I$133,7,0))</f>
        <v>0.7</v>
      </c>
      <c r="CK28" s="23">
        <f>EXP(-LN(2)/35)*CK27+(1-EXP(-LN(2)/35))/(LN(2)/35)*CG28*CH28*VLOOKUP('Données projet'!$B$12,Paramètres!$A$1:$I$89,3,0)*0.475*44/12</f>
        <v>0.6748100728375398</v>
      </c>
      <c r="CL28" s="23">
        <f>EXP(-LN(2)/25)*CL27+(1-EXP(-LN(2)/25))/(LN(2)/25)*Calculateur!CG28*Calculateur!CI28*VLOOKUP('Données projet'!$B$12,Paramètres!$A$1:$I$89,3,0)*0.475*44/12</f>
        <v>3.3607654422899125</v>
      </c>
      <c r="CM28" s="23">
        <f>EXP(-LN(2)/2)*CM27+(1-EXP(-LN(2)/2))/(LN(2)/2)*CG28*CJ28*VLOOKUP('Données projet'!$B$12,Paramètres!$A$1:$I$89,3,0)*0.475*44/12</f>
        <v>19.766803390828102</v>
      </c>
      <c r="CN28" s="24">
        <f t="shared" si="12"/>
        <v>23.802378905955553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399.90016633808318</v>
      </c>
      <c r="S29" s="62">
        <f ca="1">AVERAGE(OFFSET($R$3,0,0,'Données projet'!$E$9+1,1))-AVERAGE(OFFSET($H$3,0,0,'Données projet'!$E$9+1,1))</f>
        <v>472.83070477639035</v>
      </c>
      <c r="T29" s="62">
        <f t="shared" si="34"/>
        <v>297.32483725004136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0.59033065563625398</v>
      </c>
      <c r="AA29" s="23">
        <f>EXP(-LN(2)/25)*AA28+(1-EXP(-LN(2)/25))/(LN(2)/25)*Calculateur!V29*Calculateur!X29*VLOOKUP('Données projet'!$B$9,Paramètres!$A$1:$I$89,3,0)*0.475*44/12</f>
        <v>2.9168335046624652</v>
      </c>
      <c r="AB29" s="23">
        <f>EXP(-LN(2)/2)*AB28+(1-EXP(-LN(2)/2))/(LN(2)/2)*V29*Y29*VLOOKUP('Données projet'!$B$9,Paramètres!$A$1:$I$89,3,0)*0.475*44/12</f>
        <v>12.471999411724246</v>
      </c>
      <c r="AC29" s="24">
        <f t="shared" si="3"/>
        <v>15.979163572022966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6.5093333333333332</v>
      </c>
      <c r="AI29" s="14">
        <f>IF('Données projet'!$A$62&gt;35,AI28+AH29-AQ28,IF(A29&lt;'Données projet'!$A$62,$AF$205^A29,IF(A29='Données projet'!$A$62,'Données projet'!$B$62,AI28+AH29-AQ28)))</f>
        <v>96.657761012038762</v>
      </c>
      <c r="AJ29" s="14">
        <f>AI29*VLOOKUP('Données projet'!$B$10,Paramètres!$A$1:$I$89,3,0)*VLOOKUP('Données projet'!$B$10,Paramètres!$A$1:$I$89,5,0)</f>
        <v>45.235832153634135</v>
      </c>
      <c r="AK29" s="14">
        <f t="shared" si="35"/>
        <v>13.376314649023318</v>
      </c>
      <c r="AL29" s="22">
        <f t="shared" si="4"/>
        <v>102.08282234796172</v>
      </c>
      <c r="AM29" s="62">
        <f t="shared" si="5"/>
        <v>332.36953639715193</v>
      </c>
      <c r="AN29" s="62">
        <f ca="1">AVERAGE(OFFSET($AM$3,0,0,'Données projet'!$E$10+1,1))-AVERAGE(OFFSET($H$3,0,0,'Données projet'!$E$10+1,1))</f>
        <v>348.76787471354476</v>
      </c>
      <c r="AO29" s="62">
        <f t="shared" si="36"/>
        <v>258.31503417978615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59.385225562404884</v>
      </c>
      <c r="BJ29" s="62">
        <f t="shared" si="38"/>
        <v>285.5244298970598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53.948602118279553</v>
      </c>
      <c r="BQ29" s="23">
        <f>EXP(-LN(2)/25)*BQ28+(1-EXP(-LN(2)/25))/(LN(2)/25)*Calculateur!BL29*Calculateur!BN29*VLOOKUP('Données projet'!$B$11,Paramètres!$A$1:$I$89,3,0)*0.475*44/12</f>
        <v>12.810461915751642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66.759064034031198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85.378800000000027</v>
      </c>
      <c r="CA29" s="14">
        <f t="shared" si="39"/>
        <v>23.447306793896516</v>
      </c>
      <c r="CB29" s="22">
        <f t="shared" si="10"/>
        <v>189.53880266603645</v>
      </c>
      <c r="CC29" s="62">
        <f t="shared" si="11"/>
        <v>419.82551671522663</v>
      </c>
      <c r="CD29" s="62">
        <f ca="1">AVERAGE(OFFSET($CC$3,0,0,'Données projet'!$E$12+1,1))-AVERAGE(OFFSET($H$3,0,0,'Données projet'!$E$12+1,1))</f>
        <v>520.80494930257237</v>
      </c>
      <c r="CE29" s="62">
        <f t="shared" si="40"/>
        <v>325.72635759450861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0.66157745890269859</v>
      </c>
      <c r="CL29" s="23">
        <f>EXP(-LN(2)/25)*CL28+(1-EXP(-LN(2)/25))/(LN(2)/25)*Calculateur!CG29*Calculateur!CI29*VLOOKUP('Données projet'!$B$12,Paramètres!$A$1:$I$89,3,0)*0.475*44/12</f>
        <v>3.2688651345355213</v>
      </c>
      <c r="CM29" s="23">
        <f>EXP(-LN(2)/2)*CM28+(1-EXP(-LN(2)/2))/(LN(2)/2)*CG29*CJ29*VLOOKUP('Données projet'!$B$12,Paramètres!$A$1:$I$89,3,0)*0.475*44/12</f>
        <v>13.977240720035793</v>
      </c>
      <c r="CN29" s="24">
        <f t="shared" si="12"/>
        <v>17.907683313474013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420.17244660972904</v>
      </c>
      <c r="S30" s="62">
        <f ca="1">AVERAGE(OFFSET($R$3,0,0,'Données projet'!$E$9+1,1))-AVERAGE(OFFSET($H$3,0,0,'Données projet'!$E$9+1,1))</f>
        <v>472.83070477639035</v>
      </c>
      <c r="T30" s="62">
        <f t="shared" si="34"/>
        <v>297.32483725004136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0.57875463154537343</v>
      </c>
      <c r="AA30" s="23">
        <f>EXP(-LN(2)/25)*AA29+(1-EXP(-LN(2)/25))/(LN(2)/25)*Calculateur!V30*Calculateur!X30*VLOOKUP('Données projet'!$B$9,Paramètres!$A$1:$I$89,3,0)*0.475*44/12</f>
        <v>2.8370725390878624</v>
      </c>
      <c r="AB30" s="23">
        <f>EXP(-LN(2)/2)*AB29+(1-EXP(-LN(2)/2))/(LN(2)/2)*V30*Y30*VLOOKUP('Données projet'!$B$9,Paramètres!$A$1:$I$89,3,0)*0.475*44/12</f>
        <v>8.8190353589848467</v>
      </c>
      <c r="AC30" s="24">
        <f t="shared" si="3"/>
        <v>12.234862529618082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6.5093333333333332</v>
      </c>
      <c r="AI30" s="14">
        <f>IF('Données projet'!$A$62&gt;35,AI29+AH30-AQ29,IF(A30&lt;'Données projet'!$A$62,$AF$205^A30,IF(A30='Données projet'!$A$62,'Données projet'!$B$62,AI29+AH30-AQ29)))</f>
        <v>115.23701224120353</v>
      </c>
      <c r="AJ30" s="14">
        <f>AI30*VLOOKUP('Données projet'!$B$10,Paramètres!$A$1:$I$89,3,0)*VLOOKUP('Données projet'!$B$10,Paramètres!$A$1:$I$89,5,0)</f>
        <v>53.930921728883256</v>
      </c>
      <c r="AK30" s="14">
        <f t="shared" si="35"/>
        <v>15.624422809744679</v>
      </c>
      <c r="AL30" s="22">
        <f t="shared" si="4"/>
        <v>121.14222507144363</v>
      </c>
      <c r="AM30" s="62">
        <f t="shared" si="5"/>
        <v>353.66006794400715</v>
      </c>
      <c r="AN30" s="62">
        <f ca="1">AVERAGE(OFFSET($AM$3,0,0,'Données projet'!$E$10+1,1))-AVERAGE(OFFSET($H$3,0,0,'Données projet'!$E$10+1,1))</f>
        <v>348.76787471354476</v>
      </c>
      <c r="AO30" s="62">
        <f t="shared" si="36"/>
        <v>258.31503417978615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59.385225562404884</v>
      </c>
      <c r="BJ30" s="62">
        <f t="shared" si="38"/>
        <v>285.5244298970598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52.890702936138247</v>
      </c>
      <c r="BQ30" s="23">
        <f>EXP(-LN(2)/25)*BQ29+(1-EXP(-LN(2)/25))/(LN(2)/25)*Calculateur!BL30*Calculateur!BN30*VLOOKUP('Données projet'!$B$11,Paramètres!$A$1:$I$89,3,0)*0.475*44/12</f>
        <v>12.4601591609925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65.350862097130744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94.707600000000028</v>
      </c>
      <c r="CA30" s="14">
        <f t="shared" si="39"/>
        <v>25.697193912523566</v>
      </c>
      <c r="CB30" s="22">
        <f t="shared" si="10"/>
        <v>209.70501606431188</v>
      </c>
      <c r="CC30" s="62">
        <f t="shared" si="11"/>
        <v>442.22285893687535</v>
      </c>
      <c r="CD30" s="62">
        <f ca="1">AVERAGE(OFFSET($CC$3,0,0,'Données projet'!$E$12+1,1))-AVERAGE(OFFSET($H$3,0,0,'Données projet'!$E$12+1,1))</f>
        <v>520.80494930257237</v>
      </c>
      <c r="CE30" s="62">
        <f t="shared" si="40"/>
        <v>325.72635759450861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0.64860432845602212</v>
      </c>
      <c r="CL30" s="23">
        <f>EXP(-LN(2)/25)*CL29+(1-EXP(-LN(2)/25))/(LN(2)/25)*Calculateur!CG30*Calculateur!CI30*VLOOKUP('Données projet'!$B$12,Paramètres!$A$1:$I$89,3,0)*0.475*44/12</f>
        <v>3.179477845529501</v>
      </c>
      <c r="CM30" s="23">
        <f>EXP(-LN(2)/2)*CM29+(1-EXP(-LN(2)/2))/(LN(2)/2)*CG30*CJ30*VLOOKUP('Données projet'!$B$12,Paramètres!$A$1:$I$89,3,0)*0.475*44/12</f>
        <v>9.8834016954140527</v>
      </c>
      <c r="CN30" s="24">
        <f t="shared" si="12"/>
        <v>13.711483869399576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440.3867625099287</v>
      </c>
      <c r="S31" s="62">
        <f ca="1">AVERAGE(OFFSET($R$3,0,0,'Données projet'!$E$9+1,1))-AVERAGE(OFFSET($H$3,0,0,'Données projet'!$E$9+1,1))</f>
        <v>472.83070477639035</v>
      </c>
      <c r="T31" s="62">
        <f t="shared" si="34"/>
        <v>297.32483725004136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0.56740560622623748</v>
      </c>
      <c r="AA31" s="23">
        <f>EXP(-LN(2)/25)*AA30+(1-EXP(-LN(2)/25))/(LN(2)/25)*Calculateur!V31*Calculateur!X31*VLOOKUP('Données projet'!$B$9,Paramètres!$A$1:$I$89,3,0)*0.475*44/12</f>
        <v>2.7594926413113443</v>
      </c>
      <c r="AB31" s="23">
        <f>EXP(-LN(2)/2)*AB30+(1-EXP(-LN(2)/2))/(LN(2)/2)*V31*Y31*VLOOKUP('Données projet'!$B$9,Paramètres!$A$1:$I$89,3,0)*0.475*44/12</f>
        <v>6.2359997058621239</v>
      </c>
      <c r="AC31" s="24">
        <f t="shared" si="3"/>
        <v>9.5628979533997054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6.5093333333333332</v>
      </c>
      <c r="AI31" s="14">
        <f>IF('Données projet'!$A$62&gt;35,AI30+AH31-AQ30,IF(A31&lt;'Données projet'!$A$62,$AF$205^A31,IF(A31='Données projet'!$A$62,'Données projet'!$B$62,AI30+AH31-AQ30)))</f>
        <v>137.38750878602823</v>
      </c>
      <c r="AJ31" s="14">
        <f>AI31*VLOOKUP('Données projet'!$B$10,Paramètres!$A$1:$I$89,3,0)*VLOOKUP('Données projet'!$B$10,Paramètres!$A$1:$I$89,5,0)</f>
        <v>64.29735411186121</v>
      </c>
      <c r="AK31" s="14">
        <f t="shared" si="35"/>
        <v>18.250362266672195</v>
      </c>
      <c r="AL31" s="22">
        <f t="shared" si="4"/>
        <v>143.77060602594568</v>
      </c>
      <c r="AM31" s="62">
        <f t="shared" si="5"/>
        <v>378.50207544792977</v>
      </c>
      <c r="AN31" s="62">
        <f ca="1">AVERAGE(OFFSET($AM$3,0,0,'Données projet'!$E$10+1,1))-AVERAGE(OFFSET($H$3,0,0,'Données projet'!$E$10+1,1))</f>
        <v>348.76787471354476</v>
      </c>
      <c r="AO31" s="62">
        <f t="shared" si="36"/>
        <v>258.31503417978615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59.385225562404884</v>
      </c>
      <c r="BJ31" s="62">
        <f t="shared" si="38"/>
        <v>285.5244298970598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51.853548511703941</v>
      </c>
      <c r="BQ31" s="23">
        <f>EXP(-LN(2)/25)*BQ30+(1-EXP(-LN(2)/25))/(LN(2)/25)*Calculateur!BL31*Calculateur!BN31*VLOOKUP('Données projet'!$B$11,Paramètres!$A$1:$I$89,3,0)*0.475*44/12</f>
        <v>12.119435453483868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63.972983965187808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104.03640000000003</v>
      </c>
      <c r="CA31" s="14">
        <f t="shared" si="39"/>
        <v>27.921388397820998</v>
      </c>
      <c r="CB31" s="22">
        <f t="shared" si="10"/>
        <v>229.82648145953826</v>
      </c>
      <c r="CC31" s="62">
        <f t="shared" si="11"/>
        <v>464.55795088152234</v>
      </c>
      <c r="CD31" s="62">
        <f ca="1">AVERAGE(OFFSET($CC$3,0,0,'Données projet'!$E$12+1,1))-AVERAGE(OFFSET($H$3,0,0,'Données projet'!$E$12+1,1))</f>
        <v>520.80494930257237</v>
      </c>
      <c r="CE31" s="62">
        <f t="shared" si="40"/>
        <v>325.72635759450861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0.63588559318457671</v>
      </c>
      <c r="CL31" s="23">
        <f>EXP(-LN(2)/25)*CL30+(1-EXP(-LN(2)/25))/(LN(2)/25)*Calculateur!CG31*Calculateur!CI31*VLOOKUP('Données projet'!$B$12,Paramètres!$A$1:$I$89,3,0)*0.475*44/12</f>
        <v>3.0925348566420237</v>
      </c>
      <c r="CM31" s="23">
        <f>EXP(-LN(2)/2)*CM30+(1-EXP(-LN(2)/2))/(LN(2)/2)*CG31*CJ31*VLOOKUP('Données projet'!$B$12,Paramètres!$A$1:$I$89,3,0)*0.475*44/12</f>
        <v>6.9886203600178982</v>
      </c>
      <c r="CN31" s="24">
        <f t="shared" si="12"/>
        <v>10.717040809844498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460.54745843353226</v>
      </c>
      <c r="S32" s="62">
        <f ca="1">AVERAGE(OFFSET($R$3,0,0,'Données projet'!$E$9+1,1))-AVERAGE(OFFSET($H$3,0,0,'Données projet'!$E$9+1,1))</f>
        <v>472.83070477639035</v>
      </c>
      <c r="T32" s="62">
        <f t="shared" si="34"/>
        <v>297.32483725004136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0.55627912837138793</v>
      </c>
      <c r="AA32" s="23">
        <f>EXP(-LN(2)/25)*AA31+(1-EXP(-LN(2)/25))/(LN(2)/25)*Calculateur!V32*Calculateur!X32*VLOOKUP('Données projet'!$B$9,Paramètres!$A$1:$I$89,3,0)*0.475*44/12</f>
        <v>2.6840341699192747</v>
      </c>
      <c r="AB32" s="23">
        <f>EXP(-LN(2)/2)*AB31+(1-EXP(-LN(2)/2))/(LN(2)/2)*V32*Y32*VLOOKUP('Données projet'!$B$9,Paramètres!$A$1:$I$89,3,0)*0.475*44/12</f>
        <v>4.4095176794924242</v>
      </c>
      <c r="AC32" s="24">
        <f t="shared" si="3"/>
        <v>7.6498309777830871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6.5093333333333332</v>
      </c>
      <c r="AI32" s="14">
        <f>IF('Données projet'!$A$62&gt;35,AI31+AH32-AQ31,IF(A32&lt;'Données projet'!$A$62,$AF$205^A32,IF(A32='Données projet'!$A$62,'Données projet'!$B$62,AI31+AH32-AQ31)))</f>
        <v>163.79570420415698</v>
      </c>
      <c r="AJ32" s="14">
        <f>AI32*VLOOKUP('Données projet'!$B$10,Paramètres!$A$1:$I$89,3,0)*VLOOKUP('Données projet'!$B$10,Paramètres!$A$1:$I$89,5,0)</f>
        <v>76.65638956754546</v>
      </c>
      <c r="AK32" s="14">
        <f t="shared" si="35"/>
        <v>21.317633740494983</v>
      </c>
      <c r="AL32" s="22">
        <f t="shared" si="4"/>
        <v>170.63809059483708</v>
      </c>
      <c r="AM32" s="62">
        <f t="shared" si="5"/>
        <v>407.56598791761292</v>
      </c>
      <c r="AN32" s="62">
        <f ca="1">AVERAGE(OFFSET($AM$3,0,0,'Données projet'!$E$10+1,1))-AVERAGE(OFFSET($H$3,0,0,'Données projet'!$E$10+1,1))</f>
        <v>348.76787471354476</v>
      </c>
      <c r="AO32" s="62">
        <f t="shared" si="36"/>
        <v>258.31503417978615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59.385225562404884</v>
      </c>
      <c r="BJ32" s="62">
        <f t="shared" si="38"/>
        <v>285.5244298970598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50.836732052931062</v>
      </c>
      <c r="BQ32" s="23">
        <f>EXP(-LN(2)/25)*BQ31+(1-EXP(-LN(2)/25))/(LN(2)/25)*Calculateur!BL32*Calculateur!BN32*VLOOKUP('Données projet'!$B$11,Paramètres!$A$1:$I$89,3,0)*0.475*44/12</f>
        <v>11.788028853674941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62.624760906605999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113.36520000000003</v>
      </c>
      <c r="CA32" s="14">
        <f t="shared" si="39"/>
        <v>30.122456058687614</v>
      </c>
      <c r="CB32" s="22">
        <f t="shared" si="10"/>
        <v>249.9076676355476</v>
      </c>
      <c r="CC32" s="62">
        <f t="shared" si="11"/>
        <v>486.8355649583234</v>
      </c>
      <c r="CD32" s="62">
        <f ca="1">AVERAGE(OFFSET($CC$3,0,0,'Données projet'!$E$12+1,1))-AVERAGE(OFFSET($H$3,0,0,'Données projet'!$E$12+1,1))</f>
        <v>520.80494930257237</v>
      </c>
      <c r="CE32" s="62">
        <f t="shared" si="40"/>
        <v>325.72635759450861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0.62341626455414179</v>
      </c>
      <c r="CL32" s="23">
        <f>EXP(-LN(2)/25)*CL31+(1-EXP(-LN(2)/25))/(LN(2)/25)*Calculateur!CG32*Calculateur!CI32*VLOOKUP('Données projet'!$B$12,Paramètres!$A$1:$I$89,3,0)*0.475*44/12</f>
        <v>3.0079693283578073</v>
      </c>
      <c r="CM32" s="23">
        <f>EXP(-LN(2)/2)*CM31+(1-EXP(-LN(2)/2))/(LN(2)/2)*CG32*CJ32*VLOOKUP('Données projet'!$B$12,Paramètres!$A$1:$I$89,3,0)*0.475*44/12</f>
        <v>4.9417008477070272</v>
      </c>
      <c r="CN32" s="24">
        <f t="shared" si="12"/>
        <v>8.573086440618976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480.65817058337467</v>
      </c>
      <c r="S33" s="62">
        <f ca="1">AVERAGE(OFFSET($R$3,0,0,'Données projet'!$E$9+1,1))-AVERAGE(OFFSET($H$3,0,0,'Données projet'!$E$9+1,1))</f>
        <v>472.83070477639035</v>
      </c>
      <c r="T33" s="62">
        <f t="shared" si="34"/>
        <v>297.32483725004136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0.54537083396079056</v>
      </c>
      <c r="AA33" s="23">
        <f>EXP(-LN(2)/25)*AA32+(1-EXP(-LN(2)/25))/(LN(2)/25)*Calculateur!V33*Calculateur!X33*VLOOKUP('Données projet'!$B$9,Paramètres!$A$1:$I$89,3,0)*0.475*44/12</f>
        <v>2.6106391143956094</v>
      </c>
      <c r="AB33" s="23">
        <f>EXP(-LN(2)/2)*AB32+(1-EXP(-LN(2)/2))/(LN(2)/2)*V33*Y33*VLOOKUP('Données projet'!$B$9,Paramètres!$A$1:$I$89,3,0)*0.475*44/12</f>
        <v>3.1179998529310629</v>
      </c>
      <c r="AC33" s="24">
        <f t="shared" si="3"/>
        <v>6.2740098012874626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195.28</v>
      </c>
      <c r="AG33" s="13">
        <f>VLOOKUP(A33,'Données projet'!$A$61:$I$81,9,0)</f>
        <v>6.5093333333333332</v>
      </c>
      <c r="AH33" s="13">
        <f t="array" ref="AH33">INDEX(AG:AG,MIN(IF(ISNUMBER(AG33:AG229),ROW(AG33:AG229),"")))</f>
        <v>6.5093333333333332</v>
      </c>
      <c r="AI33" s="14">
        <f>IF('Données projet'!$A$62&gt;35,AI32+AH33-AQ32,IF(A33&lt;'Données projet'!$A$62,$AF$205^A33,IF(A33='Données projet'!$A$62,'Données projet'!$B$62,AI32+AH33-AQ32)))</f>
        <v>195.28</v>
      </c>
      <c r="AJ33" s="14">
        <f>AI33*VLOOKUP('Données projet'!$B$10,Paramètres!$A$1:$I$89,3,0)*VLOOKUP('Données projet'!$B$10,Paramètres!$A$1:$I$89,5,0)</f>
        <v>91.391040000000004</v>
      </c>
      <c r="AK33" s="14">
        <f t="shared" si="35"/>
        <v>24.900410285211944</v>
      </c>
      <c r="AL33" s="22">
        <f t="shared" si="4"/>
        <v>202.54094258007748</v>
      </c>
      <c r="AM33" s="62">
        <f t="shared" si="5"/>
        <v>441.64836751311947</v>
      </c>
      <c r="AN33" s="62">
        <f ca="1">AVERAGE(OFFSET($AM$3,0,0,'Données projet'!$E$10+1,1))-AVERAGE(OFFSET($H$3,0,0,'Données projet'!$E$10+1,1))</f>
        <v>348.76787471354476</v>
      </c>
      <c r="AO33" s="62">
        <f t="shared" si="36"/>
        <v>258.31503417978615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59.385225562404884</v>
      </c>
      <c r="BJ33" s="62">
        <f t="shared" si="38"/>
        <v>285.5244298970598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49.839854744717918</v>
      </c>
      <c r="BQ33" s="23">
        <f>EXP(-LN(2)/25)*BQ32+(1-EXP(-LN(2)/25))/(LN(2)/25)*Calculateur!BL33*Calculateur!BN33*VLOOKUP('Données projet'!$B$11,Paramètres!$A$1:$I$89,3,0)*0.475*44/12</f>
        <v>11.465684584765704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61.305539329483622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122.69400000000003</v>
      </c>
      <c r="CA33" s="14">
        <f t="shared" si="39"/>
        <v>32.302516360650685</v>
      </c>
      <c r="CB33" s="22">
        <f t="shared" si="10"/>
        <v>269.95226599480003</v>
      </c>
      <c r="CC33" s="62">
        <f t="shared" si="11"/>
        <v>509.05969092784198</v>
      </c>
      <c r="CD33" s="62">
        <f ca="1">AVERAGE(OFFSET($CC$3,0,0,'Données projet'!$E$12+1,1))-AVERAGE(OFFSET($H$3,0,0,'Données projet'!$E$12+1,1))</f>
        <v>520.80494930257237</v>
      </c>
      <c r="CE33" s="62">
        <f t="shared" si="40"/>
        <v>325.72635759450861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28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0.61119145185261026</v>
      </c>
      <c r="CL33" s="23">
        <f>EXP(-LN(2)/25)*CL32+(1-EXP(-LN(2)/25))/(LN(2)/25)*Calculateur!CG33*Calculateur!CI33*VLOOKUP('Données projet'!$B$12,Paramètres!$A$1:$I$89,3,0)*0.475*44/12</f>
        <v>2.9257162488916308</v>
      </c>
      <c r="CM33" s="23">
        <f>EXP(-LN(2)/2)*CM32+(1-EXP(-LN(2)/2))/(LN(2)/2)*CG33*CJ33*VLOOKUP('Données projet'!$B$12,Paramètres!$A$1:$I$89,3,0)*0.475*44/12</f>
        <v>3.4943101800089496</v>
      </c>
      <c r="CN33" s="24">
        <f t="shared" si="12"/>
        <v>7.0312178807531911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448.04856966052495</v>
      </c>
      <c r="S34" s="62">
        <f ca="1">AVERAGE(OFFSET($R$3,0,0,'Données projet'!$E$9+1,1))-AVERAGE(OFFSET($H$3,0,0,'Données projet'!$E$9+1,1))</f>
        <v>472.83070477639035</v>
      </c>
      <c r="T34" s="62">
        <f t="shared" si="34"/>
        <v>297.32483725004136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0.53467644455018237</v>
      </c>
      <c r="AA34" s="23">
        <f>EXP(-LN(2)/25)*AA33+(1-EXP(-LN(2)/25))/(LN(2)/25)*Calculateur!V34*Calculateur!X34*VLOOKUP('Données projet'!$B$9,Paramètres!$A$1:$I$89,3,0)*0.475*44/12</f>
        <v>2.5392510505249173</v>
      </c>
      <c r="AB34" s="23">
        <f>EXP(-LN(2)/2)*AB33+(1-EXP(-LN(2)/2))/(LN(2)/2)*V34*Y34*VLOOKUP('Données projet'!$B$9,Paramètres!$A$1:$I$89,3,0)*0.475*44/12</f>
        <v>2.2047588397462126</v>
      </c>
      <c r="AC34" s="24">
        <f t="shared" si="3"/>
        <v>5.2786863348213124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16.895999999999997</v>
      </c>
      <c r="AI34" s="14">
        <f>IF('Données projet'!$A$62&gt;35,AI33+AH34-AQ33,IF(A34&lt;'Données projet'!$A$62,$AF$205^A34,IF(A34='Données projet'!$A$62,'Données projet'!$B$62,AI33+AH34-AQ33)))</f>
        <v>212.17599999999999</v>
      </c>
      <c r="AJ34" s="14">
        <f>AI34*VLOOKUP('Données projet'!$B$10,Paramètres!$A$1:$I$89,3,0)*VLOOKUP('Données projet'!$B$10,Paramètres!$A$1:$I$89,5,0)</f>
        <v>99.298367999999996</v>
      </c>
      <c r="AK34" s="14">
        <f t="shared" si="35"/>
        <v>26.794774963367491</v>
      </c>
      <c r="AL34" s="22">
        <f t="shared" si="4"/>
        <v>219.61222399453172</v>
      </c>
      <c r="AM34" s="62">
        <f t="shared" si="5"/>
        <v>459.66034720734928</v>
      </c>
      <c r="AN34" s="62">
        <f ca="1">AVERAGE(OFFSET($AM$3,0,0,'Données projet'!$E$10+1,1))-AVERAGE(OFFSET($H$3,0,0,'Données projet'!$E$10+1,1))</f>
        <v>348.76787471354476</v>
      </c>
      <c r="AO34" s="62">
        <f t="shared" si="36"/>
        <v>258.31503417978615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59.385225562404884</v>
      </c>
      <c r="BJ34" s="62">
        <f t="shared" si="38"/>
        <v>285.5244298970598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48.862525592483713</v>
      </c>
      <c r="BQ34" s="23">
        <f>EXP(-LN(2)/25)*BQ33+(1-EXP(-LN(2)/25))/(LN(2)/25)*Calculateur!BL34*Calculateur!BN34*VLOOKUP('Données projet'!$B$11,Paramètres!$A$1:$I$89,3,0)*0.475*44/12</f>
        <v>11.152154836841138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60.014680429324855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103.80000000000004</v>
      </c>
      <c r="BZ34" s="14">
        <f>BY34*VLOOKUP('Données projet'!$B$12,Paramètres!$A$1:$I$89,3,0)*VLOOKUP('Données projet'!$B$12,Paramètres!$A$1:$I$89,5,0)</f>
        <v>105.25320000000005</v>
      </c>
      <c r="CA34" s="14">
        <f t="shared" si="39"/>
        <v>28.209746498519422</v>
      </c>
      <c r="CB34" s="22">
        <f t="shared" si="10"/>
        <v>232.44796515158808</v>
      </c>
      <c r="CC34" s="62">
        <f t="shared" si="11"/>
        <v>472.49608836440564</v>
      </c>
      <c r="CD34" s="62">
        <f ca="1">AVERAGE(OFFSET($CC$3,0,0,'Données projet'!$E$12+1,1))-AVERAGE(OFFSET($H$3,0,0,'Données projet'!$E$12+1,1))</f>
        <v>520.80494930257237</v>
      </c>
      <c r="CE34" s="62">
        <f t="shared" si="40"/>
        <v>325.72635759450861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0.59920636027175622</v>
      </c>
      <c r="CL34" s="23">
        <f>EXP(-LN(2)/25)*CL33+(1-EXP(-LN(2)/25))/(LN(2)/25)*Calculateur!CG34*Calculateur!CI34*VLOOKUP('Données projet'!$B$12,Paramètres!$A$1:$I$89,3,0)*0.475*44/12</f>
        <v>2.8457123842089587</v>
      </c>
      <c r="CM34" s="23">
        <f>EXP(-LN(2)/2)*CM33+(1-EXP(-LN(2)/2))/(LN(2)/2)*CG34*CJ34*VLOOKUP('Données projet'!$B$12,Paramètres!$A$1:$I$89,3,0)*0.475*44/12</f>
        <v>2.4708504238535141</v>
      </c>
      <c r="CN34" s="24">
        <f t="shared" si="12"/>
        <v>5.9157691683342293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470.05274465984064</v>
      </c>
      <c r="S35" s="62">
        <f ca="1">AVERAGE(OFFSET($R$3,0,0,'Données projet'!$E$9+1,1))-AVERAGE(OFFSET($H$3,0,0,'Données projet'!$E$9+1,1))</f>
        <v>472.83070477639035</v>
      </c>
      <c r="T35" s="62">
        <f t="shared" si="34"/>
        <v>297.32483725004136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0.52419176559298275</v>
      </c>
      <c r="AA35" s="23">
        <f>EXP(-LN(2)/25)*AA34+(1-EXP(-LN(2)/25))/(LN(2)/25)*Calculateur!V35*Calculateur!X35*VLOOKUP('Données projet'!$B$9,Paramètres!$A$1:$I$89,3,0)*0.475*44/12</f>
        <v>2.4698150970149042</v>
      </c>
      <c r="AB35" s="23">
        <f>EXP(-LN(2)/2)*AB34+(1-EXP(-LN(2)/2))/(LN(2)/2)*V35*Y35*VLOOKUP('Données projet'!$B$9,Paramètres!$A$1:$I$89,3,0)*0.475*44/12</f>
        <v>1.5589999264655316</v>
      </c>
      <c r="AC35" s="24">
        <f t="shared" si="3"/>
        <v>4.5530067890734189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16.895999999999997</v>
      </c>
      <c r="AI35" s="14">
        <f>IF('Données projet'!$A$62&gt;35,AI34+AH35-AQ34,IF(A35&lt;'Données projet'!$A$62,$AF$205^A35,IF(A35='Données projet'!$A$62,'Données projet'!$B$62,AI34+AH35-AQ34)))</f>
        <v>229.07199999999997</v>
      </c>
      <c r="AJ35" s="14">
        <f>AI35*VLOOKUP('Données projet'!$B$10,Paramètres!$A$1:$I$89,3,0)*VLOOKUP('Données projet'!$B$10,Paramètres!$A$1:$I$89,5,0)</f>
        <v>107.20569599999997</v>
      </c>
      <c r="AK35" s="14">
        <f t="shared" si="35"/>
        <v>28.671642082436559</v>
      </c>
      <c r="AL35" s="22">
        <f t="shared" si="4"/>
        <v>236.65303049357692</v>
      </c>
      <c r="AM35" s="62">
        <f t="shared" si="5"/>
        <v>477.62553297410227</v>
      </c>
      <c r="AN35" s="62">
        <f ca="1">AVERAGE(OFFSET($AM$3,0,0,'Données projet'!$E$10+1,1))-AVERAGE(OFFSET($H$3,0,0,'Données projet'!$E$10+1,1))</f>
        <v>348.76787471354476</v>
      </c>
      <c r="AO35" s="62">
        <f t="shared" si="36"/>
        <v>258.31503417978615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59.385225562404884</v>
      </c>
      <c r="BJ35" s="62">
        <f t="shared" si="38"/>
        <v>285.5244298970598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47.904361268812899</v>
      </c>
      <c r="BQ35" s="23">
        <f>EXP(-LN(2)/25)*BQ34+(1-EXP(-LN(2)/25))/(LN(2)/25)*Calculateur!BL35*Calculateur!BN35*VLOOKUP('Données projet'!$B$11,Paramètres!$A$1:$I$89,3,0)*0.475*44/12</f>
        <v>10.847198576361382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58.751559845174285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114.60000000000004</v>
      </c>
      <c r="BZ35" s="14">
        <f>BY35*VLOOKUP('Données projet'!$B$12,Paramètres!$A$1:$I$89,3,0)*VLOOKUP('Données projet'!$B$12,Paramètres!$A$1:$I$89,5,0)</f>
        <v>116.20440000000004</v>
      </c>
      <c r="CA35" s="14">
        <f t="shared" si="39"/>
        <v>30.788088768016376</v>
      </c>
      <c r="CB35" s="22">
        <f t="shared" si="10"/>
        <v>256.01191793762854</v>
      </c>
      <c r="CC35" s="62">
        <f t="shared" si="11"/>
        <v>496.98442041815383</v>
      </c>
      <c r="CD35" s="62">
        <f ca="1">AVERAGE(OFFSET($CC$3,0,0,'Données projet'!$E$12+1,1))-AVERAGE(OFFSET($H$3,0,0,'Données projet'!$E$12+1,1))</f>
        <v>520.80494930257237</v>
      </c>
      <c r="CE35" s="62">
        <f t="shared" si="40"/>
        <v>325.72635759450861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0.58745628902661873</v>
      </c>
      <c r="CL35" s="23">
        <f>EXP(-LN(2)/25)*CL34+(1-EXP(-LN(2)/25))/(LN(2)/25)*Calculateur!CG35*Calculateur!CI35*VLOOKUP('Données projet'!$B$12,Paramètres!$A$1:$I$89,3,0)*0.475*44/12</f>
        <v>2.7678962294132545</v>
      </c>
      <c r="CM35" s="23">
        <f>EXP(-LN(2)/2)*CM34+(1-EXP(-LN(2)/2))/(LN(2)/2)*CG35*CJ35*VLOOKUP('Données projet'!$B$12,Paramètres!$A$1:$I$89,3,0)*0.475*44/12</f>
        <v>1.747155090004475</v>
      </c>
      <c r="CN35" s="24">
        <f t="shared" si="12"/>
        <v>5.1025076084443484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491.99651561325675</v>
      </c>
      <c r="S36" s="62">
        <f ca="1">AVERAGE(OFFSET($R$3,0,0,'Données projet'!$E$9+1,1))-AVERAGE(OFFSET($H$3,0,0,'Données projet'!$E$9+1,1))</f>
        <v>472.83070477639035</v>
      </c>
      <c r="T36" s="62">
        <f t="shared" si="34"/>
        <v>297.32483725004136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0.5139126847951111</v>
      </c>
      <c r="AA36" s="23">
        <f>EXP(-LN(2)/25)*AA35+(1-EXP(-LN(2)/25))/(LN(2)/25)*Calculateur!V36*Calculateur!X36*VLOOKUP('Données projet'!$B$9,Paramètres!$A$1:$I$89,3,0)*0.475*44/12</f>
        <v>2.4022778733051005</v>
      </c>
      <c r="AB36" s="23">
        <f>EXP(-LN(2)/2)*AB35+(1-EXP(-LN(2)/2))/(LN(2)/2)*V36*Y36*VLOOKUP('Données projet'!$B$9,Paramètres!$A$1:$I$89,3,0)*0.475*44/12</f>
        <v>1.1023794198731065</v>
      </c>
      <c r="AC36" s="24">
        <f t="shared" si="3"/>
        <v>4.0185699779733177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16.895999999999997</v>
      </c>
      <c r="AI36" s="14">
        <f>IF('Données projet'!$A$62&gt;35,AI35+AH36-AQ35,IF(A36&lt;'Données projet'!$A$62,$AF$205^A36,IF(A36='Données projet'!$A$62,'Données projet'!$B$62,AI35+AH36-AQ35)))</f>
        <v>245.96799999999996</v>
      </c>
      <c r="AJ36" s="14">
        <f>AI36*VLOOKUP('Données projet'!$B$10,Paramètres!$A$1:$I$89,3,0)*VLOOKUP('Données projet'!$B$10,Paramètres!$A$1:$I$89,5,0)</f>
        <v>115.11302399999998</v>
      </c>
      <c r="AK36" s="14">
        <f t="shared" si="35"/>
        <v>30.532448996635239</v>
      </c>
      <c r="AL36" s="22">
        <f t="shared" si="4"/>
        <v>253.66586546913962</v>
      </c>
      <c r="AM36" s="62">
        <f t="shared" si="5"/>
        <v>495.54671130368035</v>
      </c>
      <c r="AN36" s="62">
        <f ca="1">AVERAGE(OFFSET($AM$3,0,0,'Données projet'!$E$10+1,1))-AVERAGE(OFFSET($H$3,0,0,'Données projet'!$E$10+1,1))</f>
        <v>348.76787471354476</v>
      </c>
      <c r="AO36" s="62">
        <f t="shared" si="36"/>
        <v>258.31503417978615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59.385225562404884</v>
      </c>
      <c r="BJ36" s="62">
        <f t="shared" si="38"/>
        <v>285.5244298970598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46.964985963106734</v>
      </c>
      <c r="BQ36" s="23">
        <f>EXP(-LN(2)/25)*BQ35+(1-EXP(-LN(2)/25))/(LN(2)/25)*Calculateur!BL36*Calculateur!BN36*VLOOKUP('Données projet'!$B$11,Paramètres!$A$1:$I$89,3,0)*0.475*44/12</f>
        <v>10.550581360861399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57.515567323968135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125.40000000000003</v>
      </c>
      <c r="BZ36" s="14">
        <f>BY36*VLOOKUP('Données projet'!$B$12,Paramètres!$A$1:$I$89,3,0)*VLOOKUP('Données projet'!$B$12,Paramètres!$A$1:$I$89,5,0)</f>
        <v>127.15560000000004</v>
      </c>
      <c r="CA36" s="14">
        <f t="shared" si="39"/>
        <v>33.338258149231912</v>
      </c>
      <c r="CB36" s="22">
        <f t="shared" si="10"/>
        <v>279.52680294324563</v>
      </c>
      <c r="CC36" s="62">
        <f t="shared" si="11"/>
        <v>521.40764877778633</v>
      </c>
      <c r="CD36" s="62">
        <f ca="1">AVERAGE(OFFSET($CC$3,0,0,'Données projet'!$E$12+1,1))-AVERAGE(OFFSET($H$3,0,0,'Données projet'!$E$12+1,1))</f>
        <v>520.80494930257237</v>
      </c>
      <c r="CE36" s="62">
        <f t="shared" si="40"/>
        <v>325.72635759450861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0.57593662951176261</v>
      </c>
      <c r="CL36" s="23">
        <f>EXP(-LN(2)/25)*CL35+(1-EXP(-LN(2)/25))/(LN(2)/25)*Calculateur!CG36*Calculateur!CI36*VLOOKUP('Données projet'!$B$12,Paramètres!$A$1:$I$89,3,0)*0.475*44/12</f>
        <v>2.6922079614626124</v>
      </c>
      <c r="CM36" s="23">
        <f>EXP(-LN(2)/2)*CM35+(1-EXP(-LN(2)/2))/(LN(2)/2)*CG36*CJ36*VLOOKUP('Données projet'!$B$12,Paramètres!$A$1:$I$89,3,0)*0.475*44/12</f>
        <v>1.235425211926757</v>
      </c>
      <c r="CN36" s="24">
        <f t="shared" si="12"/>
        <v>4.503569802901132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513.88441634977562</v>
      </c>
      <c r="S37" s="62">
        <f ca="1">AVERAGE(OFFSET($R$3,0,0,'Données projet'!$E$9+1,1))-AVERAGE(OFFSET($H$3,0,0,'Données projet'!$E$9+1,1))</f>
        <v>472.83070477639035</v>
      </c>
      <c r="T37" s="62">
        <f t="shared" si="34"/>
        <v>297.32483725004136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0.5038351705020655</v>
      </c>
      <c r="AA37" s="23">
        <f>EXP(-LN(2)/25)*AA36+(1-EXP(-LN(2)/25))/(LN(2)/25)*Calculateur!V37*Calculateur!X37*VLOOKUP('Données projet'!$B$9,Paramètres!$A$1:$I$89,3,0)*0.475*44/12</f>
        <v>2.3365874585292694</v>
      </c>
      <c r="AB37" s="23">
        <f>EXP(-LN(2)/2)*AB36+(1-EXP(-LN(2)/2))/(LN(2)/2)*V37*Y37*VLOOKUP('Données projet'!$B$9,Paramètres!$A$1:$I$89,3,0)*0.475*44/12</f>
        <v>0.77949996323276594</v>
      </c>
      <c r="AC37" s="24">
        <f t="shared" si="3"/>
        <v>3.6199225922641007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16.895999999999997</v>
      </c>
      <c r="AI37" s="14">
        <f>IF('Données projet'!$A$62&gt;35,AI36+AH37-AQ36,IF(A37&lt;'Données projet'!$A$62,$AF$205^A37,IF(A37='Données projet'!$A$62,'Données projet'!$B$62,AI36+AH37-AQ36)))</f>
        <v>262.86399999999998</v>
      </c>
      <c r="AJ37" s="14">
        <f>AI37*VLOOKUP('Données projet'!$B$10,Paramètres!$A$1:$I$89,3,0)*VLOOKUP('Données projet'!$B$10,Paramètres!$A$1:$I$89,5,0)</f>
        <v>123.02035199999999</v>
      </c>
      <c r="AK37" s="14">
        <f t="shared" si="35"/>
        <v>32.378424412524012</v>
      </c>
      <c r="AL37" s="22">
        <f t="shared" si="4"/>
        <v>270.65286891847927</v>
      </c>
      <c r="AM37" s="62">
        <f t="shared" si="5"/>
        <v>513.42630038059485</v>
      </c>
      <c r="AN37" s="62">
        <f ca="1">AVERAGE(OFFSET($AM$3,0,0,'Données projet'!$E$10+1,1))-AVERAGE(OFFSET($H$3,0,0,'Données projet'!$E$10+1,1))</f>
        <v>348.76787471354476</v>
      </c>
      <c r="AO37" s="62">
        <f t="shared" si="36"/>
        <v>258.31503417978615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59.385225562404884</v>
      </c>
      <c r="BJ37" s="62">
        <f t="shared" si="38"/>
        <v>285.5244298970598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46.044031234183109</v>
      </c>
      <c r="BQ37" s="23">
        <f>EXP(-LN(2)/25)*BQ36+(1-EXP(-LN(2)/25))/(LN(2)/25)*Calculateur!BL37*Calculateur!BN37*VLOOKUP('Données projet'!$B$11,Paramètres!$A$1:$I$89,3,0)*0.475*44/12</f>
        <v>10.262075158717684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56.306106392900794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136.20000000000005</v>
      </c>
      <c r="BZ37" s="14">
        <f>BY37*VLOOKUP('Données projet'!$B$12,Paramètres!$A$1:$I$89,3,0)*VLOOKUP('Données projet'!$B$12,Paramètres!$A$1:$I$89,5,0)</f>
        <v>138.10680000000005</v>
      </c>
      <c r="CA37" s="14">
        <f t="shared" si="39"/>
        <v>35.862956890686135</v>
      </c>
      <c r="CB37" s="22">
        <f t="shared" si="10"/>
        <v>302.99732658461176</v>
      </c>
      <c r="CC37" s="62">
        <f t="shared" si="11"/>
        <v>545.77075804672734</v>
      </c>
      <c r="CD37" s="62">
        <f ca="1">AVERAGE(OFFSET($CC$3,0,0,'Données projet'!$E$12+1,1))-AVERAGE(OFFSET($H$3,0,0,'Données projet'!$E$12+1,1))</f>
        <v>520.80494930257237</v>
      </c>
      <c r="CE37" s="62">
        <f t="shared" si="40"/>
        <v>325.72635759450861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0.5646428634936943</v>
      </c>
      <c r="CL37" s="23">
        <f>EXP(-LN(2)/25)*CL36+(1-EXP(-LN(2)/25))/(LN(2)/25)*Calculateur!CG37*Calculateur!CI37*VLOOKUP('Données projet'!$B$12,Paramètres!$A$1:$I$89,3,0)*0.475*44/12</f>
        <v>2.6185893931793536</v>
      </c>
      <c r="CM37" s="23">
        <f>EXP(-LN(2)/2)*CM36+(1-EXP(-LN(2)/2))/(LN(2)/2)*CG37*CJ37*VLOOKUP('Données projet'!$B$12,Paramètres!$A$1:$I$89,3,0)*0.475*44/12</f>
        <v>0.8735775450022375</v>
      </c>
      <c r="CN37" s="24">
        <f t="shared" si="12"/>
        <v>4.0568098016752856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535.72026258017763</v>
      </c>
      <c r="S38" s="62">
        <f ca="1">AVERAGE(OFFSET($R$3,0,0,'Données projet'!$E$9+1,1))-AVERAGE(OFFSET($H$3,0,0,'Données projet'!$E$9+1,1))</f>
        <v>472.83070477639035</v>
      </c>
      <c r="T38" s="62">
        <f t="shared" si="34"/>
        <v>297.32483725004136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0.49395527011762974</v>
      </c>
      <c r="AA38" s="23">
        <f>EXP(-LN(2)/25)*AA37+(1-EXP(-LN(2)/25))/(LN(2)/25)*Calculateur!V38*Calculateur!X38*VLOOKUP('Données projet'!$B$9,Paramètres!$A$1:$I$89,3,0)*0.475*44/12</f>
        <v>2.2726933515999925</v>
      </c>
      <c r="AB38" s="23">
        <f>EXP(-LN(2)/2)*AB37+(1-EXP(-LN(2)/2))/(LN(2)/2)*V38*Y38*VLOOKUP('Données projet'!$B$9,Paramètres!$A$1:$I$89,3,0)*0.475*44/12</f>
        <v>0.55118970993655325</v>
      </c>
      <c r="AC38" s="24">
        <f t="shared" si="3"/>
        <v>3.3178383316541753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279.76</v>
      </c>
      <c r="AG38" s="13">
        <f>VLOOKUP(A38,'Données projet'!$A$61:$I$81,9,0)</f>
        <v>16.895999999999997</v>
      </c>
      <c r="AH38" s="13">
        <f t="array" ref="AH38">INDEX(AG:AG,MIN(IF(ISNUMBER(AG38:AG234),ROW(AG38:AG234),"")))</f>
        <v>16.895999999999997</v>
      </c>
      <c r="AI38" s="14">
        <f>IF('Données projet'!$A$62&gt;35,AI37+AH38-AQ37,IF(A38&lt;'Données projet'!$A$62,$AF$205^A38,IF(A38='Données projet'!$A$62,'Données projet'!$B$62,AI37+AH38-AQ37)))</f>
        <v>279.76</v>
      </c>
      <c r="AJ38" s="14">
        <f>AI38*VLOOKUP('Données projet'!$B$10,Paramètres!$A$1:$I$89,3,0)*VLOOKUP('Données projet'!$B$10,Paramètres!$A$1:$I$89,5,0)</f>
        <v>130.92768000000001</v>
      </c>
      <c r="AK38" s="14">
        <f t="shared" si="35"/>
        <v>34.210630151715954</v>
      </c>
      <c r="AL38" s="22">
        <f t="shared" si="4"/>
        <v>287.6158901809053</v>
      </c>
      <c r="AM38" s="62">
        <f t="shared" si="5"/>
        <v>531.26642290547977</v>
      </c>
      <c r="AN38" s="62">
        <f ca="1">AVERAGE(OFFSET($AM$3,0,0,'Données projet'!$E$10+1,1))-AVERAGE(OFFSET($H$3,0,0,'Données projet'!$E$10+1,1))</f>
        <v>348.76787471354476</v>
      </c>
      <c r="AO38" s="62">
        <f t="shared" si="36"/>
        <v>258.31503417978615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59.385225562404884</v>
      </c>
      <c r="BJ38" s="62">
        <f t="shared" si="38"/>
        <v>285.5244298970598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45.141135865766756</v>
      </c>
      <c r="BQ38" s="23">
        <f>EXP(-LN(2)/25)*BQ37+(1-EXP(-LN(2)/25))/(LN(2)/25)*Calculateur!BL38*Calculateur!BN38*VLOOKUP('Données projet'!$B$11,Paramètres!$A$1:$I$89,3,0)*0.475*44/12</f>
        <v>9.9814581738434711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55.122594039610227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147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147.00000000000006</v>
      </c>
      <c r="BZ38" s="14">
        <f>BY38*VLOOKUP('Données projet'!$B$12,Paramètres!$A$1:$I$89,3,0)*VLOOKUP('Données projet'!$B$12,Paramètres!$A$1:$I$89,5,0)</f>
        <v>149.05800000000008</v>
      </c>
      <c r="CA38" s="14">
        <f t="shared" si="39"/>
        <v>38.364434314370335</v>
      </c>
      <c r="CB38" s="22">
        <f t="shared" si="10"/>
        <v>326.42740643086182</v>
      </c>
      <c r="CC38" s="62">
        <f t="shared" si="11"/>
        <v>570.0779391554363</v>
      </c>
      <c r="CD38" s="62">
        <f ca="1">AVERAGE(OFFSET($CC$3,0,0,'Données projet'!$E$12+1,1))-AVERAGE(OFFSET($H$3,0,0,'Données projet'!$E$12+1,1))</f>
        <v>520.80494930257237</v>
      </c>
      <c r="CE38" s="62">
        <f t="shared" si="40"/>
        <v>325.72635759450861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28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0.55357056133872318</v>
      </c>
      <c r="CL38" s="23">
        <f>EXP(-LN(2)/25)*CL37+(1-EXP(-LN(2)/25))/(LN(2)/25)*Calculateur!CG38*Calculateur!CI38*VLOOKUP('Données projet'!$B$12,Paramètres!$A$1:$I$89,3,0)*0.475*44/12</f>
        <v>2.5469839285172329</v>
      </c>
      <c r="CM38" s="23">
        <f>EXP(-LN(2)/2)*CM37+(1-EXP(-LN(2)/2))/(LN(2)/2)*CG38*CJ38*VLOOKUP('Données projet'!$B$12,Paramètres!$A$1:$I$89,3,0)*0.475*44/12</f>
        <v>0.61771260596337851</v>
      </c>
      <c r="CN38" s="24">
        <f t="shared" si="12"/>
        <v>3.7182670958193347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503.96406639900437</v>
      </c>
      <c r="S39" s="62">
        <f ca="1">AVERAGE(OFFSET($R$3,0,0,'Données projet'!$E$9+1,1))-AVERAGE(OFFSET($H$3,0,0,'Données projet'!$E$9+1,1))</f>
        <v>472.83070477639035</v>
      </c>
      <c r="T39" s="62">
        <f t="shared" si="34"/>
        <v>297.32483725004136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0.48426910855358857</v>
      </c>
      <c r="AA39" s="23">
        <f>EXP(-LN(2)/25)*AA38+(1-EXP(-LN(2)/25))/(LN(2)/25)*Calculateur!V39*Calculateur!X39*VLOOKUP('Données projet'!$B$9,Paramètres!$A$1:$I$89,3,0)*0.475*44/12</f>
        <v>2.2105464323847417</v>
      </c>
      <c r="AB39" s="23">
        <f>EXP(-LN(2)/2)*AB38+(1-EXP(-LN(2)/2))/(LN(2)/2)*V39*Y39*VLOOKUP('Données projet'!$B$9,Paramètres!$A$1:$I$89,3,0)*0.475*44/12</f>
        <v>0.38974998161638297</v>
      </c>
      <c r="AC39" s="24">
        <f t="shared" si="3"/>
        <v>3.0845655225547133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19.571428571428573</v>
      </c>
      <c r="AI39" s="14">
        <f>IF('Données projet'!$A$62&gt;35,AI38+AH39-AQ38,IF(A39&lt;'Données projet'!$A$62,$AF$205^A39,IF(A39='Données projet'!$A$62,'Données projet'!$B$62,AI38+AH39-AQ38)))</f>
        <v>299.33142857142855</v>
      </c>
      <c r="AJ39" s="14">
        <f>AI39*VLOOKUP('Données projet'!$B$10,Paramètres!$A$1:$I$89,3,0)*VLOOKUP('Données projet'!$B$10,Paramètres!$A$1:$I$89,5,0)</f>
        <v>140.08710857142856</v>
      </c>
      <c r="AK39" s="14">
        <f t="shared" si="35"/>
        <v>36.316960123042108</v>
      </c>
      <c r="AL39" s="22">
        <f t="shared" si="4"/>
        <v>307.23708630953638</v>
      </c>
      <c r="AM39" s="62">
        <f t="shared" si="5"/>
        <v>551.7495045505708</v>
      </c>
      <c r="AN39" s="62">
        <f ca="1">AVERAGE(OFFSET($AM$3,0,0,'Données projet'!$E$10+1,1))-AVERAGE(OFFSET($H$3,0,0,'Données projet'!$E$10+1,1))</f>
        <v>348.76787471354476</v>
      </c>
      <c r="AO39" s="62">
        <f t="shared" si="36"/>
        <v>258.31503417978615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59.385225562404884</v>
      </c>
      <c r="BJ39" s="62">
        <f t="shared" si="38"/>
        <v>285.5244298970598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44.255945724813252</v>
      </c>
      <c r="BQ39" s="23">
        <f>EXP(-LN(2)/25)*BQ38+(1-EXP(-LN(2)/25))/(LN(2)/25)*Calculateur!BL39*Calculateur!BN39*VLOOKUP('Données projet'!$B$11,Paramètres!$A$1:$I$89,3,0)*0.475*44/12</f>
        <v>9.7085146751776481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53.964460399990898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130.20000000000005</v>
      </c>
      <c r="BZ39" s="14">
        <f>BY39*VLOOKUP('Données projet'!$B$12,Paramètres!$A$1:$I$89,3,0)*VLOOKUP('Données projet'!$B$12,Paramètres!$A$1:$I$89,5,0)</f>
        <v>132.02280000000007</v>
      </c>
      <c r="CA39" s="14">
        <f t="shared" si="39"/>
        <v>34.463348169992798</v>
      </c>
      <c r="CB39" s="22">
        <f t="shared" si="10"/>
        <v>289.96337472940422</v>
      </c>
      <c r="CC39" s="62">
        <f t="shared" si="11"/>
        <v>534.47579297043865</v>
      </c>
      <c r="CD39" s="62">
        <f ca="1">AVERAGE(OFFSET($CC$3,0,0,'Données projet'!$E$12+1,1))-AVERAGE(OFFSET($H$3,0,0,'Données projet'!$E$12+1,1))</f>
        <v>520.80494930257237</v>
      </c>
      <c r="CE39" s="62">
        <f t="shared" si="40"/>
        <v>325.72635759450861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0.54271538027557353</v>
      </c>
      <c r="CL39" s="23">
        <f>EXP(-LN(2)/25)*CL38+(1-EXP(-LN(2)/25))/(LN(2)/25)*Calculateur!CG39*Calculateur!CI39*VLOOKUP('Données projet'!$B$12,Paramètres!$A$1:$I$89,3,0)*0.475*44/12</f>
        <v>2.4773365190518657</v>
      </c>
      <c r="CM39" s="23">
        <f>EXP(-LN(2)/2)*CM38+(1-EXP(-LN(2)/2))/(LN(2)/2)*CG39*CJ39*VLOOKUP('Données projet'!$B$12,Paramètres!$A$1:$I$89,3,0)*0.475*44/12</f>
        <v>0.43678877250111875</v>
      </c>
      <c r="CN39" s="24">
        <f t="shared" si="12"/>
        <v>3.4568406718285578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526.56595364496309</v>
      </c>
      <c r="S40" s="62">
        <f ca="1">AVERAGE(OFFSET($R$3,0,0,'Données projet'!$E$9+1,1))-AVERAGE(OFFSET($H$3,0,0,'Données projet'!$E$9+1,1))</f>
        <v>472.83070477639035</v>
      </c>
      <c r="T40" s="62">
        <f t="shared" si="34"/>
        <v>297.32483725004136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0.47477288670984308</v>
      </c>
      <c r="AA40" s="23">
        <f>EXP(-LN(2)/25)*AA39+(1-EXP(-LN(2)/25))/(LN(2)/25)*Calculateur!V40*Calculateur!X40*VLOOKUP('Données projet'!$B$9,Paramètres!$A$1:$I$89,3,0)*0.475*44/12</f>
        <v>2.1500989239435961</v>
      </c>
      <c r="AB40" s="23">
        <f>EXP(-LN(2)/2)*AB39+(1-EXP(-LN(2)/2))/(LN(2)/2)*V40*Y40*VLOOKUP('Données projet'!$B$9,Paramètres!$A$1:$I$89,3,0)*0.475*44/12</f>
        <v>0.27559485496827663</v>
      </c>
      <c r="AC40" s="24">
        <f t="shared" si="3"/>
        <v>2.9004666656217157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19.571428571428573</v>
      </c>
      <c r="AI40" s="14">
        <f>IF('Données projet'!$A$62&gt;35,AI39+AH40-AQ39,IF(A40&lt;'Données projet'!$A$62,$AF$205^A40,IF(A40='Données projet'!$A$62,'Données projet'!$B$62,AI39+AH40-AQ39)))</f>
        <v>318.9028571428571</v>
      </c>
      <c r="AJ40" s="14">
        <f>AI40*VLOOKUP('Données projet'!$B$10,Paramètres!$A$1:$I$89,3,0)*VLOOKUP('Données projet'!$B$10,Paramètres!$A$1:$I$89,5,0)</f>
        <v>149.24653714285711</v>
      </c>
      <c r="AK40" s="14">
        <f t="shared" si="35"/>
        <v>38.40730833189388</v>
      </c>
      <c r="AL40" s="22">
        <f t="shared" si="4"/>
        <v>326.83044753519135</v>
      </c>
      <c r="AM40" s="62">
        <f t="shared" si="5"/>
        <v>572.18979950586242</v>
      </c>
      <c r="AN40" s="62">
        <f ca="1">AVERAGE(OFFSET($AM$3,0,0,'Données projet'!$E$10+1,1))-AVERAGE(OFFSET($H$3,0,0,'Données projet'!$E$10+1,1))</f>
        <v>348.76787471354476</v>
      </c>
      <c r="AO40" s="62">
        <f t="shared" si="36"/>
        <v>258.31503417978615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59.385225562404884</v>
      </c>
      <c r="BJ40" s="62">
        <f t="shared" si="38"/>
        <v>285.5244298970598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43.388113622611172</v>
      </c>
      <c r="BQ40" s="23">
        <f>EXP(-LN(2)/25)*BQ39+(1-EXP(-LN(2)/25))/(LN(2)/25)*Calculateur!BL40*Calculateur!BN40*VLOOKUP('Données projet'!$B$11,Paramètres!$A$1:$I$89,3,0)*0.475*44/12</f>
        <v>9.4430348308363179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52.83114845344749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141.40000000000003</v>
      </c>
      <c r="BZ40" s="14">
        <f>BY40*VLOOKUP('Données projet'!$B$12,Paramètres!$A$1:$I$89,3,0)*VLOOKUP('Données projet'!$B$12,Paramètres!$A$1:$I$89,5,0)</f>
        <v>143.37960000000004</v>
      </c>
      <c r="CA40" s="14">
        <f t="shared" si="39"/>
        <v>37.070146308317469</v>
      </c>
      <c r="CB40" s="22">
        <f t="shared" si="10"/>
        <v>314.28330815365302</v>
      </c>
      <c r="CC40" s="62">
        <f t="shared" si="11"/>
        <v>559.64266012432415</v>
      </c>
      <c r="CD40" s="62">
        <f ca="1">AVERAGE(OFFSET($CC$3,0,0,'Données projet'!$E$12+1,1))-AVERAGE(OFFSET($H$3,0,0,'Données projet'!$E$12+1,1))</f>
        <v>520.80494930257237</v>
      </c>
      <c r="CE40" s="62">
        <f t="shared" si="40"/>
        <v>325.72635759450861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0.53207306269206567</v>
      </c>
      <c r="CL40" s="23">
        <f>EXP(-LN(2)/25)*CL39+(1-EXP(-LN(2)/25))/(LN(2)/25)*Calculateur!CG40*Calculateur!CI40*VLOOKUP('Données projet'!$B$12,Paramètres!$A$1:$I$89,3,0)*0.475*44/12</f>
        <v>2.4095936216609268</v>
      </c>
      <c r="CM40" s="23">
        <f>EXP(-LN(2)/2)*CM39+(1-EXP(-LN(2)/2))/(LN(2)/2)*CG40*CJ40*VLOOKUP('Données projet'!$B$12,Paramètres!$A$1:$I$89,3,0)*0.475*44/12</f>
        <v>0.30885630298168926</v>
      </c>
      <c r="CN40" s="24">
        <f t="shared" si="12"/>
        <v>3.2505229873346817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549.11543057728045</v>
      </c>
      <c r="S41" s="62">
        <f ca="1">AVERAGE(OFFSET($R$3,0,0,'Données projet'!$E$9+1,1))-AVERAGE(OFFSET($H$3,0,0,'Données projet'!$E$9+1,1))</f>
        <v>472.83070477639035</v>
      </c>
      <c r="T41" s="62">
        <f t="shared" si="34"/>
        <v>297.32483725004136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0.46546287998433</v>
      </c>
      <c r="AA41" s="23">
        <f>EXP(-LN(2)/25)*AA40+(1-EXP(-LN(2)/25))/(LN(2)/25)*Calculateur!V41*Calculateur!X41*VLOOKUP('Données projet'!$B$9,Paramètres!$A$1:$I$89,3,0)*0.475*44/12</f>
        <v>2.0913043557995703</v>
      </c>
      <c r="AB41" s="23">
        <f>EXP(-LN(2)/2)*AB40+(1-EXP(-LN(2)/2))/(LN(2)/2)*V41*Y41*VLOOKUP('Données projet'!$B$9,Paramètres!$A$1:$I$89,3,0)*0.475*44/12</f>
        <v>0.19487499080819148</v>
      </c>
      <c r="AC41" s="24">
        <f t="shared" si="3"/>
        <v>2.7516422265920917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19.571428571428573</v>
      </c>
      <c r="AI41" s="14">
        <f>IF('Données projet'!$A$62&gt;35,AI40+AH41-AQ40,IF(A41&lt;'Données projet'!$A$62,$AF$205^A41,IF(A41='Données projet'!$A$62,'Données projet'!$B$62,AI40+AH41-AQ40)))</f>
        <v>338.47428571428566</v>
      </c>
      <c r="AJ41" s="14">
        <f>AI41*VLOOKUP('Données projet'!$B$10,Paramètres!$A$1:$I$89,3,0)*VLOOKUP('Données projet'!$B$10,Paramètres!$A$1:$I$89,5,0)</f>
        <v>158.40596571428568</v>
      </c>
      <c r="AK41" s="14">
        <f t="shared" si="35"/>
        <v>40.482767275652961</v>
      </c>
      <c r="AL41" s="22">
        <f t="shared" si="4"/>
        <v>346.39787662414318</v>
      </c>
      <c r="AM41" s="62">
        <f t="shared" si="5"/>
        <v>592.58946991770188</v>
      </c>
      <c r="AN41" s="62">
        <f ca="1">AVERAGE(OFFSET($AM$3,0,0,'Données projet'!$E$10+1,1))-AVERAGE(OFFSET($H$3,0,0,'Données projet'!$E$10+1,1))</f>
        <v>348.76787471354476</v>
      </c>
      <c r="AO41" s="62">
        <f t="shared" si="36"/>
        <v>258.31503417978615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59.385225562404884</v>
      </c>
      <c r="BJ41" s="62">
        <f t="shared" si="38"/>
        <v>285.5244298970598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42.53729917860796</v>
      </c>
      <c r="BQ41" s="23">
        <f>EXP(-LN(2)/25)*BQ40+(1-EXP(-LN(2)/25))/(LN(2)/25)*Calculateur!BL41*Calculateur!BN41*VLOOKUP('Données projet'!$B$11,Paramètres!$A$1:$I$89,3,0)*0.475*44/12</f>
        <v>9.1848145467994797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51.722113725407439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152.60000000000002</v>
      </c>
      <c r="BZ41" s="14">
        <f>BY41*VLOOKUP('Données projet'!$B$12,Paramètres!$A$1:$I$89,3,0)*VLOOKUP('Données projet'!$B$12,Paramètres!$A$1:$I$89,5,0)</f>
        <v>154.73640000000003</v>
      </c>
      <c r="CA41" s="14">
        <f t="shared" si="39"/>
        <v>39.652994320183701</v>
      </c>
      <c r="CB41" s="22">
        <f t="shared" si="10"/>
        <v>338.56152844098665</v>
      </c>
      <c r="CC41" s="62">
        <f t="shared" si="11"/>
        <v>584.7531217345454</v>
      </c>
      <c r="CD41" s="62">
        <f ca="1">AVERAGE(OFFSET($CC$3,0,0,'Données projet'!$E$12+1,1))-AVERAGE(OFFSET($H$3,0,0,'Données projet'!$E$12+1,1))</f>
        <v>520.80494930257237</v>
      </c>
      <c r="CE41" s="62">
        <f t="shared" si="40"/>
        <v>325.72635759450861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0.52163943446519756</v>
      </c>
      <c r="CL41" s="23">
        <f>EXP(-LN(2)/25)*CL40+(1-EXP(-LN(2)/25))/(LN(2)/25)*Calculateur!CG41*Calculateur!CI41*VLOOKUP('Données projet'!$B$12,Paramètres!$A$1:$I$89,3,0)*0.475*44/12</f>
        <v>2.3437031573615874</v>
      </c>
      <c r="CM41" s="23">
        <f>EXP(-LN(2)/2)*CM40+(1-EXP(-LN(2)/2))/(LN(2)/2)*CG41*CJ41*VLOOKUP('Données projet'!$B$12,Paramètres!$A$1:$I$89,3,0)*0.475*44/12</f>
        <v>0.21839438625055937</v>
      </c>
      <c r="CN41" s="24">
        <f t="shared" si="12"/>
        <v>3.0837369780773445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571.6158351683722</v>
      </c>
      <c r="S42" s="62">
        <f ca="1">AVERAGE(OFFSET($R$3,0,0,'Données projet'!$E$9+1,1))-AVERAGE(OFFSET($H$3,0,0,'Données projet'!$E$9+1,1))</f>
        <v>472.83070477639035</v>
      </c>
      <c r="T42" s="62">
        <f t="shared" si="34"/>
        <v>297.32483725004136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0.45633543681216088</v>
      </c>
      <c r="AA42" s="23">
        <f>EXP(-LN(2)/25)*AA41+(1-EXP(-LN(2)/25))/(LN(2)/25)*Calculateur!V42*Calculateur!X42*VLOOKUP('Données projet'!$B$9,Paramètres!$A$1:$I$89,3,0)*0.475*44/12</f>
        <v>2.0341175282133146</v>
      </c>
      <c r="AB42" s="23">
        <f>EXP(-LN(2)/2)*AB41+(1-EXP(-LN(2)/2))/(LN(2)/2)*V42*Y42*VLOOKUP('Données projet'!$B$9,Paramètres!$A$1:$I$89,3,0)*0.475*44/12</f>
        <v>0.13779742748413831</v>
      </c>
      <c r="AC42" s="24">
        <f t="shared" si="3"/>
        <v>2.6282503925096137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19.571428571428573</v>
      </c>
      <c r="AI42" s="14">
        <f>IF('Données projet'!$A$62&gt;35,AI41+AH42-AQ41,IF(A42&lt;'Données projet'!$A$62,$AF$205^A42,IF(A42='Données projet'!$A$62,'Données projet'!$B$62,AI41+AH42-AQ41)))</f>
        <v>358.04571428571421</v>
      </c>
      <c r="AJ42" s="14">
        <f>AI42*VLOOKUP('Données projet'!$B$10,Paramètres!$A$1:$I$89,3,0)*VLOOKUP('Données projet'!$B$10,Paramètres!$A$1:$I$89,5,0)</f>
        <v>167.56539428571426</v>
      </c>
      <c r="AK42" s="14">
        <f t="shared" si="35"/>
        <v>42.544295973339878</v>
      </c>
      <c r="AL42" s="22">
        <f t="shared" si="4"/>
        <v>365.94104386785261</v>
      </c>
      <c r="AM42" s="62">
        <f t="shared" si="5"/>
        <v>612.9504409579597</v>
      </c>
      <c r="AN42" s="62">
        <f ca="1">AVERAGE(OFFSET($AM$3,0,0,'Données projet'!$E$10+1,1))-AVERAGE(OFFSET($H$3,0,0,'Données projet'!$E$10+1,1))</f>
        <v>348.76787471354476</v>
      </c>
      <c r="AO42" s="62">
        <f t="shared" si="36"/>
        <v>258.31503417978615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59.385225562404884</v>
      </c>
      <c r="BJ42" s="62">
        <f t="shared" si="38"/>
        <v>285.5244298970598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41.703168686906082</v>
      </c>
      <c r="BQ42" s="23">
        <f>EXP(-LN(2)/25)*BQ41+(1-EXP(-LN(2)/25))/(LN(2)/25)*Calculateur!BL42*Calculateur!BN42*VLOOKUP('Données projet'!$B$11,Paramètres!$A$1:$I$89,3,0)*0.475*44/12</f>
        <v>8.9336553100088434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50.636823996914927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163.80000000000001</v>
      </c>
      <c r="BZ42" s="14">
        <f>BY42*VLOOKUP('Données projet'!$B$12,Paramètres!$A$1:$I$89,3,0)*VLOOKUP('Données projet'!$B$12,Paramètres!$A$1:$I$89,5,0)</f>
        <v>166.09320000000002</v>
      </c>
      <c r="CA42" s="14">
        <f t="shared" si="39"/>
        <v>42.213849908165905</v>
      </c>
      <c r="CB42" s="22">
        <f t="shared" si="10"/>
        <v>362.80144525672227</v>
      </c>
      <c r="CC42" s="62">
        <f t="shared" si="11"/>
        <v>609.81084234682942</v>
      </c>
      <c r="CD42" s="62">
        <f ca="1">AVERAGE(OFFSET($CC$3,0,0,'Données projet'!$E$12+1,1))-AVERAGE(OFFSET($H$3,0,0,'Données projet'!$E$12+1,1))</f>
        <v>520.80494930257237</v>
      </c>
      <c r="CE42" s="62">
        <f t="shared" si="40"/>
        <v>325.72635759450861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0.51141040332397347</v>
      </c>
      <c r="CL42" s="23">
        <f>EXP(-LN(2)/25)*CL41+(1-EXP(-LN(2)/25))/(LN(2)/25)*Calculateur!CG42*Calculateur!CI42*VLOOKUP('Données projet'!$B$12,Paramètres!$A$1:$I$89,3,0)*0.475*44/12</f>
        <v>2.2796144712735424</v>
      </c>
      <c r="CM42" s="23">
        <f>EXP(-LN(2)/2)*CM41+(1-EXP(-LN(2)/2))/(LN(2)/2)*CG42*CJ42*VLOOKUP('Données projet'!$B$12,Paramètres!$A$1:$I$89,3,0)*0.475*44/12</f>
        <v>0.15442815149084463</v>
      </c>
      <c r="CN42" s="24">
        <f t="shared" si="12"/>
        <v>2.9454530260883605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594.07005548449115</v>
      </c>
      <c r="S43" s="62">
        <f ca="1">AVERAGE(OFFSET($R$3,0,0,'Données projet'!$E$9+1,1))-AVERAGE(OFFSET($H$3,0,0,'Données projet'!$E$9+1,1))</f>
        <v>472.83070477639035</v>
      </c>
      <c r="T43" s="62">
        <f t="shared" si="34"/>
        <v>297.32483725004136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0.44738697723340737</v>
      </c>
      <c r="AA43" s="23">
        <f>EXP(-LN(2)/25)*AA42+(1-EXP(-LN(2)/25))/(LN(2)/25)*Calculateur!V43*Calculateur!X43*VLOOKUP('Données projet'!$B$9,Paramètres!$A$1:$I$89,3,0)*0.475*44/12</f>
        <v>1.9784944774347297</v>
      </c>
      <c r="AB43" s="23">
        <f>EXP(-LN(2)/2)*AB42+(1-EXP(-LN(2)/2))/(LN(2)/2)*V43*Y43*VLOOKUP('Données projet'!$B$9,Paramètres!$A$1:$I$89,3,0)*0.475*44/12</f>
        <v>9.7437495404095742E-2</v>
      </c>
      <c r="AC43" s="24">
        <f t="shared" si="3"/>
        <v>2.5233189500722331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19.571428571428573</v>
      </c>
      <c r="AI43" s="14">
        <f>IF('Données projet'!$A$62&gt;35,AI42+AH43-AQ42,IF(A43&lt;'Données projet'!$A$62,$AF$205^A43,IF(A43='Données projet'!$A$62,'Données projet'!$B$62,AI42+AH43-AQ42)))</f>
        <v>377.61714285714277</v>
      </c>
      <c r="AJ43" s="14">
        <f>AI43*VLOOKUP('Données projet'!$B$10,Paramètres!$A$1:$I$89,3,0)*VLOOKUP('Données projet'!$B$10,Paramètres!$A$1:$I$89,5,0)</f>
        <v>176.72482285714281</v>
      </c>
      <c r="AK43" s="14">
        <f t="shared" si="35"/>
        <v>44.59274267918078</v>
      </c>
      <c r="AL43" s="22">
        <f t="shared" si="4"/>
        <v>385.46142664243024</v>
      </c>
      <c r="AM43" s="62">
        <f t="shared" si="5"/>
        <v>633.27444046155108</v>
      </c>
      <c r="AN43" s="62">
        <f ca="1">AVERAGE(OFFSET($AM$3,0,0,'Données projet'!$E$10+1,1))-AVERAGE(OFFSET($H$3,0,0,'Données projet'!$E$10+1,1))</f>
        <v>348.76787471354476</v>
      </c>
      <c r="AO43" s="62">
        <f t="shared" si="36"/>
        <v>258.31503417978615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59.385225562404884</v>
      </c>
      <c r="BJ43" s="62">
        <f t="shared" si="38"/>
        <v>285.5244298970598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40.885394985377111</v>
      </c>
      <c r="BQ43" s="23">
        <f>EXP(-LN(2)/25)*BQ42+(1-EXP(-LN(2)/25))/(LN(2)/25)*Calculateur!BL43*Calculateur!BN43*VLOOKUP('Données projet'!$B$11,Paramètres!$A$1:$I$89,3,0)*0.475*44/12</f>
        <v>8.689364035756137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49.574759021133247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</v>
      </c>
      <c r="BZ43" s="14">
        <f>BY43*VLOOKUP('Données projet'!$B$12,Paramètres!$A$1:$I$89,3,0)*VLOOKUP('Données projet'!$B$12,Paramètres!$A$1:$I$89,5,0)</f>
        <v>177.45000000000002</v>
      </c>
      <c r="CA43" s="14">
        <f t="shared" si="39"/>
        <v>44.754387900936791</v>
      </c>
      <c r="CB43" s="22">
        <f t="shared" si="10"/>
        <v>387.0059755941316</v>
      </c>
      <c r="CC43" s="62">
        <f t="shared" si="11"/>
        <v>634.81898941325244</v>
      </c>
      <c r="CD43" s="62">
        <f ca="1">AVERAGE(OFFSET($CC$3,0,0,'Données projet'!$E$12+1,1))-AVERAGE(OFFSET($H$3,0,0,'Données projet'!$E$12+1,1))</f>
        <v>520.80494930257237</v>
      </c>
      <c r="CE43" s="62">
        <f t="shared" si="40"/>
        <v>325.72635759450861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0.50138195724433587</v>
      </c>
      <c r="CL43" s="23">
        <f>EXP(-LN(2)/25)*CL42+(1-EXP(-LN(2)/25))/(LN(2)/25)*Calculateur!CG43*Calculateur!CI43*VLOOKUP('Données projet'!$B$12,Paramètres!$A$1:$I$89,3,0)*0.475*44/12</f>
        <v>2.2172782936768525</v>
      </c>
      <c r="CM43" s="23">
        <f>EXP(-LN(2)/2)*CM42+(1-EXP(-LN(2)/2))/(LN(2)/2)*CG43*CJ43*VLOOKUP('Données projet'!$B$12,Paramètres!$A$1:$I$89,3,0)*0.475*44/12</f>
        <v>0.10919719312527969</v>
      </c>
      <c r="CN43" s="24">
        <f t="shared" si="12"/>
        <v>2.8278574440464683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562.75916455140862</v>
      </c>
      <c r="S44" s="62">
        <f ca="1">AVERAGE(OFFSET($R$3,0,0,'Données projet'!$E$9+1,1))-AVERAGE(OFFSET($H$3,0,0,'Données projet'!$E$9+1,1))</f>
        <v>472.83070477639035</v>
      </c>
      <c r="T44" s="62">
        <f t="shared" si="34"/>
        <v>297.32483725004136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0.43861399148897179</v>
      </c>
      <c r="AA44" s="23">
        <f>EXP(-LN(2)/25)*AA43+(1-EXP(-LN(2)/25))/(LN(2)/25)*Calculateur!V44*Calculateur!X44*VLOOKUP('Données projet'!$B$9,Paramètres!$A$1:$I$89,3,0)*0.475*44/12</f>
        <v>1.9243924419047744</v>
      </c>
      <c r="AB44" s="23">
        <f>EXP(-LN(2)/2)*AB43+(1-EXP(-LN(2)/2))/(LN(2)/2)*V44*Y44*VLOOKUP('Données projet'!$B$9,Paramètres!$A$1:$I$89,3,0)*0.475*44/12</f>
        <v>6.8898713742069156E-2</v>
      </c>
      <c r="AC44" s="24">
        <f t="shared" si="3"/>
        <v>2.4319051471358155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19.571428571428573</v>
      </c>
      <c r="AI44" s="14">
        <f>IF('Données projet'!$A$62&gt;35,AI43+AH44-AQ43,IF(A44&lt;'Données projet'!$A$62,$AF$205^A44,IF(A44='Données projet'!$A$62,'Données projet'!$B$62,AI43+AH44-AQ43)))</f>
        <v>397.18857142857132</v>
      </c>
      <c r="AJ44" s="14">
        <f>AI44*VLOOKUP('Données projet'!$B$10,Paramètres!$A$1:$I$89,3,0)*VLOOKUP('Données projet'!$B$10,Paramètres!$A$1:$I$89,5,0)</f>
        <v>185.88425142857139</v>
      </c>
      <c r="AK44" s="14">
        <f t="shared" si="35"/>
        <v>46.628862753142343</v>
      </c>
      <c r="AL44" s="22">
        <f t="shared" si="4"/>
        <v>404.9603405331514</v>
      </c>
      <c r="AM44" s="62">
        <f t="shared" si="5"/>
        <v>653.56303012765534</v>
      </c>
      <c r="AN44" s="62">
        <f ca="1">AVERAGE(OFFSET($AM$3,0,0,'Données projet'!$E$10+1,1))-AVERAGE(OFFSET($H$3,0,0,'Données projet'!$E$10+1,1))</f>
        <v>348.76787471354476</v>
      </c>
      <c r="AO44" s="62">
        <f t="shared" si="36"/>
        <v>258.31503417978615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59.385225562404884</v>
      </c>
      <c r="BJ44" s="62">
        <f t="shared" si="38"/>
        <v>285.5244298970598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40.083657327342422</v>
      </c>
      <c r="BQ44" s="23">
        <f>EXP(-LN(2)/25)*BQ43+(1-EXP(-LN(2)/25))/(LN(2)/25)*Calculateur!BL44*Calculateur!BN44*VLOOKUP('Données projet'!$B$11,Paramètres!$A$1:$I$89,3,0)*0.475*44/12</f>
        <v>8.4517529192445906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48.535410246587013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158.4</v>
      </c>
      <c r="BZ44" s="14">
        <f>BY44*VLOOKUP('Données projet'!$B$12,Paramètres!$A$1:$I$89,3,0)*VLOOKUP('Données projet'!$B$12,Paramètres!$A$1:$I$89,5,0)</f>
        <v>160.61760000000001</v>
      </c>
      <c r="CA44" s="14">
        <f t="shared" si="39"/>
        <v>40.981785561145074</v>
      </c>
      <c r="CB44" s="22">
        <f t="shared" si="10"/>
        <v>351.11892985232771</v>
      </c>
      <c r="CC44" s="62">
        <f t="shared" si="11"/>
        <v>599.72161944683171</v>
      </c>
      <c r="CD44" s="62">
        <f ca="1">AVERAGE(OFFSET($CC$3,0,0,'Données projet'!$E$12+1,1))-AVERAGE(OFFSET($H$3,0,0,'Données projet'!$E$12+1,1))</f>
        <v>520.80494930257237</v>
      </c>
      <c r="CE44" s="62">
        <f t="shared" si="40"/>
        <v>325.72635759450861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0.49155016287557185</v>
      </c>
      <c r="CL44" s="23">
        <f>EXP(-LN(2)/25)*CL43+(1-EXP(-LN(2)/25))/(LN(2)/25)*Calculateur!CG44*Calculateur!CI44*VLOOKUP('Données projet'!$B$12,Paramètres!$A$1:$I$89,3,0)*0.475*44/12</f>
        <v>2.1566467021346609</v>
      </c>
      <c r="CM44" s="23">
        <f>EXP(-LN(2)/2)*CM43+(1-EXP(-LN(2)/2))/(LN(2)/2)*CG44*CJ44*VLOOKUP('Données projet'!$B$12,Paramètres!$A$1:$I$89,3,0)*0.475*44/12</f>
        <v>7.7214075745422314E-2</v>
      </c>
      <c r="CN44" s="24">
        <f t="shared" si="12"/>
        <v>2.7254109407556553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585.58746857823087</v>
      </c>
      <c r="S45" s="62">
        <f ca="1">AVERAGE(OFFSET($R$3,0,0,'Données projet'!$E$9+1,1))-AVERAGE(OFFSET($H$3,0,0,'Données projet'!$E$9+1,1))</f>
        <v>472.83070477639035</v>
      </c>
      <c r="T45" s="62">
        <f t="shared" si="34"/>
        <v>297.32483725004136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0.43001303864399165</v>
      </c>
      <c r="AA45" s="23">
        <f>EXP(-LN(2)/25)*AA44+(1-EXP(-LN(2)/25))/(LN(2)/25)*Calculateur!V45*Calculateur!X45*VLOOKUP('Données projet'!$B$9,Paramètres!$A$1:$I$89,3,0)*0.475*44/12</f>
        <v>1.8717698293814882</v>
      </c>
      <c r="AB45" s="23">
        <f>EXP(-LN(2)/2)*AB44+(1-EXP(-LN(2)/2))/(LN(2)/2)*V45*Y45*VLOOKUP('Données projet'!$B$9,Paramètres!$A$1:$I$89,3,0)*0.475*44/12</f>
        <v>4.8718747702047871E-2</v>
      </c>
      <c r="AC45" s="24">
        <f t="shared" si="3"/>
        <v>2.3505016157275276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416.76</v>
      </c>
      <c r="AG45" s="13">
        <f>VLOOKUP(A45,'Données projet'!$A$61:$I$81,9,0)</f>
        <v>19.571428571428573</v>
      </c>
      <c r="AH45" s="13">
        <f t="array" ref="AH45">INDEX(AG:AG,MIN(IF(ISNUMBER(AG45:AG241),ROW(AG45:AG241),"")))</f>
        <v>19.571428571428573</v>
      </c>
      <c r="AI45" s="14">
        <f>IF('Données projet'!$A$62&gt;35,AI44+AH45-AQ44,IF(A45&lt;'Données projet'!$A$62,$AF$205^A45,IF(A45='Données projet'!$A$62,'Données projet'!$B$62,AI44+AH45-AQ44)))</f>
        <v>416.75999999999988</v>
      </c>
      <c r="AJ45" s="14">
        <f>AI45*VLOOKUP('Données projet'!$B$10,Paramètres!$A$1:$I$89,3,0)*VLOOKUP('Données projet'!$B$10,Paramètres!$A$1:$I$89,5,0)</f>
        <v>195.04367999999994</v>
      </c>
      <c r="AK45" s="14">
        <f t="shared" si="35"/>
        <v>48.65333290919024</v>
      </c>
      <c r="AL45" s="22">
        <f t="shared" si="4"/>
        <v>424.43896415017292</v>
      </c>
      <c r="AM45" s="62">
        <f t="shared" si="5"/>
        <v>673.81763041080762</v>
      </c>
      <c r="AN45" s="62">
        <f ca="1">AVERAGE(OFFSET($AM$3,0,0,'Données projet'!$E$10+1,1))-AVERAGE(OFFSET($H$3,0,0,'Données projet'!$E$10+1,1))</f>
        <v>348.76787471354476</v>
      </c>
      <c r="AO45" s="62">
        <f t="shared" si="36"/>
        <v>258.31503417978615</v>
      </c>
      <c r="AP45" s="16">
        <f>IF(ISNA(VLOOKUP(A45,'Données projet'!$A$61:$I$81,3,0)),0,VLOOKUP(A45,'Données projet'!$A$61:$I$81,3,0))</f>
        <v>3</v>
      </c>
      <c r="AQ45" s="16">
        <f>IF(ISNA(VLOOKUP(A45,'Données projet'!$A$61:$I$81,4,0)),0,VLOOKUP(A45,'Données projet'!$A$61:$I$81,4,0))</f>
        <v>182.39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59.385225562404884</v>
      </c>
      <c r="BJ45" s="62">
        <f t="shared" si="38"/>
        <v>285.5244298970598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39.29764125577011</v>
      </c>
      <c r="BQ45" s="23">
        <f>EXP(-LN(2)/25)*BQ44+(1-EXP(-LN(2)/25))/(LN(2)/25)*Calculateur!BL45*Calculateur!BN45*VLOOKUP('Données projet'!$B$11,Paramètres!$A$1:$I$89,3,0)*0.475*44/12</f>
        <v>8.2206392912094781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47.518280546979589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169.8</v>
      </c>
      <c r="BZ45" s="14">
        <f>BY45*VLOOKUP('Données projet'!$B$12,Paramètres!$A$1:$I$89,3,0)*VLOOKUP('Données projet'!$B$12,Paramètres!$A$1:$I$89,5,0)</f>
        <v>172.1772</v>
      </c>
      <c r="CA45" s="14">
        <f t="shared" si="39"/>
        <v>43.577282221917017</v>
      </c>
      <c r="CB45" s="22">
        <f t="shared" si="10"/>
        <v>375.77238986983883</v>
      </c>
      <c r="CC45" s="62">
        <f t="shared" si="11"/>
        <v>625.15105613047353</v>
      </c>
      <c r="CD45" s="62">
        <f ca="1">AVERAGE(OFFSET($CC$3,0,0,'Données projet'!$E$12+1,1))-AVERAGE(OFFSET($H$3,0,0,'Données projet'!$E$12+1,1))</f>
        <v>520.80494930257237</v>
      </c>
      <c r="CE45" s="62">
        <f t="shared" si="40"/>
        <v>325.72635759450861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0.48191116399757689</v>
      </c>
      <c r="CL45" s="23">
        <f>EXP(-LN(2)/25)*CL44+(1-EXP(-LN(2)/25))/(LN(2)/25)*Calculateur!CG45*Calculateur!CI45*VLOOKUP('Données projet'!$B$12,Paramètres!$A$1:$I$89,3,0)*0.475*44/12</f>
        <v>2.0976730846516678</v>
      </c>
      <c r="CM45" s="23">
        <f>EXP(-LN(2)/2)*CM44+(1-EXP(-LN(2)/2))/(LN(2)/2)*CG45*CJ45*VLOOKUP('Données projet'!$B$12,Paramètres!$A$1:$I$89,3,0)*0.475*44/12</f>
        <v>5.4598596562639844E-2</v>
      </c>
      <c r="CN45" s="24">
        <f t="shared" si="12"/>
        <v>2.6341828452118845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608.37046704726299</v>
      </c>
      <c r="S46" s="62">
        <f ca="1">AVERAGE(OFFSET($R$3,0,0,'Données projet'!$E$9+1,1))-AVERAGE(OFFSET($H$3,0,0,'Données projet'!$E$9+1,1))</f>
        <v>472.83070477639035</v>
      </c>
      <c r="T46" s="62">
        <f t="shared" si="34"/>
        <v>297.32483725004136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0.42158074523823835</v>
      </c>
      <c r="AA46" s="23">
        <f>EXP(-LN(2)/25)*AA45+(1-EXP(-LN(2)/25))/(LN(2)/25)*Calculateur!V46*Calculateur!X46*VLOOKUP('Données projet'!$B$9,Paramètres!$A$1:$I$89,3,0)*0.475*44/12</f>
        <v>1.8205861849649541</v>
      </c>
      <c r="AB46" s="23">
        <f>EXP(-LN(2)/2)*AB45+(1-EXP(-LN(2)/2))/(LN(2)/2)*V46*Y46*VLOOKUP('Données projet'!$B$9,Paramètres!$A$1:$I$89,3,0)*0.475*44/12</f>
        <v>3.4449356871034578E-2</v>
      </c>
      <c r="AC46" s="24">
        <f t="shared" si="3"/>
        <v>2.2766162870742268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>
        <f>VLOOKUP(A46,'Données projet'!$A$61:$I$81,2,0)</f>
        <v>255.68</v>
      </c>
      <c r="AG46" s="13">
        <f>VLOOKUP(A46,'Données projet'!$A$61:$I$81,9,0)</f>
        <v>21.310000000000002</v>
      </c>
      <c r="AH46" s="13">
        <f t="array" ref="AH46">INDEX(AG:AG,MIN(IF(ISNUMBER(AG46:AG242),ROW(AG46:AG242),"")))</f>
        <v>21.310000000000002</v>
      </c>
      <c r="AI46" s="14">
        <f>IF('Données projet'!$A$62&gt;35,AI45+AH46-AQ45,IF(A46&lt;'Données projet'!$A$62,$AF$205^A46,IF(A46='Données projet'!$A$62,'Données projet'!$B$62,AI45+AH46-AQ45)))</f>
        <v>255.67999999999989</v>
      </c>
      <c r="AJ46" s="14">
        <f>AI46*VLOOKUP('Données projet'!$B$10,Paramètres!$A$1:$I$89,3,0)*VLOOKUP('Données projet'!$B$10,Paramètres!$A$1:$I$89,5,0)</f>
        <v>119.65823999999994</v>
      </c>
      <c r="AK46" s="14">
        <f t="shared" si="35"/>
        <v>31.595276160231307</v>
      </c>
      <c r="AL46" s="22">
        <f t="shared" si="4"/>
        <v>263.43320731240277</v>
      </c>
      <c r="AM46" s="62">
        <f t="shared" si="5"/>
        <v>513.57438877883487</v>
      </c>
      <c r="AN46" s="62">
        <f ca="1">AVERAGE(OFFSET($AM$3,0,0,'Données projet'!$E$10+1,1))-AVERAGE(OFFSET($H$3,0,0,'Données projet'!$E$10+1,1))</f>
        <v>348.76787471354476</v>
      </c>
      <c r="AO46" s="62">
        <f t="shared" si="36"/>
        <v>258.31503417978615</v>
      </c>
      <c r="AP46" s="16">
        <f>IF(ISNA(VLOOKUP(A46,'Données projet'!$A$61:$I$81,3,0)),0,VLOOKUP(A46,'Données projet'!$A$61:$I$81,3,0))</f>
        <v>4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59.385225562404884</v>
      </c>
      <c r="BJ46" s="62">
        <f t="shared" si="38"/>
        <v>285.5244298970598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38.527038479938859</v>
      </c>
      <c r="BQ46" s="23">
        <f>EXP(-LN(2)/25)*BQ45+(1-EXP(-LN(2)/25))/(LN(2)/25)*Calculateur!BL46*Calculateur!BN46*VLOOKUP('Données projet'!$B$11,Paramètres!$A$1:$I$89,3,0)*0.475*44/12</f>
        <v>7.9958454774867231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46.522883957425584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181.20000000000002</v>
      </c>
      <c r="BZ46" s="14">
        <f>BY46*VLOOKUP('Données projet'!$B$12,Paramètres!$A$1:$I$89,3,0)*VLOOKUP('Données projet'!$B$12,Paramètres!$A$1:$I$89,5,0)</f>
        <v>183.73680000000002</v>
      </c>
      <c r="CA46" s="14">
        <f t="shared" si="39"/>
        <v>46.152558509293854</v>
      </c>
      <c r="CB46" s="22">
        <f t="shared" si="10"/>
        <v>400.3906327370201</v>
      </c>
      <c r="CC46" s="62">
        <f t="shared" si="11"/>
        <v>650.53181420345209</v>
      </c>
      <c r="CD46" s="62">
        <f ca="1">AVERAGE(OFFSET($CC$3,0,0,'Données projet'!$E$12+1,1))-AVERAGE(OFFSET($H$3,0,0,'Données projet'!$E$12+1,1))</f>
        <v>520.80494930257237</v>
      </c>
      <c r="CE46" s="62">
        <f t="shared" si="40"/>
        <v>325.72635759450861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0.47246118000837062</v>
      </c>
      <c r="CL46" s="23">
        <f>EXP(-LN(2)/25)*CL45+(1-EXP(-LN(2)/25))/(LN(2)/25)*Calculateur!CG46*Calculateur!CI46*VLOOKUP('Données projet'!$B$12,Paramètres!$A$1:$I$89,3,0)*0.475*44/12</f>
        <v>2.0403121038400349</v>
      </c>
      <c r="CM46" s="23">
        <f>EXP(-LN(2)/2)*CM45+(1-EXP(-LN(2)/2))/(LN(2)/2)*CG46*CJ46*VLOOKUP('Données projet'!$B$12,Paramètres!$A$1:$I$89,3,0)*0.475*44/12</f>
        <v>3.8607037872711157E-2</v>
      </c>
      <c r="CN46" s="24">
        <f t="shared" si="12"/>
        <v>2.5513803217211164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631.11062498731712</v>
      </c>
      <c r="S47" s="62">
        <f ca="1">AVERAGE(OFFSET($R$3,0,0,'Données projet'!$E$9+1,1))-AVERAGE(OFFSET($H$3,0,0,'Données projet'!$E$9+1,1))</f>
        <v>472.83070477639035</v>
      </c>
      <c r="T47" s="62">
        <f t="shared" si="34"/>
        <v>297.32483725004136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0.41331380396298073</v>
      </c>
      <c r="AA47" s="23">
        <f>EXP(-LN(2)/25)*AA46+(1-EXP(-LN(2)/25))/(LN(2)/25)*Calculateur!V47*Calculateur!X47*VLOOKUP('Données projet'!$B$9,Paramètres!$A$1:$I$89,3,0)*0.475*44/12</f>
        <v>1.7708021599966208</v>
      </c>
      <c r="AB47" s="23">
        <f>EXP(-LN(2)/2)*AB46+(1-EXP(-LN(2)/2))/(LN(2)/2)*V47*Y47*VLOOKUP('Données projet'!$B$9,Paramètres!$A$1:$I$89,3,0)*0.475*44/12</f>
        <v>2.4359373851023935E-2</v>
      </c>
      <c r="AC47" s="24">
        <f t="shared" si="3"/>
        <v>2.2084753378106257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17.596666666666664</v>
      </c>
      <c r="AI47" s="14">
        <f>IF('Données projet'!$A$62&gt;35,AI46+AH47-AQ46,IF(A47&lt;'Données projet'!$A$62,$AF$205^A47,IF(A47='Données projet'!$A$62,'Données projet'!$B$62,AI46+AH47-AQ46)))</f>
        <v>273.27666666666653</v>
      </c>
      <c r="AJ47" s="14">
        <f>AI47*VLOOKUP('Données projet'!$B$10,Paramètres!$A$1:$I$89,3,0)*VLOOKUP('Données projet'!$B$10,Paramètres!$A$1:$I$89,5,0)</f>
        <v>127.89347999999994</v>
      </c>
      <c r="AK47" s="14">
        <f t="shared" si="35"/>
        <v>33.509142571930816</v>
      </c>
      <c r="AL47" s="22">
        <f t="shared" si="4"/>
        <v>281.10956764611268</v>
      </c>
      <c r="AM47" s="62">
        <f t="shared" si="5"/>
        <v>532.00003638425005</v>
      </c>
      <c r="AN47" s="62">
        <f ca="1">AVERAGE(OFFSET($AM$3,0,0,'Données projet'!$E$10+1,1))-AVERAGE(OFFSET($H$3,0,0,'Données projet'!$E$10+1,1))</f>
        <v>348.76787471354476</v>
      </c>
      <c r="AO47" s="62">
        <f t="shared" si="36"/>
        <v>258.31503417978615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59.385225562404884</v>
      </c>
      <c r="BJ47" s="62">
        <f t="shared" si="38"/>
        <v>285.5244298970598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37.771546754520379</v>
      </c>
      <c r="BQ47" s="23">
        <f>EXP(-LN(2)/25)*BQ46+(1-EXP(-LN(2)/25))/(LN(2)/25)*Calculateur!BL47*Calculateur!BN47*VLOOKUP('Données projet'!$B$11,Paramètres!$A$1:$I$89,3,0)*0.475*44/12</f>
        <v>7.7771986624216094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45.548745416941991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192.60000000000002</v>
      </c>
      <c r="BZ47" s="14">
        <f>BY47*VLOOKUP('Données projet'!$B$12,Paramètres!$A$1:$I$89,3,0)*VLOOKUP('Données projet'!$B$12,Paramètres!$A$1:$I$89,5,0)</f>
        <v>195.29640000000003</v>
      </c>
      <c r="CA47" s="14">
        <f t="shared" si="39"/>
        <v>48.709031383366153</v>
      </c>
      <c r="CB47" s="22">
        <f t="shared" si="10"/>
        <v>424.97612632602949</v>
      </c>
      <c r="CC47" s="62">
        <f t="shared" si="11"/>
        <v>675.86659506416686</v>
      </c>
      <c r="CD47" s="62">
        <f ca="1">AVERAGE(OFFSET($CC$3,0,0,'Données projet'!$E$12+1,1))-AVERAGE(OFFSET($H$3,0,0,'Données projet'!$E$12+1,1))</f>
        <v>520.80494930257237</v>
      </c>
      <c r="CE47" s="62">
        <f t="shared" si="40"/>
        <v>325.72635759450861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0.46319650444127158</v>
      </c>
      <c r="CL47" s="23">
        <f>EXP(-LN(2)/25)*CL46+(1-EXP(-LN(2)/25))/(LN(2)/25)*Calculateur!CG47*Calculateur!CI47*VLOOKUP('Données projet'!$B$12,Paramètres!$A$1:$I$89,3,0)*0.475*44/12</f>
        <v>1.9845196620651788</v>
      </c>
      <c r="CM47" s="23">
        <f>EXP(-LN(2)/2)*CM46+(1-EXP(-LN(2)/2))/(LN(2)/2)*CG47*CJ47*VLOOKUP('Données projet'!$B$12,Paramètres!$A$1:$I$89,3,0)*0.475*44/12</f>
        <v>2.7299298281319922E-2</v>
      </c>
      <c r="CN47" s="24">
        <f t="shared" si="12"/>
        <v>2.47501546478777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653.81012428716633</v>
      </c>
      <c r="S48" s="62">
        <f ca="1">AVERAGE(OFFSET($R$3,0,0,'Données projet'!$E$9+1,1))-AVERAGE(OFFSET($H$3,0,0,'Données projet'!$E$9+1,1))</f>
        <v>472.83070477639035</v>
      </c>
      <c r="T48" s="62">
        <f t="shared" si="34"/>
        <v>297.32483725004136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0.40520897236379461</v>
      </c>
      <c r="AA48" s="23">
        <f>EXP(-LN(2)/25)*AA47+(1-EXP(-LN(2)/25))/(LN(2)/25)*Calculateur!V48*Calculateur!X48*VLOOKUP('Données projet'!$B$9,Paramètres!$A$1:$I$89,3,0)*0.475*44/12</f>
        <v>1.722379481809075</v>
      </c>
      <c r="AB48" s="23">
        <f>EXP(-LN(2)/2)*AB47+(1-EXP(-LN(2)/2))/(LN(2)/2)*V48*Y48*VLOOKUP('Données projet'!$B$9,Paramètres!$A$1:$I$89,3,0)*0.475*44/12</f>
        <v>1.7224678435517289E-2</v>
      </c>
      <c r="AC48" s="24">
        <f t="shared" si="3"/>
        <v>2.1448131326083866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17.596666666666664</v>
      </c>
      <c r="AI48" s="14">
        <f>IF('Données projet'!$A$62&gt;35,AI47+AH48-AQ47,IF(A48&lt;'Données projet'!$A$62,$AF$205^A48,IF(A48='Données projet'!$A$62,'Données projet'!$B$62,AI47+AH48-AQ47)))</f>
        <v>290.87333333333322</v>
      </c>
      <c r="AJ48" s="14">
        <f>AI48*VLOOKUP('Données projet'!$B$10,Paramètres!$A$1:$I$89,3,0)*VLOOKUP('Données projet'!$B$10,Paramètres!$A$1:$I$89,5,0)</f>
        <v>136.12871999999996</v>
      </c>
      <c r="AK48" s="14">
        <f t="shared" si="35"/>
        <v>35.408707445510458</v>
      </c>
      <c r="AL48" s="22">
        <f t="shared" si="4"/>
        <v>298.76101946759735</v>
      </c>
      <c r="AM48" s="62">
        <f t="shared" si="5"/>
        <v>550.38777701843151</v>
      </c>
      <c r="AN48" s="62">
        <f ca="1">AVERAGE(OFFSET($AM$3,0,0,'Données projet'!$E$10+1,1))-AVERAGE(OFFSET($H$3,0,0,'Données projet'!$E$10+1,1))</f>
        <v>348.76787471354476</v>
      </c>
      <c r="AO48" s="62">
        <f t="shared" si="36"/>
        <v>258.31503417978615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59.385225562404884</v>
      </c>
      <c r="BJ48" s="62">
        <f t="shared" si="38"/>
        <v>285.5244298970598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37.030869761032903</v>
      </c>
      <c r="BQ48" s="23">
        <f>EXP(-LN(2)/25)*BQ47+(1-EXP(-LN(2)/25))/(LN(2)/25)*Calculateur!BL48*Calculateur!BN48*VLOOKUP('Données projet'!$B$11,Paramètres!$A$1:$I$89,3,0)*0.475*44/12</f>
        <v>7.5645307560125881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44.595400517045491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204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204.00000000000003</v>
      </c>
      <c r="BZ48" s="14">
        <f>BY48*VLOOKUP('Données projet'!$B$12,Paramètres!$A$1:$I$89,3,0)*VLOOKUP('Données projet'!$B$12,Paramètres!$A$1:$I$89,5,0)</f>
        <v>206.85600000000005</v>
      </c>
      <c r="CA48" s="14">
        <f t="shared" si="39"/>
        <v>51.247940588293027</v>
      </c>
      <c r="CB48" s="22">
        <f t="shared" si="10"/>
        <v>449.53102985794379</v>
      </c>
      <c r="CC48" s="62">
        <f t="shared" si="11"/>
        <v>701.15778740877795</v>
      </c>
      <c r="CD48" s="62">
        <f ca="1">AVERAGE(OFFSET($CC$3,0,0,'Données projet'!$E$12+1,1))-AVERAGE(OFFSET($H$3,0,0,'Données projet'!$E$12+1,1))</f>
        <v>520.80494930257237</v>
      </c>
      <c r="CE48" s="62">
        <f t="shared" si="40"/>
        <v>325.72635759450861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0.45411350351114921</v>
      </c>
      <c r="CL48" s="23">
        <f>EXP(-LN(2)/25)*CL47+(1-EXP(-LN(2)/25))/(LN(2)/25)*Calculateur!CG48*Calculateur!CI48*VLOOKUP('Données projet'!$B$12,Paramètres!$A$1:$I$89,3,0)*0.475*44/12</f>
        <v>1.9302528675446531</v>
      </c>
      <c r="CM48" s="23">
        <f>EXP(-LN(2)/2)*CM47+(1-EXP(-LN(2)/2))/(LN(2)/2)*CG48*CJ48*VLOOKUP('Données projet'!$B$12,Paramètres!$A$1:$I$89,3,0)*0.475*44/12</f>
        <v>1.9303518936355579E-2</v>
      </c>
      <c r="CN48" s="24">
        <f t="shared" si="12"/>
        <v>2.4036698899921576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621.77146851287125</v>
      </c>
      <c r="S49" s="62">
        <f ca="1">AVERAGE(OFFSET($R$3,0,0,'Données projet'!$E$9+1,1))-AVERAGE(OFFSET($H$3,0,0,'Données projet'!$E$9+1,1))</f>
        <v>472.83070477639035</v>
      </c>
      <c r="T49" s="62">
        <f t="shared" si="34"/>
        <v>297.32483725004136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0.39726307156880941</v>
      </c>
      <c r="AA49" s="23">
        <f>EXP(-LN(2)/25)*AA48+(1-EXP(-LN(2)/25))/(LN(2)/25)*Calculateur!V49*Calculateur!X49*VLOOKUP('Données projet'!$B$9,Paramètres!$A$1:$I$89,3,0)*0.475*44/12</f>
        <v>1.6752809243030053</v>
      </c>
      <c r="AB49" s="23">
        <f>EXP(-LN(2)/2)*AB48+(1-EXP(-LN(2)/2))/(LN(2)/2)*V49*Y49*VLOOKUP('Données projet'!$B$9,Paramètres!$A$1:$I$89,3,0)*0.475*44/12</f>
        <v>1.2179686925511968E-2</v>
      </c>
      <c r="AC49" s="24">
        <f t="shared" si="3"/>
        <v>2.0847236827973266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17.596666666666664</v>
      </c>
      <c r="AI49" s="14">
        <f>IF('Données projet'!$A$62&gt;35,AI48+AH49-AQ48,IF(A49&lt;'Données projet'!$A$62,$AF$205^A49,IF(A49='Données projet'!$A$62,'Données projet'!$B$62,AI48+AH49-AQ48)))</f>
        <v>308.46999999999991</v>
      </c>
      <c r="AJ49" s="14">
        <f>AI49*VLOOKUP('Données projet'!$B$10,Paramètres!$A$1:$I$89,3,0)*VLOOKUP('Données projet'!$B$10,Paramètres!$A$1:$I$89,5,0)</f>
        <v>144.36395999999996</v>
      </c>
      <c r="AK49" s="14">
        <f t="shared" si="35"/>
        <v>37.294934491884128</v>
      </c>
      <c r="AL49" s="22">
        <f t="shared" si="4"/>
        <v>316.38924124003148</v>
      </c>
      <c r="AM49" s="62">
        <f t="shared" si="5"/>
        <v>568.7395146387571</v>
      </c>
      <c r="AN49" s="62">
        <f ca="1">AVERAGE(OFFSET($AM$3,0,0,'Données projet'!$E$10+1,1))-AVERAGE(OFFSET($H$3,0,0,'Données projet'!$E$10+1,1))</f>
        <v>348.76787471354476</v>
      </c>
      <c r="AO49" s="62">
        <f t="shared" si="36"/>
        <v>258.31503417978615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59.385225562404884</v>
      </c>
      <c r="BJ49" s="62">
        <f t="shared" si="38"/>
        <v>285.5244298970598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36.304716991619358</v>
      </c>
      <c r="BQ49" s="23">
        <f>EXP(-LN(2)/25)*BQ48+(1-EXP(-LN(2)/25))/(LN(2)/25)*Calculateur!BL49*Calculateur!BN49*VLOOKUP('Données projet'!$B$11,Paramètres!$A$1:$I$89,3,0)*0.475*44/12</f>
        <v>7.3576782646880403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43.662395256307398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187.00000000000003</v>
      </c>
      <c r="BZ49" s="14">
        <f>BY49*VLOOKUP('Données projet'!$B$12,Paramètres!$A$1:$I$89,3,0)*VLOOKUP('Données projet'!$B$12,Paramètres!$A$1:$I$89,5,0)</f>
        <v>189.61800000000005</v>
      </c>
      <c r="CA49" s="14">
        <f t="shared" si="39"/>
        <v>47.4554881852685</v>
      </c>
      <c r="CB49" s="22">
        <f t="shared" si="10"/>
        <v>412.90299192267599</v>
      </c>
      <c r="CC49" s="62">
        <f t="shared" si="11"/>
        <v>665.25326532140161</v>
      </c>
      <c r="CD49" s="62">
        <f ca="1">AVERAGE(OFFSET($CC$3,0,0,'Données projet'!$E$12+1,1))-AVERAGE(OFFSET($H$3,0,0,'Données projet'!$E$12+1,1))</f>
        <v>520.80494930257237</v>
      </c>
      <c r="CE49" s="62">
        <f t="shared" si="40"/>
        <v>325.72635759450861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0.44520861468918305</v>
      </c>
      <c r="CL49" s="23">
        <f>EXP(-LN(2)/25)*CL48+(1-EXP(-LN(2)/25))/(LN(2)/25)*Calculateur!CG49*Calculateur!CI49*VLOOKUP('Données projet'!$B$12,Paramètres!$A$1:$I$89,3,0)*0.475*44/12</f>
        <v>1.877470001374058</v>
      </c>
      <c r="CM49" s="23">
        <f>EXP(-LN(2)/2)*CM48+(1-EXP(-LN(2)/2))/(LN(2)/2)*CG49*CJ49*VLOOKUP('Données projet'!$B$12,Paramètres!$A$1:$I$89,3,0)*0.475*44/12</f>
        <v>1.3649649140659961E-2</v>
      </c>
      <c r="CN49" s="24">
        <f t="shared" si="12"/>
        <v>2.336328265203901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643.68835773851538</v>
      </c>
      <c r="S50" s="62">
        <f ca="1">AVERAGE(OFFSET($R$3,0,0,'Données projet'!$E$9+1,1))-AVERAGE(OFFSET($H$3,0,0,'Données projet'!$E$9+1,1))</f>
        <v>472.83070477639035</v>
      </c>
      <c r="T50" s="62">
        <f t="shared" si="34"/>
        <v>297.32483725004136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0.38947298504189293</v>
      </c>
      <c r="AA50" s="23">
        <f>EXP(-LN(2)/25)*AA49+(1-EXP(-LN(2)/25))/(LN(2)/25)*Calculateur!V50*Calculateur!X50*VLOOKUP('Données projet'!$B$9,Paramètres!$A$1:$I$89,3,0)*0.475*44/12</f>
        <v>1.6294702793287448</v>
      </c>
      <c r="AB50" s="23">
        <f>EXP(-LN(2)/2)*AB49+(1-EXP(-LN(2)/2))/(LN(2)/2)*V50*Y50*VLOOKUP('Données projet'!$B$9,Paramètres!$A$1:$I$89,3,0)*0.475*44/12</f>
        <v>8.6123392177586446E-3</v>
      </c>
      <c r="AC50" s="24">
        <f t="shared" si="3"/>
        <v>2.0275556035883961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17.596666666666664</v>
      </c>
      <c r="AI50" s="14">
        <f>IF('Données projet'!$A$62&gt;35,AI49+AH50-AQ49,IF(A50&lt;'Données projet'!$A$62,$AF$205^A50,IF(A50='Données projet'!$A$62,'Données projet'!$B$62,AI49+AH50-AQ49)))</f>
        <v>326.06666666666661</v>
      </c>
      <c r="AJ50" s="14">
        <f>AI50*VLOOKUP('Données projet'!$B$10,Paramètres!$A$1:$I$89,3,0)*VLOOKUP('Données projet'!$B$10,Paramètres!$A$1:$I$89,5,0)</f>
        <v>152.59919999999997</v>
      </c>
      <c r="AK50" s="14">
        <f t="shared" si="35"/>
        <v>39.168671261962366</v>
      </c>
      <c r="AL50" s="22">
        <f t="shared" si="4"/>
        <v>333.99570911458437</v>
      </c>
      <c r="AM50" s="62">
        <f t="shared" si="5"/>
        <v>587.05694697877971</v>
      </c>
      <c r="AN50" s="62">
        <f ca="1">AVERAGE(OFFSET($AM$3,0,0,'Données projet'!$E$10+1,1))-AVERAGE(OFFSET($H$3,0,0,'Données projet'!$E$10+1,1))</f>
        <v>348.76787471354476</v>
      </c>
      <c r="AO50" s="62">
        <f t="shared" si="36"/>
        <v>258.31503417978615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59.385225562404884</v>
      </c>
      <c r="BJ50" s="62">
        <f t="shared" si="38"/>
        <v>285.5244298970598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35.592803635104559</v>
      </c>
      <c r="BQ50" s="23">
        <f>EXP(-LN(2)/25)*BQ49+(1-EXP(-LN(2)/25))/(LN(2)/25)*Calculateur!BL50*Calculateur!BN50*VLOOKUP('Données projet'!$B$11,Paramètres!$A$1:$I$89,3,0)*0.475*44/12</f>
        <v>7.1564821656166622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42.749285800721225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198.00000000000003</v>
      </c>
      <c r="BZ50" s="14">
        <f>BY50*VLOOKUP('Données projet'!$B$12,Paramètres!$A$1:$I$89,3,0)*VLOOKUP('Données projet'!$B$12,Paramètres!$A$1:$I$89,5,0)</f>
        <v>200.77200000000002</v>
      </c>
      <c r="CA50" s="14">
        <f t="shared" si="39"/>
        <v>49.913791898945412</v>
      </c>
      <c r="CB50" s="22">
        <f t="shared" si="10"/>
        <v>436.61108755732994</v>
      </c>
      <c r="CC50" s="62">
        <f t="shared" si="11"/>
        <v>689.67232542152533</v>
      </c>
      <c r="CD50" s="62">
        <f ca="1">AVERAGE(OFFSET($CC$3,0,0,'Données projet'!$E$12+1,1))-AVERAGE(OFFSET($H$3,0,0,'Données projet'!$E$12+1,1))</f>
        <v>520.80494930257237</v>
      </c>
      <c r="CE50" s="62">
        <f t="shared" si="40"/>
        <v>325.72635759450861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0.43647834530556973</v>
      </c>
      <c r="CL50" s="23">
        <f>EXP(-LN(2)/25)*CL49+(1-EXP(-LN(2)/25))/(LN(2)/25)*Calculateur!CG50*Calculateur!CI50*VLOOKUP('Données projet'!$B$12,Paramètres!$A$1:$I$89,3,0)*0.475*44/12</f>
        <v>1.8261304854546281</v>
      </c>
      <c r="CM50" s="23">
        <f>EXP(-LN(2)/2)*CM49+(1-EXP(-LN(2)/2))/(LN(2)/2)*CG50*CJ50*VLOOKUP('Données projet'!$B$12,Paramètres!$A$1:$I$89,3,0)*0.475*44/12</f>
        <v>9.6517594681777893E-3</v>
      </c>
      <c r="CN50" s="24">
        <f t="shared" si="12"/>
        <v>2.2722605902283757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665.5679450643554</v>
      </c>
      <c r="S51" s="62">
        <f ca="1">AVERAGE(OFFSET($R$3,0,0,'Données projet'!$E$9+1,1))-AVERAGE(OFFSET($H$3,0,0,'Données projet'!$E$9+1,1))</f>
        <v>472.83070477639035</v>
      </c>
      <c r="T51" s="62">
        <f t="shared" si="34"/>
        <v>297.32483725004136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0.38183565736028569</v>
      </c>
      <c r="AA51" s="23">
        <f>EXP(-LN(2)/25)*AA50+(1-EXP(-LN(2)/25))/(LN(2)/25)*Calculateur!V51*Calculateur!X51*VLOOKUP('Données projet'!$B$9,Paramètres!$A$1:$I$89,3,0)*0.475*44/12</f>
        <v>1.5849123288503824</v>
      </c>
      <c r="AB51" s="23">
        <f>EXP(-LN(2)/2)*AB50+(1-EXP(-LN(2)/2))/(LN(2)/2)*V51*Y51*VLOOKUP('Données projet'!$B$9,Paramètres!$A$1:$I$89,3,0)*0.475*44/12</f>
        <v>6.0898434627559839E-3</v>
      </c>
      <c r="AC51" s="24">
        <f t="shared" si="3"/>
        <v>1.9728378296734239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17.596666666666664</v>
      </c>
      <c r="AI51" s="14">
        <f>IF('Données projet'!$A$62&gt;35,AI50+AH51-AQ50,IF(A51&lt;'Données projet'!$A$62,$AF$205^A51,IF(A51='Données projet'!$A$62,'Données projet'!$B$62,AI50+AH51-AQ50)))</f>
        <v>343.6633333333333</v>
      </c>
      <c r="AJ51" s="14">
        <f>AI51*VLOOKUP('Données projet'!$B$10,Paramètres!$A$1:$I$89,3,0)*VLOOKUP('Données projet'!$B$10,Paramètres!$A$1:$I$89,5,0)</f>
        <v>160.83444</v>
      </c>
      <c r="AK51" s="14">
        <f t="shared" si="35"/>
        <v>41.030668661458968</v>
      </c>
      <c r="AL51" s="22">
        <f t="shared" si="4"/>
        <v>351.58173091870771</v>
      </c>
      <c r="AM51" s="62">
        <f t="shared" si="5"/>
        <v>605.34159960437546</v>
      </c>
      <c r="AN51" s="62">
        <f ca="1">AVERAGE(OFFSET($AM$3,0,0,'Données projet'!$E$10+1,1))-AVERAGE(OFFSET($H$3,0,0,'Données projet'!$E$10+1,1))</f>
        <v>348.76787471354476</v>
      </c>
      <c r="AO51" s="62">
        <f t="shared" si="36"/>
        <v>258.31503417978615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59.385225562404884</v>
      </c>
      <c r="BJ51" s="62">
        <f t="shared" si="38"/>
        <v>285.5244298970598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34.894850465286744</v>
      </c>
      <c r="BQ51" s="23">
        <f>EXP(-LN(2)/25)*BQ50+(1-EXP(-LN(2)/25))/(LN(2)/25)*Calculateur!BL51*Calculateur!BN51*VLOOKUP('Données projet'!$B$11,Paramètres!$A$1:$I$89,3,0)*0.475*44/12</f>
        <v>6.9607877844548343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41.855638249741581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209.00000000000003</v>
      </c>
      <c r="BZ51" s="14">
        <f>BY51*VLOOKUP('Données projet'!$B$12,Paramètres!$A$1:$I$89,3,0)*VLOOKUP('Données projet'!$B$12,Paramètres!$A$1:$I$89,5,0)</f>
        <v>211.92600000000004</v>
      </c>
      <c r="CA51" s="14">
        <f t="shared" si="39"/>
        <v>52.356241262970165</v>
      </c>
      <c r="CB51" s="22">
        <f t="shared" si="10"/>
        <v>460.29157019967312</v>
      </c>
      <c r="CC51" s="62">
        <f t="shared" si="11"/>
        <v>714.05143888534076</v>
      </c>
      <c r="CD51" s="62">
        <f ca="1">AVERAGE(OFFSET($CC$3,0,0,'Données projet'!$E$12+1,1))-AVERAGE(OFFSET($H$3,0,0,'Données projet'!$E$12+1,1))</f>
        <v>520.80494930257237</v>
      </c>
      <c r="CE51" s="62">
        <f t="shared" si="40"/>
        <v>325.72635759450861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0.42791927117963058</v>
      </c>
      <c r="CL51" s="23">
        <f>EXP(-LN(2)/25)*CL50+(1-EXP(-LN(2)/25))/(LN(2)/25)*Calculateur!CG51*Calculateur!CI51*VLOOKUP('Données projet'!$B$12,Paramètres!$A$1:$I$89,3,0)*0.475*44/12</f>
        <v>1.7761948512978427</v>
      </c>
      <c r="CM51" s="23">
        <f>EXP(-LN(2)/2)*CM50+(1-EXP(-LN(2)/2))/(LN(2)/2)*CG51*CJ51*VLOOKUP('Données projet'!$B$12,Paramètres!$A$1:$I$89,3,0)*0.475*44/12</f>
        <v>6.8248245703299805E-3</v>
      </c>
      <c r="CN51" s="24">
        <f t="shared" si="12"/>
        <v>2.2109389470478034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687.41190843518427</v>
      </c>
      <c r="S52" s="62">
        <f ca="1">AVERAGE(OFFSET($R$3,0,0,'Données projet'!$E$9+1,1))-AVERAGE(OFFSET($H$3,0,0,'Données projet'!$E$9+1,1))</f>
        <v>472.83070477639035</v>
      </c>
      <c r="T52" s="62">
        <f t="shared" si="34"/>
        <v>297.32483725004136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0.37434809301620481</v>
      </c>
      <c r="AA52" s="23">
        <f>EXP(-LN(2)/25)*AA51+(1-EXP(-LN(2)/25))/(LN(2)/25)*Calculateur!V52*Calculateur!X52*VLOOKUP('Données projet'!$B$9,Paramètres!$A$1:$I$89,3,0)*0.475*44/12</f>
        <v>1.5415728178710517</v>
      </c>
      <c r="AB52" s="23">
        <f>EXP(-LN(2)/2)*AB51+(1-EXP(-LN(2)/2))/(LN(2)/2)*V52*Y52*VLOOKUP('Données projet'!$B$9,Paramètres!$A$1:$I$89,3,0)*0.475*44/12</f>
        <v>4.3061696088793223E-3</v>
      </c>
      <c r="AC52" s="24">
        <f t="shared" si="3"/>
        <v>1.9202270804961359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>
        <f>VLOOKUP(A52,'Données projet'!$A$61:$I$81,2,0)</f>
        <v>361.26</v>
      </c>
      <c r="AG52" s="13">
        <f>VLOOKUP(A52,'Données projet'!$A$61:$I$81,9,0)</f>
        <v>17.596666666666664</v>
      </c>
      <c r="AH52" s="13">
        <f t="array" ref="AH52">INDEX(AG:AG,MIN(IF(ISNUMBER(AG52:AG248),ROW(AG52:AG248),"")))</f>
        <v>17.596666666666664</v>
      </c>
      <c r="AI52" s="14">
        <f>IF('Données projet'!$A$62&gt;35,AI51+AH52-AQ51,IF(A52&lt;'Données projet'!$A$62,$AF$205^A52,IF(A52='Données projet'!$A$62,'Données projet'!$B$62,AI51+AH52-AQ51)))</f>
        <v>361.26</v>
      </c>
      <c r="AJ52" s="14">
        <f>AI52*VLOOKUP('Données projet'!$B$10,Paramètres!$A$1:$I$89,3,0)*VLOOKUP('Données projet'!$B$10,Paramètres!$A$1:$I$89,5,0)</f>
        <v>169.06968000000001</v>
      </c>
      <c r="AK52" s="14">
        <f t="shared" si="35"/>
        <v>42.881596355037587</v>
      </c>
      <c r="AL52" s="22">
        <f t="shared" si="4"/>
        <v>369.14847298502377</v>
      </c>
      <c r="AM52" s="62">
        <f t="shared" si="5"/>
        <v>623.59485280931574</v>
      </c>
      <c r="AN52" s="62">
        <f ca="1">AVERAGE(OFFSET($AM$3,0,0,'Données projet'!$E$10+1,1))-AVERAGE(OFFSET($H$3,0,0,'Données projet'!$E$10+1,1))</f>
        <v>348.76787471354476</v>
      </c>
      <c r="AO52" s="62">
        <f t="shared" si="36"/>
        <v>258.31503417978615</v>
      </c>
      <c r="AP52" s="16">
        <f>IF(ISNA(VLOOKUP(A52,'Données projet'!$A$61:$I$81,3,0)),0,VLOOKUP(A52,'Données projet'!$A$61:$I$81,3,0))</f>
        <v>5</v>
      </c>
      <c r="AQ52" s="16">
        <f>IF(ISNA(VLOOKUP(A52,'Données projet'!$A$61:$I$81,4,0)),0,VLOOKUP(A52,'Données projet'!$A$61:$I$81,4,0))</f>
        <v>100.16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59.385225562404884</v>
      </c>
      <c r="BJ52" s="62">
        <f t="shared" si="38"/>
        <v>285.5244298970598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34.210583731419661</v>
      </c>
      <c r="BQ52" s="23">
        <f>EXP(-LN(2)/25)*BQ51+(1-EXP(-LN(2)/25))/(LN(2)/25)*Calculateur!BL52*Calculateur!BN52*VLOOKUP('Données projet'!$B$11,Paramètres!$A$1:$I$89,3,0)*0.475*44/12</f>
        <v>6.7704446764369965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40.981028407856655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220.00000000000003</v>
      </c>
      <c r="BZ52" s="14">
        <f>BY52*VLOOKUP('Données projet'!$B$12,Paramètres!$A$1:$I$89,3,0)*VLOOKUP('Données projet'!$B$12,Paramètres!$A$1:$I$89,5,0)</f>
        <v>223.08000000000004</v>
      </c>
      <c r="CA52" s="14">
        <f t="shared" si="39"/>
        <v>54.783765878062667</v>
      </c>
      <c r="CB52" s="22">
        <f t="shared" si="10"/>
        <v>483.94605890429256</v>
      </c>
      <c r="CC52" s="62">
        <f t="shared" si="11"/>
        <v>738.39243872858447</v>
      </c>
      <c r="CD52" s="62">
        <f ca="1">AVERAGE(OFFSET($CC$3,0,0,'Données projet'!$E$12+1,1))-AVERAGE(OFFSET($H$3,0,0,'Données projet'!$E$12+1,1))</f>
        <v>520.80494930257237</v>
      </c>
      <c r="CE52" s="62">
        <f t="shared" si="40"/>
        <v>325.72635759450861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0.41952803527678134</v>
      </c>
      <c r="CL52" s="23">
        <f>EXP(-LN(2)/25)*CL51+(1-EXP(-LN(2)/25))/(LN(2)/25)*Calculateur!CG52*Calculateur!CI52*VLOOKUP('Données projet'!$B$12,Paramètres!$A$1:$I$89,3,0)*0.475*44/12</f>
        <v>1.7276247096830755</v>
      </c>
      <c r="CM52" s="23">
        <f>EXP(-LN(2)/2)*CM51+(1-EXP(-LN(2)/2))/(LN(2)/2)*CG52*CJ52*VLOOKUP('Données projet'!$B$12,Paramètres!$A$1:$I$89,3,0)*0.475*44/12</f>
        <v>4.8258797340888946E-3</v>
      </c>
      <c r="CN52" s="24">
        <f t="shared" si="12"/>
        <v>2.1519786246939456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709.22176741571411</v>
      </c>
      <c r="S53" s="62">
        <f ca="1">AVERAGE(OFFSET($R$3,0,0,'Données projet'!$E$9+1,1))-AVERAGE(OFFSET($H$3,0,0,'Données projet'!$E$9+1,1))</f>
        <v>472.83070477639035</v>
      </c>
      <c r="T53" s="62">
        <f t="shared" si="34"/>
        <v>297.32483725004136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0.36700735524194805</v>
      </c>
      <c r="AA53" s="23">
        <f>EXP(-LN(2)/25)*AA52+(1-EXP(-LN(2)/25))/(LN(2)/25)*Calculateur!V53*Calculateur!X53*VLOOKUP('Données projet'!$B$9,Paramètres!$A$1:$I$89,3,0)*0.475*44/12</f>
        <v>1.4994184280985767</v>
      </c>
      <c r="AB53" s="23">
        <f>EXP(-LN(2)/2)*AB52+(1-EXP(-LN(2)/2))/(LN(2)/2)*V53*Y53*VLOOKUP('Données projet'!$B$9,Paramètres!$A$1:$I$89,3,0)*0.475*44/12</f>
        <v>3.0449217313779919E-3</v>
      </c>
      <c r="AC53" s="24">
        <f t="shared" si="3"/>
        <v>1.8694707050719028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277.5</v>
      </c>
      <c r="AG53" s="13">
        <f>VLOOKUP(A53,'Données projet'!$A$61:$I$81,9,0)</f>
        <v>16.399999999999977</v>
      </c>
      <c r="AH53" s="13">
        <f t="array" ref="AH53">INDEX(AG:AG,MIN(IF(ISNUMBER(AG53:AG249),ROW(AG53:AG249),"")))</f>
        <v>16.399999999999977</v>
      </c>
      <c r="AI53" s="14">
        <f>IF('Données projet'!$A$62&gt;35,AI52+AH53-AQ52,IF(A53&lt;'Données projet'!$A$62,$AF$205^A53,IF(A53='Données projet'!$A$62,'Données projet'!$B$62,AI52+AH53-AQ52)))</f>
        <v>277.5</v>
      </c>
      <c r="AJ53" s="14">
        <f>AI53*VLOOKUP('Données projet'!$B$10,Paramètres!$A$1:$I$89,3,0)*VLOOKUP('Données projet'!$B$10,Paramètres!$A$1:$I$89,5,0)</f>
        <v>129.87</v>
      </c>
      <c r="AK53" s="14">
        <f t="shared" si="35"/>
        <v>33.966318400312318</v>
      </c>
      <c r="AL53" s="22">
        <f t="shared" si="4"/>
        <v>285.34825454721067</v>
      </c>
      <c r="AM53" s="62">
        <f t="shared" si="5"/>
        <v>540.46923607668077</v>
      </c>
      <c r="AN53" s="62">
        <f ca="1">AVERAGE(OFFSET($AM$3,0,0,'Données projet'!$E$10+1,1))-AVERAGE(OFFSET($H$3,0,0,'Données projet'!$E$10+1,1))</f>
        <v>348.76787471354476</v>
      </c>
      <c r="AO53" s="62">
        <f t="shared" si="36"/>
        <v>258.31503417978615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59.385225562404884</v>
      </c>
      <c r="BJ53" s="62">
        <f t="shared" si="38"/>
        <v>285.5244298970598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33.539735050842211</v>
      </c>
      <c r="BQ53" s="23">
        <f>EXP(-LN(2)/25)*BQ52+(1-EXP(-LN(2)/25))/(LN(2)/25)*Calculateur!BL53*Calculateur!BN53*VLOOKUP('Données projet'!$B$11,Paramètres!$A$1:$I$89,3,0)*0.475*44/12</f>
        <v>6.585306510717615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40.125041561559826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231.00000000000003</v>
      </c>
      <c r="BZ53" s="14">
        <f>BY53*VLOOKUP('Données projet'!$B$12,Paramètres!$A$1:$I$89,3,0)*VLOOKUP('Données projet'!$B$12,Paramètres!$A$1:$I$89,5,0)</f>
        <v>234.23400000000007</v>
      </c>
      <c r="CA53" s="14">
        <f t="shared" si="39"/>
        <v>57.197197133603488</v>
      </c>
      <c r="CB53" s="22">
        <f t="shared" si="10"/>
        <v>507.57600167435953</v>
      </c>
      <c r="CC53" s="62">
        <f t="shared" si="11"/>
        <v>762.69698320382963</v>
      </c>
      <c r="CD53" s="62">
        <f ca="1">AVERAGE(OFFSET($CC$3,0,0,'Données projet'!$E$12+1,1))-AVERAGE(OFFSET($H$3,0,0,'Données projet'!$E$12+1,1))</f>
        <v>520.80494930257237</v>
      </c>
      <c r="CE53" s="62">
        <f t="shared" si="40"/>
        <v>325.72635759450861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0.41130134639183846</v>
      </c>
      <c r="CL53" s="23">
        <f>EXP(-LN(2)/25)*CL52+(1-EXP(-LN(2)/25))/(LN(2)/25)*Calculateur!CG53*Calculateur!CI53*VLOOKUP('Données projet'!$B$12,Paramètres!$A$1:$I$89,3,0)*0.475*44/12</f>
        <v>1.6803827211449569</v>
      </c>
      <c r="CM53" s="23">
        <f>EXP(-LN(2)/2)*CM52+(1-EXP(-LN(2)/2))/(LN(2)/2)*CG53*CJ53*VLOOKUP('Données projet'!$B$12,Paramètres!$A$1:$I$89,3,0)*0.475*44/12</f>
        <v>3.4124122851649902E-3</v>
      </c>
      <c r="CN53" s="24">
        <f t="shared" si="12"/>
        <v>2.0950964798219607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675.67295630565468</v>
      </c>
      <c r="S54" s="62">
        <f ca="1">AVERAGE(OFFSET($R$3,0,0,'Données projet'!$E$9+1,1))-AVERAGE(OFFSET($H$3,0,0,'Données projet'!$E$9+1,1))</f>
        <v>472.83070477639035</v>
      </c>
      <c r="T54" s="62">
        <f t="shared" si="34"/>
        <v>297.32483725004136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0.35981056485803659</v>
      </c>
      <c r="AA54" s="23">
        <f>EXP(-LN(2)/25)*AA53+(1-EXP(-LN(2)/25))/(LN(2)/25)*Calculateur!V54*Calculateur!X54*VLOOKUP('Données projet'!$B$9,Paramètres!$A$1:$I$89,3,0)*0.475*44/12</f>
        <v>1.458416752331233</v>
      </c>
      <c r="AB54" s="23">
        <f>EXP(-LN(2)/2)*AB53+(1-EXP(-LN(2)/2))/(LN(2)/2)*V54*Y54*VLOOKUP('Données projet'!$B$9,Paramètres!$A$1:$I$89,3,0)*0.475*44/12</f>
        <v>2.1530848044396611E-3</v>
      </c>
      <c r="AC54" s="24">
        <f t="shared" si="3"/>
        <v>1.8203804019937093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17.034999999999997</v>
      </c>
      <c r="AI54" s="14">
        <f>IF('Données projet'!$A$62&gt;35,AI53+AH54-AQ53,IF(A54&lt;'Données projet'!$A$62,$AF$205^A54,IF(A54='Données projet'!$A$62,'Données projet'!$B$62,AI53+AH54-AQ53)))</f>
        <v>294.53499999999997</v>
      </c>
      <c r="AJ54" s="14">
        <f>AI54*VLOOKUP('Données projet'!$B$10,Paramètres!$A$1:$I$89,3,0)*VLOOKUP('Données projet'!$B$10,Paramètres!$A$1:$I$89,5,0)</f>
        <v>137.84237999999999</v>
      </c>
      <c r="AK54" s="14">
        <f t="shared" si="35"/>
        <v>35.802279141153015</v>
      </c>
      <c r="AL54" s="22">
        <f t="shared" si="4"/>
        <v>302.43111467084145</v>
      </c>
      <c r="AM54" s="62">
        <f t="shared" si="5"/>
        <v>558.21499507408828</v>
      </c>
      <c r="AN54" s="62">
        <f ca="1">AVERAGE(OFFSET($AM$3,0,0,'Données projet'!$E$10+1,1))-AVERAGE(OFFSET($H$3,0,0,'Données projet'!$E$10+1,1))</f>
        <v>348.76787471354476</v>
      </c>
      <c r="AO54" s="62">
        <f t="shared" si="36"/>
        <v>258.31503417978615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59.385225562404884</v>
      </c>
      <c r="BJ54" s="62">
        <f t="shared" si="38"/>
        <v>285.5244298970598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32.882041303713592</v>
      </c>
      <c r="BQ54" s="23">
        <f>EXP(-LN(2)/25)*BQ53+(1-EXP(-LN(2)/25))/(LN(2)/25)*Calculateur!BL54*Calculateur!BN54*VLOOKUP('Données projet'!$B$11,Paramètres!$A$1:$I$89,3,0)*0.475*44/12</f>
        <v>6.4052309578758235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39.287272261589415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213.20000000000002</v>
      </c>
      <c r="BZ54" s="14">
        <f>BY54*VLOOKUP('Données projet'!$B$12,Paramètres!$A$1:$I$89,3,0)*VLOOKUP('Données projet'!$B$12,Paramètres!$A$1:$I$89,5,0)</f>
        <v>216.18480000000002</v>
      </c>
      <c r="CA54" s="14">
        <f t="shared" si="39"/>
        <v>53.284828478170375</v>
      </c>
      <c r="CB54" s="22">
        <f t="shared" si="10"/>
        <v>469.3262695994801</v>
      </c>
      <c r="CC54" s="62">
        <f t="shared" si="11"/>
        <v>725.11015000272687</v>
      </c>
      <c r="CD54" s="62">
        <f ca="1">AVERAGE(OFFSET($CC$3,0,0,'Données projet'!$E$12+1,1))-AVERAGE(OFFSET($H$3,0,0,'Données projet'!$E$12+1,1))</f>
        <v>520.80494930257237</v>
      </c>
      <c r="CE54" s="62">
        <f t="shared" si="40"/>
        <v>325.72635759450861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0.40323597785814452</v>
      </c>
      <c r="CL54" s="23">
        <f>EXP(-LN(2)/25)*CL53+(1-EXP(-LN(2)/25))/(LN(2)/25)*Calculateur!CG54*Calculateur!CI54*VLOOKUP('Données projet'!$B$12,Paramètres!$A$1:$I$89,3,0)*0.475*44/12</f>
        <v>1.6344325672677613</v>
      </c>
      <c r="CM54" s="23">
        <f>EXP(-LN(2)/2)*CM53+(1-EXP(-LN(2)/2))/(LN(2)/2)*CG54*CJ54*VLOOKUP('Données projet'!$B$12,Paramètres!$A$1:$I$89,3,0)*0.475*44/12</f>
        <v>2.4129398670444473E-3</v>
      </c>
      <c r="CN54" s="24">
        <f t="shared" si="12"/>
        <v>2.0400814849929501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695.93583659018805</v>
      </c>
      <c r="S55" s="62">
        <f ca="1">AVERAGE(OFFSET($R$3,0,0,'Données projet'!$E$9+1,1))-AVERAGE(OFFSET($H$3,0,0,'Données projet'!$E$9+1,1))</f>
        <v>472.83070477639035</v>
      </c>
      <c r="T55" s="62">
        <f t="shared" si="34"/>
        <v>297.32483725004136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0.35275489914394492</v>
      </c>
      <c r="AA55" s="23">
        <f>EXP(-LN(2)/25)*AA54+(1-EXP(-LN(2)/25))/(LN(2)/25)*Calculateur!V55*Calculateur!X55*VLOOKUP('Données projet'!$B$9,Paramètres!$A$1:$I$89,3,0)*0.475*44/12</f>
        <v>1.4185362695439316</v>
      </c>
      <c r="AB55" s="23">
        <f>EXP(-LN(2)/2)*AB54+(1-EXP(-LN(2)/2))/(LN(2)/2)*V55*Y55*VLOOKUP('Données projet'!$B$9,Paramètres!$A$1:$I$89,3,0)*0.475*44/12</f>
        <v>1.522460865688996E-3</v>
      </c>
      <c r="AC55" s="24">
        <f t="shared" si="3"/>
        <v>1.7728136295535655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17.034999999999997</v>
      </c>
      <c r="AI55" s="14">
        <f>IF('Données projet'!$A$62&gt;35,AI54+AH55-AQ54,IF(A55&lt;'Données projet'!$A$62,$AF$205^A55,IF(A55='Données projet'!$A$62,'Données projet'!$B$62,AI54+AH55-AQ54)))</f>
        <v>311.56999999999994</v>
      </c>
      <c r="AJ55" s="14">
        <f>AI55*VLOOKUP('Données projet'!$B$10,Paramètres!$A$1:$I$89,3,0)*VLOOKUP('Données projet'!$B$10,Paramètres!$A$1:$I$89,5,0)</f>
        <v>145.81475999999998</v>
      </c>
      <c r="AK55" s="14">
        <f t="shared" si="35"/>
        <v>37.625914051925029</v>
      </c>
      <c r="AL55" s="22">
        <f t="shared" si="4"/>
        <v>319.4925073071027</v>
      </c>
      <c r="AM55" s="62">
        <f t="shared" si="5"/>
        <v>575.927786770686</v>
      </c>
      <c r="AN55" s="62">
        <f ca="1">AVERAGE(OFFSET($AM$3,0,0,'Données projet'!$E$10+1,1))-AVERAGE(OFFSET($H$3,0,0,'Données projet'!$E$10+1,1))</f>
        <v>348.76787471354476</v>
      </c>
      <c r="AO55" s="62">
        <f t="shared" si="36"/>
        <v>258.31503417978615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59.385225562404884</v>
      </c>
      <c r="BJ55" s="62">
        <f t="shared" si="38"/>
        <v>285.5244298970598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32.237244529812592</v>
      </c>
      <c r="BQ55" s="23">
        <f>EXP(-LN(2)/25)*BQ54+(1-EXP(-LN(2)/25))/(LN(2)/25)*Calculateur!BL55*Calculateur!BN55*VLOOKUP('Données projet'!$B$11,Paramètres!$A$1:$I$89,3,0)*0.475*44/12</f>
        <v>6.2300795804962528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38.467324110308844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223.4</v>
      </c>
      <c r="BZ55" s="14">
        <f>BY55*VLOOKUP('Données projet'!$B$12,Paramètres!$A$1:$I$89,3,0)*VLOOKUP('Données projet'!$B$12,Paramètres!$A$1:$I$89,5,0)</f>
        <v>226.52760000000001</v>
      </c>
      <c r="CA55" s="14">
        <f t="shared" si="39"/>
        <v>55.531204013656371</v>
      </c>
      <c r="CB55" s="22">
        <f t="shared" si="10"/>
        <v>491.25241699045142</v>
      </c>
      <c r="CC55" s="62">
        <f t="shared" si="11"/>
        <v>747.68769645403472</v>
      </c>
      <c r="CD55" s="62">
        <f ca="1">AVERAGE(OFFSET($CC$3,0,0,'Données projet'!$E$12+1,1))-AVERAGE(OFFSET($H$3,0,0,'Données projet'!$E$12+1,1))</f>
        <v>520.80494930257237</v>
      </c>
      <c r="CE55" s="62">
        <f t="shared" si="40"/>
        <v>325.72635759450861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0.3953287662820073</v>
      </c>
      <c r="CL55" s="23">
        <f>EXP(-LN(2)/25)*CL54+(1-EXP(-LN(2)/25))/(LN(2)/25)*Calculateur!CG55*Calculateur!CI55*VLOOKUP('Données projet'!$B$12,Paramètres!$A$1:$I$89,3,0)*0.475*44/12</f>
        <v>1.5897389227647512</v>
      </c>
      <c r="CM55" s="23">
        <f>EXP(-LN(2)/2)*CM54+(1-EXP(-LN(2)/2))/(LN(2)/2)*CG55*CJ55*VLOOKUP('Données projet'!$B$12,Paramètres!$A$1:$I$89,3,0)*0.475*44/12</f>
        <v>1.7062061425824951E-3</v>
      </c>
      <c r="CN55" s="24">
        <f t="shared" si="12"/>
        <v>1.986773895189341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716.16865806460385</v>
      </c>
      <c r="S56" s="62">
        <f ca="1">AVERAGE(OFFSET($R$3,0,0,'Données projet'!$E$9+1,1))-AVERAGE(OFFSET($H$3,0,0,'Données projet'!$E$9+1,1))</f>
        <v>472.83070477639035</v>
      </c>
      <c r="T56" s="62">
        <f t="shared" si="34"/>
        <v>297.32483725004136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0.34583759073097542</v>
      </c>
      <c r="AA56" s="23">
        <f>EXP(-LN(2)/25)*AA55+(1-EXP(-LN(2)/25))/(LN(2)/25)*Calculateur!V56*Calculateur!X56*VLOOKUP('Données projet'!$B$9,Paramètres!$A$1:$I$89,3,0)*0.475*44/12</f>
        <v>1.3797463206556726</v>
      </c>
      <c r="AB56" s="23">
        <f>EXP(-LN(2)/2)*AB55+(1-EXP(-LN(2)/2))/(LN(2)/2)*V56*Y56*VLOOKUP('Données projet'!$B$9,Paramètres!$A$1:$I$89,3,0)*0.475*44/12</f>
        <v>1.0765424022198306E-3</v>
      </c>
      <c r="AC56" s="24">
        <f t="shared" si="3"/>
        <v>1.7266604537888679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17.034999999999997</v>
      </c>
      <c r="AI56" s="14">
        <f>IF('Données projet'!$A$62&gt;35,AI55+AH56-AQ55,IF(A56&lt;'Données projet'!$A$62,$AF$205^A56,IF(A56='Données projet'!$A$62,'Données projet'!$B$62,AI55+AH56-AQ55)))</f>
        <v>328.6049999999999</v>
      </c>
      <c r="AJ56" s="14">
        <f>AI56*VLOOKUP('Données projet'!$B$10,Paramètres!$A$1:$I$89,3,0)*VLOOKUP('Données projet'!$B$10,Paramètres!$A$1:$I$89,5,0)</f>
        <v>153.78713999999997</v>
      </c>
      <c r="AK56" s="14">
        <f t="shared" si="35"/>
        <v>39.437973866071921</v>
      </c>
      <c r="AL56" s="22">
        <f t="shared" si="4"/>
        <v>336.53373998340851</v>
      </c>
      <c r="AM56" s="62">
        <f t="shared" si="5"/>
        <v>593.60911818994168</v>
      </c>
      <c r="AN56" s="62">
        <f ca="1">AVERAGE(OFFSET($AM$3,0,0,'Données projet'!$E$10+1,1))-AVERAGE(OFFSET($H$3,0,0,'Données projet'!$E$10+1,1))</f>
        <v>348.76787471354476</v>
      </c>
      <c r="AO56" s="62">
        <f t="shared" si="36"/>
        <v>258.31503417978615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59.385225562404884</v>
      </c>
      <c r="BJ56" s="62">
        <f t="shared" si="38"/>
        <v>285.5244298970598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31.605091827360592</v>
      </c>
      <c r="BQ56" s="23">
        <f>EXP(-LN(2)/25)*BQ55+(1-EXP(-LN(2)/25))/(LN(2)/25)*Calculateur!BL56*Calculateur!BN56*VLOOKUP('Données projet'!$B$11,Paramètres!$A$1:$I$89,3,0)*0.475*44/12</f>
        <v>6.0597177267419369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37.664809554102533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233.6</v>
      </c>
      <c r="BZ56" s="14">
        <f>BY56*VLOOKUP('Données projet'!$B$12,Paramètres!$A$1:$I$89,3,0)*VLOOKUP('Données projet'!$B$12,Paramètres!$A$1:$I$89,5,0)</f>
        <v>236.87040000000002</v>
      </c>
      <c r="CA56" s="14">
        <f t="shared" si="39"/>
        <v>57.765668276484661</v>
      </c>
      <c r="CB56" s="22">
        <f t="shared" si="10"/>
        <v>513.15781891487757</v>
      </c>
      <c r="CC56" s="62">
        <f t="shared" si="11"/>
        <v>770.23319712141074</v>
      </c>
      <c r="CD56" s="62">
        <f ca="1">AVERAGE(OFFSET($CC$3,0,0,'Données projet'!$E$12+1,1))-AVERAGE(OFFSET($H$3,0,0,'Données projet'!$E$12+1,1))</f>
        <v>520.80494930257237</v>
      </c>
      <c r="CE56" s="62">
        <f t="shared" si="40"/>
        <v>325.72635759450861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0.38757661030195528</v>
      </c>
      <c r="CL56" s="23">
        <f>EXP(-LN(2)/25)*CL55+(1-EXP(-LN(2)/25))/(LN(2)/25)*Calculateur!CG56*Calculateur!CI56*VLOOKUP('Données projet'!$B$12,Paramètres!$A$1:$I$89,3,0)*0.475*44/12</f>
        <v>1.5462674283210125</v>
      </c>
      <c r="CM56" s="23">
        <f>EXP(-LN(2)/2)*CM55+(1-EXP(-LN(2)/2))/(LN(2)/2)*CG56*CJ56*VLOOKUP('Données projet'!$B$12,Paramètres!$A$1:$I$89,3,0)*0.475*44/12</f>
        <v>1.2064699335222237E-3</v>
      </c>
      <c r="CN56" s="24">
        <f t="shared" si="12"/>
        <v>1.93505050855649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736.37252945510068</v>
      </c>
      <c r="S57" s="62">
        <f ca="1">AVERAGE(OFFSET($R$3,0,0,'Données projet'!$E$9+1,1))-AVERAGE(OFFSET($H$3,0,0,'Données projet'!$E$9+1,1))</f>
        <v>472.83070477639035</v>
      </c>
      <c r="T57" s="62">
        <f t="shared" si="34"/>
        <v>297.32483725004136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0.33905592651684274</v>
      </c>
      <c r="AA57" s="23">
        <f>EXP(-LN(2)/25)*AA56+(1-EXP(-LN(2)/25))/(LN(2)/25)*Calculateur!V57*Calculateur!X57*VLOOKUP('Données projet'!$B$9,Paramètres!$A$1:$I$89,3,0)*0.475*44/12</f>
        <v>1.3420170849596378</v>
      </c>
      <c r="AB57" s="23">
        <f>EXP(-LN(2)/2)*AB56+(1-EXP(-LN(2)/2))/(LN(2)/2)*V57*Y57*VLOOKUP('Données projet'!$B$9,Paramètres!$A$1:$I$89,3,0)*0.475*44/12</f>
        <v>7.6123043284449798E-4</v>
      </c>
      <c r="AC57" s="24">
        <f t="shared" si="3"/>
        <v>1.6818342419093251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17.034999999999997</v>
      </c>
      <c r="AI57" s="14">
        <f>IF('Données projet'!$A$62&gt;35,AI56+AH57-AQ56,IF(A57&lt;'Données projet'!$A$62,$AF$205^A57,IF(A57='Données projet'!$A$62,'Données projet'!$B$62,AI56+AH57-AQ56)))</f>
        <v>345.63999999999987</v>
      </c>
      <c r="AJ57" s="14">
        <f>AI57*VLOOKUP('Données projet'!$B$10,Paramètres!$A$1:$I$89,3,0)*VLOOKUP('Données projet'!$B$10,Paramètres!$A$1:$I$89,5,0)</f>
        <v>161.75951999999995</v>
      </c>
      <c r="AK57" s="14">
        <f t="shared" si="35"/>
        <v>41.239127084112248</v>
      </c>
      <c r="AL57" s="22">
        <f t="shared" si="4"/>
        <v>353.55597700482872</v>
      </c>
      <c r="AM57" s="62">
        <f t="shared" si="5"/>
        <v>611.2603496721681</v>
      </c>
      <c r="AN57" s="62">
        <f ca="1">AVERAGE(OFFSET($AM$3,0,0,'Données projet'!$E$10+1,1))-AVERAGE(OFFSET($H$3,0,0,'Données projet'!$E$10+1,1))</f>
        <v>348.76787471354476</v>
      </c>
      <c r="AO57" s="62">
        <f t="shared" si="36"/>
        <v>258.31503417978615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59.385225562404884</v>
      </c>
      <c r="BJ57" s="62">
        <f t="shared" si="38"/>
        <v>285.5244298970598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30.985335253828602</v>
      </c>
      <c r="BQ57" s="23">
        <f>EXP(-LN(2)/25)*BQ56+(1-EXP(-LN(2)/25))/(LN(2)/25)*Calculateur!BL57*Calculateur!BN57*VLOOKUP('Données projet'!$B$11,Paramètres!$A$1:$I$89,3,0)*0.475*44/12</f>
        <v>5.8940144268374732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36.879349680666074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243.79999999999998</v>
      </c>
      <c r="BZ57" s="14">
        <f>BY57*VLOOKUP('Données projet'!$B$12,Paramètres!$A$1:$I$89,3,0)*VLOOKUP('Données projet'!$B$12,Paramètres!$A$1:$I$89,5,0)</f>
        <v>247.2132</v>
      </c>
      <c r="CA57" s="14">
        <f t="shared" si="39"/>
        <v>59.988800807398761</v>
      </c>
      <c r="CB57" s="22">
        <f t="shared" si="10"/>
        <v>535.04348473955281</v>
      </c>
      <c r="CC57" s="62">
        <f t="shared" si="11"/>
        <v>792.74785740689208</v>
      </c>
      <c r="CD57" s="62">
        <f ca="1">AVERAGE(OFFSET($CC$3,0,0,'Données projet'!$E$12+1,1))-AVERAGE(OFFSET($H$3,0,0,'Données projet'!$E$12+1,1))</f>
        <v>520.80494930257237</v>
      </c>
      <c r="CE57" s="62">
        <f t="shared" si="40"/>
        <v>325.72635759450861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0.37997646937232382</v>
      </c>
      <c r="CL57" s="23">
        <f>EXP(-LN(2)/25)*CL56+(1-EXP(-LN(2)/25))/(LN(2)/25)*Calculateur!CG57*Calculateur!CI57*VLOOKUP('Données projet'!$B$12,Paramètres!$A$1:$I$89,3,0)*0.475*44/12</f>
        <v>1.5039846641789043</v>
      </c>
      <c r="CM57" s="23">
        <f>EXP(-LN(2)/2)*CM56+(1-EXP(-LN(2)/2))/(LN(2)/2)*CG57*CJ57*VLOOKUP('Données projet'!$B$12,Paramètres!$A$1:$I$89,3,0)*0.475*44/12</f>
        <v>8.5310307129124756E-4</v>
      </c>
      <c r="CN57" s="24">
        <f t="shared" si="12"/>
        <v>1.8848142366225193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756.54847539707771</v>
      </c>
      <c r="S58" s="62">
        <f ca="1">AVERAGE(OFFSET($R$3,0,0,'Données projet'!$E$9+1,1))-AVERAGE(OFFSET($H$3,0,0,'Données projet'!$E$9+1,1))</f>
        <v>472.83070477639035</v>
      </c>
      <c r="T58" s="62">
        <f t="shared" si="34"/>
        <v>297.32483725004136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0.33240724660154247</v>
      </c>
      <c r="AA58" s="23">
        <f>EXP(-LN(2)/25)*AA57+(1-EXP(-LN(2)/25))/(LN(2)/25)*Calculateur!V58*Calculateur!X58*VLOOKUP('Données projet'!$B$9,Paramètres!$A$1:$I$89,3,0)*0.475*44/12</f>
        <v>1.3053195571978051</v>
      </c>
      <c r="AB58" s="23">
        <f>EXP(-LN(2)/2)*AB57+(1-EXP(-LN(2)/2))/(LN(2)/2)*V58*Y58*VLOOKUP('Données projet'!$B$9,Paramètres!$A$1:$I$89,3,0)*0.475*44/12</f>
        <v>5.3827120110991528E-4</v>
      </c>
      <c r="AC58" s="24">
        <f t="shared" si="3"/>
        <v>1.6382650750004575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17.034999999999997</v>
      </c>
      <c r="AI58" s="14">
        <f>IF('Données projet'!$A$62&gt;35,AI57+AH58-AQ57,IF(A58&lt;'Données projet'!$A$62,$AF$205^A58,IF(A58='Données projet'!$A$62,'Données projet'!$B$62,AI57+AH58-AQ57)))</f>
        <v>362.67499999999984</v>
      </c>
      <c r="AJ58" s="14">
        <f>AI58*VLOOKUP('Données projet'!$B$10,Paramètres!$A$1:$I$89,3,0)*VLOOKUP('Données projet'!$B$10,Paramètres!$A$1:$I$89,5,0)</f>
        <v>169.73189999999991</v>
      </c>
      <c r="AK58" s="14">
        <f t="shared" si="35"/>
        <v>43.029972589331059</v>
      </c>
      <c r="AL58" s="22">
        <f t="shared" si="4"/>
        <v>370.56026142641809</v>
      </c>
      <c r="AM58" s="62">
        <f t="shared" si="5"/>
        <v>628.88271690688953</v>
      </c>
      <c r="AN58" s="62">
        <f ca="1">AVERAGE(OFFSET($AM$3,0,0,'Données projet'!$E$10+1,1))-AVERAGE(OFFSET($H$3,0,0,'Données projet'!$E$10+1,1))</f>
        <v>348.76787471354476</v>
      </c>
      <c r="AO58" s="62">
        <f t="shared" si="36"/>
        <v>258.31503417978615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59.385225562404884</v>
      </c>
      <c r="BJ58" s="62">
        <f t="shared" si="38"/>
        <v>285.5244298970598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30.377731728689387</v>
      </c>
      <c r="BQ58" s="23">
        <f>EXP(-LN(2)/25)*BQ57+(1-EXP(-LN(2)/25))/(LN(2)/25)*Calculateur!BL58*Calculateur!BN58*VLOOKUP('Données projet'!$B$11,Paramètres!$A$1:$I$89,3,0)*0.475*44/12</f>
        <v>5.7328422923828546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36.110574021072239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254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253.99999999999997</v>
      </c>
      <c r="BZ58" s="14">
        <f>BY58*VLOOKUP('Données projet'!$B$12,Paramètres!$A$1:$I$89,3,0)*VLOOKUP('Données projet'!$B$12,Paramètres!$A$1:$I$89,5,0)</f>
        <v>257.55599999999998</v>
      </c>
      <c r="CA58" s="14">
        <f t="shared" si="39"/>
        <v>62.201129910568184</v>
      </c>
      <c r="CB58" s="22">
        <f t="shared" si="10"/>
        <v>556.91033459423954</v>
      </c>
      <c r="CC58" s="62">
        <f t="shared" si="11"/>
        <v>815.23279007471092</v>
      </c>
      <c r="CD58" s="62">
        <f ca="1">AVERAGE(OFFSET($CC$3,0,0,'Données projet'!$E$12+1,1))-AVERAGE(OFFSET($H$3,0,0,'Données projet'!$E$12+1,1))</f>
        <v>520.80494930257237</v>
      </c>
      <c r="CE58" s="62">
        <f t="shared" si="40"/>
        <v>325.72635759450861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0.37252536257069419</v>
      </c>
      <c r="CL58" s="23">
        <f>EXP(-LN(2)/25)*CL57+(1-EXP(-LN(2)/25))/(LN(2)/25)*Calculateur!CG58*Calculateur!CI58*VLOOKUP('Données projet'!$B$12,Paramètres!$A$1:$I$89,3,0)*0.475*44/12</f>
        <v>1.4628581244458161</v>
      </c>
      <c r="CM58" s="23">
        <f>EXP(-LN(2)/2)*CM57+(1-EXP(-LN(2)/2))/(LN(2)/2)*CG58*CJ58*VLOOKUP('Données projet'!$B$12,Paramètres!$A$1:$I$89,3,0)*0.475*44/12</f>
        <v>6.0323496676111183E-4</v>
      </c>
      <c r="CN58" s="24">
        <f t="shared" si="12"/>
        <v>1.8359867219832713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721.47875790189846</v>
      </c>
      <c r="S59" s="62">
        <f ca="1">AVERAGE(OFFSET($R$3,0,0,'Données projet'!$E$9+1,1))-AVERAGE(OFFSET($H$3,0,0,'Données projet'!$E$9+1,1))</f>
        <v>472.83070477639035</v>
      </c>
      <c r="T59" s="62">
        <f t="shared" si="34"/>
        <v>297.32483725004136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0.3258889432440869</v>
      </c>
      <c r="AA59" s="23">
        <f>EXP(-LN(2)/25)*AA58+(1-EXP(-LN(2)/25))/(LN(2)/25)*Calculateur!V59*Calculateur!X59*VLOOKUP('Données projet'!$B$9,Paramètres!$A$1:$I$89,3,0)*0.475*44/12</f>
        <v>1.2696255252624591</v>
      </c>
      <c r="AB59" s="23">
        <f>EXP(-LN(2)/2)*AB58+(1-EXP(-LN(2)/2))/(LN(2)/2)*V59*Y59*VLOOKUP('Données projet'!$B$9,Paramètres!$A$1:$I$89,3,0)*0.475*44/12</f>
        <v>3.8061521642224899E-4</v>
      </c>
      <c r="AC59" s="24">
        <f t="shared" si="3"/>
        <v>1.5958950837229684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>
        <f>VLOOKUP(A59,'Données projet'!$A$61:$I$81,2,0)</f>
        <v>379.71</v>
      </c>
      <c r="AG59" s="13">
        <f>VLOOKUP(A59,'Données projet'!$A$61:$I$81,9,0)</f>
        <v>17.034999999999997</v>
      </c>
      <c r="AH59" s="13">
        <f t="array" ref="AH59">INDEX(AG:AG,MIN(IF(ISNUMBER(AG59:AG255),ROW(AG59:AG255),"")))</f>
        <v>17.034999999999997</v>
      </c>
      <c r="AI59" s="14">
        <f>IF('Données projet'!$A$62&gt;35,AI58+AH59-AQ58,IF(A59&lt;'Données projet'!$A$62,$AF$205^A59,IF(A59='Données projet'!$A$62,'Données projet'!$B$62,AI58+AH59-AQ58)))</f>
        <v>379.70999999999981</v>
      </c>
      <c r="AJ59" s="14">
        <f>AI59*VLOOKUP('Données projet'!$B$10,Paramètres!$A$1:$I$89,3,0)*VLOOKUP('Données projet'!$B$10,Paramètres!$A$1:$I$89,5,0)</f>
        <v>177.70427999999993</v>
      </c>
      <c r="AK59" s="14">
        <f t="shared" si="35"/>
        <v>44.811049826105538</v>
      </c>
      <c r="AL59" s="22">
        <f t="shared" si="4"/>
        <v>387.54753278046701</v>
      </c>
      <c r="AM59" s="62">
        <f t="shared" si="5"/>
        <v>646.4773487190887</v>
      </c>
      <c r="AN59" s="62">
        <f ca="1">AVERAGE(OFFSET($AM$3,0,0,'Données projet'!$E$10+1,1))-AVERAGE(OFFSET($H$3,0,0,'Données projet'!$E$10+1,1))</f>
        <v>348.76787471354476</v>
      </c>
      <c r="AO59" s="62">
        <f t="shared" si="36"/>
        <v>258.31503417978615</v>
      </c>
      <c r="AP59" s="16">
        <f>IF(ISNA(VLOOKUP(A59,'Données projet'!$A$61:$I$81,3,0)),0,VLOOKUP(A59,'Données projet'!$A$61:$I$81,3,0))</f>
        <v>7</v>
      </c>
      <c r="AQ59" s="16">
        <f>IF(ISNA(VLOOKUP(A59,'Données projet'!$A$61:$I$81,4,0)),0,VLOOKUP(A59,'Données projet'!$A$61:$I$81,4,0))</f>
        <v>79.39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59.385225562404884</v>
      </c>
      <c r="BJ59" s="62">
        <f t="shared" si="38"/>
        <v>285.5244298970598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29.782042938076597</v>
      </c>
      <c r="BQ59" s="23">
        <f>EXP(-LN(2)/25)*BQ58+(1-EXP(-LN(2)/25))/(LN(2)/25)*Calculateur!BL59*Calculateur!BN59*VLOOKUP('Données projet'!$B$11,Paramètres!$A$1:$I$89,3,0)*0.475*44/12</f>
        <v>5.5760774184205717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35.358120356497167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238.69559999999998</v>
      </c>
      <c r="CA59" s="14">
        <f t="shared" si="39"/>
        <v>58.158793514165929</v>
      </c>
      <c r="CB59" s="22">
        <f t="shared" si="10"/>
        <v>517.02140203717238</v>
      </c>
      <c r="CC59" s="62">
        <f t="shared" si="11"/>
        <v>775.95121797579418</v>
      </c>
      <c r="CD59" s="62">
        <f ca="1">AVERAGE(OFFSET($CC$3,0,0,'Données projet'!$E$12+1,1))-AVERAGE(OFFSET($H$3,0,0,'Données projet'!$E$12+1,1))</f>
        <v>520.80494930257237</v>
      </c>
      <c r="CE59" s="62">
        <f t="shared" si="40"/>
        <v>325.72635759450861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0.36522036742871811</v>
      </c>
      <c r="CL59" s="23">
        <f>EXP(-LN(2)/25)*CL58+(1-EXP(-LN(2)/25))/(LN(2)/25)*Calculateur!CG59*Calculateur!CI59*VLOOKUP('Données projet'!$B$12,Paramètres!$A$1:$I$89,3,0)*0.475*44/12</f>
        <v>1.42285619210448</v>
      </c>
      <c r="CM59" s="23">
        <f>EXP(-LN(2)/2)*CM58+(1-EXP(-LN(2)/2))/(LN(2)/2)*CG59*CJ59*VLOOKUP('Données projet'!$B$12,Paramètres!$A$1:$I$89,3,0)*0.475*44/12</f>
        <v>4.2655153564562378E-4</v>
      </c>
      <c r="CN59" s="24">
        <f t="shared" si="12"/>
        <v>1.7885031110688439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740.11297380909809</v>
      </c>
      <c r="S60" s="62">
        <f ca="1">AVERAGE(OFFSET($R$3,0,0,'Données projet'!$E$9+1,1))-AVERAGE(OFFSET($H$3,0,0,'Données projet'!$E$9+1,1))</f>
        <v>472.83070477639035</v>
      </c>
      <c r="T60" s="62">
        <f t="shared" si="34"/>
        <v>297.32483725004136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0.31949845983969855</v>
      </c>
      <c r="AA60" s="23">
        <f>EXP(-LN(2)/25)*AA59+(1-EXP(-LN(2)/25))/(LN(2)/25)*Calculateur!V60*Calculateur!X60*VLOOKUP('Données projet'!$B$9,Paramètres!$A$1:$I$89,3,0)*0.475*44/12</f>
        <v>1.2349075485074525</v>
      </c>
      <c r="AB60" s="23">
        <f>EXP(-LN(2)/2)*AB59+(1-EXP(-LN(2)/2))/(LN(2)/2)*V60*Y60*VLOOKUP('Données projet'!$B$9,Paramètres!$A$1:$I$89,3,0)*0.475*44/12</f>
        <v>2.6913560055495764E-4</v>
      </c>
      <c r="AC60" s="24">
        <f t="shared" si="3"/>
        <v>1.554675143947706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>
        <f>VLOOKUP(A60,'Données projet'!$A$61:$I$81,2,0)</f>
        <v>316.45</v>
      </c>
      <c r="AG60" s="13">
        <f>VLOOKUP(A60,'Données projet'!$A$61:$I$81,9,0)</f>
        <v>16.129999999999995</v>
      </c>
      <c r="AH60" s="13">
        <f t="array" ref="AH60">INDEX(AG:AG,MIN(IF(ISNUMBER(AG60:AG256),ROW(AG60:AG256),"")))</f>
        <v>16.129999999999995</v>
      </c>
      <c r="AI60" s="14">
        <f>IF('Données projet'!$A$62&gt;35,AI59+AH60-AQ59,IF(A60&lt;'Données projet'!$A$62,$AF$205^A60,IF(A60='Données projet'!$A$62,'Données projet'!$B$62,AI59+AH60-AQ59)))</f>
        <v>316.44999999999982</v>
      </c>
      <c r="AJ60" s="14">
        <f>AI60*VLOOKUP('Données projet'!$B$10,Paramètres!$A$1:$I$89,3,0)*VLOOKUP('Données projet'!$B$10,Paramètres!$A$1:$I$89,5,0)</f>
        <v>148.09859999999992</v>
      </c>
      <c r="AK60" s="14">
        <f t="shared" si="35"/>
        <v>38.146165355224731</v>
      </c>
      <c r="AL60" s="22">
        <f t="shared" si="4"/>
        <v>324.37629966034956</v>
      </c>
      <c r="AM60" s="62">
        <f t="shared" si="5"/>
        <v>583.90293971102733</v>
      </c>
      <c r="AN60" s="62">
        <f ca="1">AVERAGE(OFFSET($AM$3,0,0,'Données projet'!$E$10+1,1))-AVERAGE(OFFSET($H$3,0,0,'Données projet'!$E$10+1,1))</f>
        <v>348.76787471354476</v>
      </c>
      <c r="AO60" s="62">
        <f t="shared" si="36"/>
        <v>258.31503417978615</v>
      </c>
      <c r="AP60" s="16">
        <f>IF(ISNA(VLOOKUP(A60,'Données projet'!$A$61:$I$81,3,0)),0,VLOOKUP(A60,'Données projet'!$A$61:$I$81,3,0))</f>
        <v>8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59.385225562404884</v>
      </c>
      <c r="BJ60" s="62">
        <f t="shared" si="38"/>
        <v>285.5244298970598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29.198035241313438</v>
      </c>
      <c r="BQ60" s="23">
        <f>EXP(-LN(2)/25)*BQ59+(1-EXP(-LN(2)/25))/(LN(2)/25)*Calculateur!BL60*Calculateur!BN60*VLOOKUP('Données projet'!$B$11,Paramètres!$A$1:$I$89,3,0)*0.475*44/12</f>
        <v>5.4235992881806938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34.621634529494131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248.22720000000001</v>
      </c>
      <c r="CA60" s="14">
        <f t="shared" si="39"/>
        <v>60.20616532763993</v>
      </c>
      <c r="CB60" s="22">
        <f t="shared" si="10"/>
        <v>537.18811127897277</v>
      </c>
      <c r="CC60" s="62">
        <f t="shared" si="11"/>
        <v>796.71475132965043</v>
      </c>
      <c r="CD60" s="62">
        <f ca="1">AVERAGE(OFFSET($CC$3,0,0,'Données projet'!$E$12+1,1))-AVERAGE(OFFSET($H$3,0,0,'Données projet'!$E$12+1,1))</f>
        <v>520.80494930257237</v>
      </c>
      <c r="CE60" s="62">
        <f t="shared" si="40"/>
        <v>325.72635759450861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0.35805861878586909</v>
      </c>
      <c r="CL60" s="23">
        <f>EXP(-LN(2)/25)*CL59+(1-EXP(-LN(2)/25))/(LN(2)/25)*Calculateur!CG60*Calculateur!CI60*VLOOKUP('Données projet'!$B$12,Paramètres!$A$1:$I$89,3,0)*0.475*44/12</f>
        <v>1.3839481147066279</v>
      </c>
      <c r="CM60" s="23">
        <f>EXP(-LN(2)/2)*CM59+(1-EXP(-LN(2)/2))/(LN(2)/2)*CG60*CJ60*VLOOKUP('Données projet'!$B$12,Paramètres!$A$1:$I$89,3,0)*0.475*44/12</f>
        <v>3.0161748338055591E-4</v>
      </c>
      <c r="CN60" s="24">
        <f t="shared" si="12"/>
        <v>1.7423083509758774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758.7224531863385</v>
      </c>
      <c r="S61" s="62">
        <f ca="1">AVERAGE(OFFSET($R$3,0,0,'Données projet'!$E$9+1,1))-AVERAGE(OFFSET($H$3,0,0,'Données projet'!$E$9+1,1))</f>
        <v>472.83070477639035</v>
      </c>
      <c r="T61" s="62">
        <f t="shared" si="34"/>
        <v>297.32483725004136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0.31323328991706029</v>
      </c>
      <c r="AA61" s="23">
        <f>EXP(-LN(2)/25)*AA60+(1-EXP(-LN(2)/25))/(LN(2)/25)*Calculateur!V61*Calculateur!X61*VLOOKUP('Données projet'!$B$9,Paramètres!$A$1:$I$89,3,0)*0.475*44/12</f>
        <v>1.2011389366525507</v>
      </c>
      <c r="AB61" s="23">
        <f>EXP(-LN(2)/2)*AB60+(1-EXP(-LN(2)/2))/(LN(2)/2)*V61*Y61*VLOOKUP('Données projet'!$B$9,Paramètres!$A$1:$I$89,3,0)*0.475*44/12</f>
        <v>1.903076082111245E-4</v>
      </c>
      <c r="AC61" s="24">
        <f t="shared" si="3"/>
        <v>1.5145625341778219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16.673333333333336</v>
      </c>
      <c r="AI61" s="14">
        <f>IF('Données projet'!$A$62&gt;35,AI60+AH61-AQ60,IF(A61&lt;'Données projet'!$A$62,$AF$205^A61,IF(A61='Données projet'!$A$62,'Données projet'!$B$62,AI60+AH61-AQ60)))</f>
        <v>333.12333333333316</v>
      </c>
      <c r="AJ61" s="14">
        <f>AI61*VLOOKUP('Données projet'!$B$10,Paramètres!$A$1:$I$89,3,0)*VLOOKUP('Données projet'!$B$10,Paramètres!$A$1:$I$89,5,0)</f>
        <v>155.90171999999993</v>
      </c>
      <c r="AK61" s="14">
        <f t="shared" si="35"/>
        <v>39.916745580345044</v>
      </c>
      <c r="AL61" s="22">
        <f t="shared" si="4"/>
        <v>341.05049421910081</v>
      </c>
      <c r="AM61" s="62">
        <f t="shared" si="5"/>
        <v>601.16360481778929</v>
      </c>
      <c r="AN61" s="62">
        <f ca="1">AVERAGE(OFFSET($AM$3,0,0,'Données projet'!$E$10+1,1))-AVERAGE(OFFSET($H$3,0,0,'Données projet'!$E$10+1,1))</f>
        <v>348.76787471354476</v>
      </c>
      <c r="AO61" s="62">
        <f t="shared" si="36"/>
        <v>258.31503417978615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59.385225562404884</v>
      </c>
      <c r="BJ61" s="62">
        <f t="shared" si="38"/>
        <v>285.5244298970598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28.62547957927428</v>
      </c>
      <c r="BQ61" s="23">
        <f>EXP(-LN(2)/25)*BQ60+(1-EXP(-LN(2)/25))/(LN(2)/25)*Calculateur!BL61*Calculateur!BN61*VLOOKUP('Données projet'!$B$11,Paramètres!$A$1:$I$89,3,0)*0.475*44/12</f>
        <v>5.275290680430702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33.900770259704984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257.75880000000001</v>
      </c>
      <c r="CA61" s="14">
        <f t="shared" si="39"/>
        <v>62.244404241627407</v>
      </c>
      <c r="CB61" s="22">
        <f t="shared" si="10"/>
        <v>557.33891405416773</v>
      </c>
      <c r="CC61" s="62">
        <f t="shared" si="11"/>
        <v>817.45202465285615</v>
      </c>
      <c r="CD61" s="62">
        <f ca="1">AVERAGE(OFFSET($CC$3,0,0,'Données projet'!$E$12+1,1))-AVERAGE(OFFSET($H$3,0,0,'Données projet'!$E$12+1,1))</f>
        <v>520.80494930257237</v>
      </c>
      <c r="CE61" s="62">
        <f t="shared" si="40"/>
        <v>325.72635759450861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0.35103730766567104</v>
      </c>
      <c r="CL61" s="23">
        <f>EXP(-LN(2)/25)*CL60+(1-EXP(-LN(2)/25))/(LN(2)/25)*Calculateur!CG61*Calculateur!CI61*VLOOKUP('Données projet'!$B$12,Paramètres!$A$1:$I$89,3,0)*0.475*44/12</f>
        <v>1.3461039807313069</v>
      </c>
      <c r="CM61" s="23">
        <f>EXP(-LN(2)/2)*CM60+(1-EXP(-LN(2)/2))/(LN(2)/2)*CG61*CJ61*VLOOKUP('Données projet'!$B$12,Paramètres!$A$1:$I$89,3,0)*0.475*44/12</f>
        <v>2.1327576782281189E-4</v>
      </c>
      <c r="CN61" s="24">
        <f t="shared" si="12"/>
        <v>1.6973545641648007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777.30796841682741</v>
      </c>
      <c r="S62" s="62">
        <f ca="1">AVERAGE(OFFSET($R$3,0,0,'Données projet'!$E$9+1,1))-AVERAGE(OFFSET($H$3,0,0,'Données projet'!$E$9+1,1))</f>
        <v>472.83070477639035</v>
      </c>
      <c r="T62" s="62">
        <f t="shared" si="34"/>
        <v>297.32483725004136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0.30709097615522862</v>
      </c>
      <c r="AA62" s="23">
        <f>EXP(-LN(2)/25)*AA61+(1-EXP(-LN(2)/25))/(LN(2)/25)*Calculateur!V62*Calculateur!X62*VLOOKUP('Données projet'!$B$9,Paramètres!$A$1:$I$89,3,0)*0.475*44/12</f>
        <v>1.1682937292646352</v>
      </c>
      <c r="AB62" s="23">
        <f>EXP(-LN(2)/2)*AB61+(1-EXP(-LN(2)/2))/(LN(2)/2)*V62*Y62*VLOOKUP('Données projet'!$B$9,Paramètres!$A$1:$I$89,3,0)*0.475*44/12</f>
        <v>1.3456780027747882E-4</v>
      </c>
      <c r="AC62" s="24">
        <f t="shared" si="3"/>
        <v>1.4755192732201414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16.673333333333336</v>
      </c>
      <c r="AI62" s="14">
        <f>IF('Données projet'!$A$62&gt;35,AI61+AH62-AQ61,IF(A62&lt;'Données projet'!$A$62,$AF$205^A62,IF(A62='Données projet'!$A$62,'Données projet'!$B$62,AI61+AH62-AQ61)))</f>
        <v>349.79666666666651</v>
      </c>
      <c r="AJ62" s="14">
        <f>AI62*VLOOKUP('Données projet'!$B$10,Paramètres!$A$1:$I$89,3,0)*VLOOKUP('Données projet'!$B$10,Paramètres!$A$1:$I$89,5,0)</f>
        <v>163.70483999999993</v>
      </c>
      <c r="AK62" s="14">
        <f t="shared" si="35"/>
        <v>41.677035862529486</v>
      </c>
      <c r="AL62" s="22">
        <f t="shared" si="4"/>
        <v>357.70676712723872</v>
      </c>
      <c r="AM62" s="62">
        <f t="shared" si="5"/>
        <v>618.3961743210815</v>
      </c>
      <c r="AN62" s="62">
        <f ca="1">AVERAGE(OFFSET($AM$3,0,0,'Données projet'!$E$10+1,1))-AVERAGE(OFFSET($H$3,0,0,'Données projet'!$E$10+1,1))</f>
        <v>348.76787471354476</v>
      </c>
      <c r="AO62" s="62">
        <f t="shared" si="36"/>
        <v>258.31503417978615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59.385225562404884</v>
      </c>
      <c r="BJ62" s="62">
        <f t="shared" si="38"/>
        <v>285.5244298970598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28.064151384543241</v>
      </c>
      <c r="BQ62" s="23">
        <f>EXP(-LN(2)/25)*BQ61+(1-EXP(-LN(2)/25))/(LN(2)/25)*Calculateur!BL62*Calculateur!BN62*VLOOKUP('Données projet'!$B$11,Paramètres!$A$1:$I$89,3,0)*0.475*44/12</f>
        <v>5.1310375793588445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33.195188963902083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267.29039999999998</v>
      </c>
      <c r="CA62" s="14">
        <f t="shared" si="39"/>
        <v>64.273886654661325</v>
      </c>
      <c r="CB62" s="22">
        <f t="shared" si="10"/>
        <v>577.47446592353515</v>
      </c>
      <c r="CC62" s="62">
        <f t="shared" si="11"/>
        <v>838.16387311737799</v>
      </c>
      <c r="CD62" s="62">
        <f ca="1">AVERAGE(OFFSET($CC$3,0,0,'Données projet'!$E$12+1,1))-AVERAGE(OFFSET($H$3,0,0,'Données projet'!$E$12+1,1))</f>
        <v>520.80494930257237</v>
      </c>
      <c r="CE62" s="62">
        <f t="shared" si="40"/>
        <v>325.72635759450861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0.34415368017396314</v>
      </c>
      <c r="CL62" s="23">
        <f>EXP(-LN(2)/25)*CL61+(1-EXP(-LN(2)/25))/(LN(2)/25)*Calculateur!CG62*Calculateur!CI62*VLOOKUP('Données projet'!$B$12,Paramètres!$A$1:$I$89,3,0)*0.475*44/12</f>
        <v>1.3092946965896775</v>
      </c>
      <c r="CM62" s="23">
        <f>EXP(-LN(2)/2)*CM61+(1-EXP(-LN(2)/2))/(LN(2)/2)*CG62*CJ62*VLOOKUP('Données projet'!$B$12,Paramètres!$A$1:$I$89,3,0)*0.475*44/12</f>
        <v>1.5080874169027796E-4</v>
      </c>
      <c r="CN62" s="24">
        <f t="shared" si="12"/>
        <v>1.6535991855053309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795.87024409467267</v>
      </c>
      <c r="S63" s="62">
        <f ca="1">AVERAGE(OFFSET($R$3,0,0,'Données projet'!$E$9+1,1))-AVERAGE(OFFSET($H$3,0,0,'Données projet'!$E$9+1,1))</f>
        <v>472.83070477639035</v>
      </c>
      <c r="T63" s="62">
        <f t="shared" si="34"/>
        <v>297.32483725004136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0.30106910941982501</v>
      </c>
      <c r="AA63" s="23">
        <f>EXP(-LN(2)/25)*AA62+(1-EXP(-LN(2)/25))/(LN(2)/25)*Calculateur!V63*Calculateur!X63*VLOOKUP('Données projet'!$B$9,Paramètres!$A$1:$I$89,3,0)*0.475*44/12</f>
        <v>1.1363466757999967</v>
      </c>
      <c r="AB63" s="23">
        <f>EXP(-LN(2)/2)*AB62+(1-EXP(-LN(2)/2))/(LN(2)/2)*V63*Y63*VLOOKUP('Données projet'!$B$9,Paramètres!$A$1:$I$89,3,0)*0.475*44/12</f>
        <v>9.5153804105562248E-5</v>
      </c>
      <c r="AC63" s="24">
        <f t="shared" si="3"/>
        <v>1.4375109390239273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16.673333333333336</v>
      </c>
      <c r="AI63" s="14">
        <f>IF('Données projet'!$A$62&gt;35,AI62+AH63-AQ62,IF(A63&lt;'Données projet'!$A$62,$AF$205^A63,IF(A63='Données projet'!$A$62,'Données projet'!$B$62,AI62+AH63-AQ62)))</f>
        <v>366.46999999999986</v>
      </c>
      <c r="AJ63" s="14">
        <f>AI63*VLOOKUP('Données projet'!$B$10,Paramètres!$A$1:$I$89,3,0)*VLOOKUP('Données projet'!$B$10,Paramètres!$A$1:$I$89,5,0)</f>
        <v>171.50795999999994</v>
      </c>
      <c r="AK63" s="14">
        <f t="shared" si="35"/>
        <v>43.427582678770712</v>
      </c>
      <c r="AL63" s="22">
        <f t="shared" si="4"/>
        <v>374.34607016552553</v>
      </c>
      <c r="AM63" s="62">
        <f t="shared" si="5"/>
        <v>635.60177649700302</v>
      </c>
      <c r="AN63" s="62">
        <f ca="1">AVERAGE(OFFSET($AM$3,0,0,'Données projet'!$E$10+1,1))-AVERAGE(OFFSET($H$3,0,0,'Données projet'!$E$10+1,1))</f>
        <v>348.76787471354476</v>
      </c>
      <c r="AO63" s="62">
        <f t="shared" si="36"/>
        <v>258.31503417978615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59.385225562404884</v>
      </c>
      <c r="BJ63" s="62">
        <f t="shared" si="38"/>
        <v>285.5244298970598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27.513830493334485</v>
      </c>
      <c r="BQ63" s="23">
        <f>EXP(-LN(2)/25)*BQ62+(1-EXP(-LN(2)/25))/(LN(2)/25)*Calculateur!BL63*Calculateur!BN63*VLOOKUP('Données projet'!$B$11,Paramètres!$A$1:$I$89,3,0)*0.475*44/12</f>
        <v>4.9907290869217373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32.50455958025622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276.82199999999995</v>
      </c>
      <c r="CA63" s="14">
        <f t="shared" si="39"/>
        <v>66.29496059864374</v>
      </c>
      <c r="CB63" s="22">
        <f t="shared" si="10"/>
        <v>597.59537304263779</v>
      </c>
      <c r="CC63" s="62">
        <f t="shared" si="11"/>
        <v>858.85107937411522</v>
      </c>
      <c r="CD63" s="62">
        <f ca="1">AVERAGE(OFFSET($CC$3,0,0,'Données projet'!$E$12+1,1))-AVERAGE(OFFSET($H$3,0,0,'Données projet'!$E$12+1,1))</f>
        <v>520.80494930257237</v>
      </c>
      <c r="CE63" s="62">
        <f t="shared" si="40"/>
        <v>325.72635759450861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28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0.33740503641876946</v>
      </c>
      <c r="CL63" s="23">
        <f>EXP(-LN(2)/25)*CL62+(1-EXP(-LN(2)/25))/(LN(2)/25)*Calculateur!CG63*Calculateur!CI63*VLOOKUP('Données projet'!$B$12,Paramètres!$A$1:$I$89,3,0)*0.475*44/12</f>
        <v>1.2734919642586171</v>
      </c>
      <c r="CM63" s="23">
        <f>EXP(-LN(2)/2)*CM62+(1-EXP(-LN(2)/2))/(LN(2)/2)*CG63*CJ63*VLOOKUP('Données projet'!$B$12,Paramètres!$A$1:$I$89,3,0)*0.475*44/12</f>
        <v>1.0663788391140594E-4</v>
      </c>
      <c r="CN63" s="24">
        <f t="shared" si="12"/>
        <v>1.611003638561298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759.65487244415465</v>
      </c>
      <c r="S64" s="62">
        <f ca="1">AVERAGE(OFFSET($R$3,0,0,'Données projet'!$E$9+1,1))-AVERAGE(OFFSET($H$3,0,0,'Données projet'!$E$9+1,1))</f>
        <v>472.83070477639035</v>
      </c>
      <c r="T64" s="62">
        <f t="shared" si="34"/>
        <v>297.32483725004136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0.29516532781812665</v>
      </c>
      <c r="AA64" s="23">
        <f>EXP(-LN(2)/25)*AA63+(1-EXP(-LN(2)/25))/(LN(2)/25)*Calculateur!V64*Calculateur!X64*VLOOKUP('Données projet'!$B$9,Paramètres!$A$1:$I$89,3,0)*0.475*44/12</f>
        <v>1.1052732161923713</v>
      </c>
      <c r="AB64" s="23">
        <f>EXP(-LN(2)/2)*AB63+(1-EXP(-LN(2)/2))/(LN(2)/2)*V64*Y64*VLOOKUP('Données projet'!$B$9,Paramètres!$A$1:$I$89,3,0)*0.475*44/12</f>
        <v>6.7283900138739411E-5</v>
      </c>
      <c r="AC64" s="24">
        <f t="shared" si="3"/>
        <v>1.4005058279106366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16.673333333333336</v>
      </c>
      <c r="AI64" s="14">
        <f>IF('Données projet'!$A$62&gt;35,AI63+AH64-AQ63,IF(A64&lt;'Données projet'!$A$62,$AF$205^A64,IF(A64='Données projet'!$A$62,'Données projet'!$B$62,AI63+AH64-AQ63)))</f>
        <v>383.1433333333332</v>
      </c>
      <c r="AJ64" s="14">
        <f>AI64*VLOOKUP('Données projet'!$B$10,Paramètres!$A$1:$I$89,3,0)*VLOOKUP('Données projet'!$B$10,Paramètres!$A$1:$I$89,5,0)</f>
        <v>179.31107999999995</v>
      </c>
      <c r="AK64" s="14">
        <f t="shared" si="35"/>
        <v>45.16887996897394</v>
      </c>
      <c r="AL64" s="22">
        <f t="shared" si="4"/>
        <v>390.9692636126295</v>
      </c>
      <c r="AM64" s="62">
        <f t="shared" si="5"/>
        <v>652.7814450577589</v>
      </c>
      <c r="AN64" s="62">
        <f ca="1">AVERAGE(OFFSET($AM$3,0,0,'Données projet'!$E$10+1,1))-AVERAGE(OFFSET($H$3,0,0,'Données projet'!$E$10+1,1))</f>
        <v>348.76787471354476</v>
      </c>
      <c r="AO64" s="62">
        <f t="shared" si="36"/>
        <v>258.31503417978615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59.385225562404884</v>
      </c>
      <c r="BJ64" s="62">
        <f t="shared" si="38"/>
        <v>285.5244298970598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26.974301059139734</v>
      </c>
      <c r="BQ64" s="23">
        <f>EXP(-LN(2)/25)*BQ63+(1-EXP(-LN(2)/25))/(LN(2)/25)*Calculateur!BL64*Calculateur!BN64*VLOOKUP('Données projet'!$B$11,Paramètres!$A$1:$I$89,3,0)*0.475*44/12</f>
        <v>4.8542573375888258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31.82855839672856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253.79999999999995</v>
      </c>
      <c r="BZ64" s="14">
        <f>BY64*VLOOKUP('Données projet'!$B$12,Paramètres!$A$1:$I$89,3,0)*VLOOKUP('Données projet'!$B$12,Paramètres!$A$1:$I$89,5,0)</f>
        <v>257.35319999999996</v>
      </c>
      <c r="CA64" s="14">
        <f t="shared" si="39"/>
        <v>62.157851613080908</v>
      </c>
      <c r="CB64" s="22">
        <f t="shared" si="10"/>
        <v>556.48174822611588</v>
      </c>
      <c r="CC64" s="62">
        <f t="shared" si="11"/>
        <v>818.29392967124522</v>
      </c>
      <c r="CD64" s="62">
        <f ca="1">AVERAGE(OFFSET($CC$3,0,0,'Données projet'!$E$12+1,1))-AVERAGE(OFFSET($H$3,0,0,'Données projet'!$E$12+1,1))</f>
        <v>520.80494930257237</v>
      </c>
      <c r="CE64" s="62">
        <f t="shared" si="40"/>
        <v>325.72635759450861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0.33078872945134885</v>
      </c>
      <c r="CL64" s="23">
        <f>EXP(-LN(2)/25)*CL63+(1-EXP(-LN(2)/25))/(LN(2)/25)*Calculateur!CG64*Calculateur!CI64*VLOOKUP('Données projet'!$B$12,Paramètres!$A$1:$I$89,3,0)*0.475*44/12</f>
        <v>1.2386682595259335</v>
      </c>
      <c r="CM64" s="23">
        <f>EXP(-LN(2)/2)*CM63+(1-EXP(-LN(2)/2))/(LN(2)/2)*CG64*CJ64*VLOOKUP('Données projet'!$B$12,Paramètres!$A$1:$I$89,3,0)*0.475*44/12</f>
        <v>7.5404370845138979E-5</v>
      </c>
      <c r="CN64" s="24">
        <f t="shared" si="12"/>
        <v>1.5695323933481276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777.06232855539611</v>
      </c>
      <c r="S65" s="62">
        <f ca="1">AVERAGE(OFFSET($R$3,0,0,'Données projet'!$E$9+1,1))-AVERAGE(OFFSET($H$3,0,0,'Données projet'!$E$9+1,1))</f>
        <v>472.83070477639035</v>
      </c>
      <c r="T65" s="62">
        <f t="shared" si="34"/>
        <v>297.32483725004136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0.28937731577268638</v>
      </c>
      <c r="AA65" s="23">
        <f>EXP(-LN(2)/25)*AA64+(1-EXP(-LN(2)/25))/(LN(2)/25)*Calculateur!V65*Calculateur!X65*VLOOKUP('Données projet'!$B$9,Paramètres!$A$1:$I$89,3,0)*0.475*44/12</f>
        <v>1.0750494619717985</v>
      </c>
      <c r="AB65" s="23">
        <f>EXP(-LN(2)/2)*AB64+(1-EXP(-LN(2)/2))/(LN(2)/2)*V65*Y65*VLOOKUP('Données projet'!$B$9,Paramètres!$A$1:$I$89,3,0)*0.475*44/12</f>
        <v>4.7576902052781124E-5</v>
      </c>
      <c r="AC65" s="24">
        <f t="shared" si="3"/>
        <v>1.3644743546465377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16.673333333333336</v>
      </c>
      <c r="AI65" s="14">
        <f>IF('Données projet'!$A$62&gt;35,AI64+AH65-AQ64,IF(A65&lt;'Données projet'!$A$62,$AF$205^A65,IF(A65='Données projet'!$A$62,'Données projet'!$B$62,AI64+AH65-AQ64)))</f>
        <v>399.81666666666655</v>
      </c>
      <c r="AJ65" s="14">
        <f>AI65*VLOOKUP('Données projet'!$B$10,Paramètres!$A$1:$I$89,3,0)*VLOOKUP('Données projet'!$B$10,Paramètres!$A$1:$I$89,5,0)</f>
        <v>187.11419999999993</v>
      </c>
      <c r="AK65" s="14">
        <f t="shared" si="35"/>
        <v>46.901376252207641</v>
      </c>
      <c r="AL65" s="22">
        <f t="shared" si="4"/>
        <v>407.57712863926145</v>
      </c>
      <c r="AM65" s="62">
        <f t="shared" si="5"/>
        <v>669.93613159891277</v>
      </c>
      <c r="AN65" s="62">
        <f ca="1">AVERAGE(OFFSET($AM$3,0,0,'Données projet'!$E$10+1,1))-AVERAGE(OFFSET($H$3,0,0,'Données projet'!$E$10+1,1))</f>
        <v>348.76787471354476</v>
      </c>
      <c r="AO65" s="62">
        <f t="shared" si="36"/>
        <v>258.31503417978615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59.385225562404884</v>
      </c>
      <c r="BJ65" s="62">
        <f t="shared" si="38"/>
        <v>285.5244298970598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26.445351468069081</v>
      </c>
      <c r="BQ65" s="23">
        <f>EXP(-LN(2)/25)*BQ64+(1-EXP(-LN(2)/25))/(LN(2)/25)*Calculateur!BL65*Calculateur!BN65*VLOOKUP('Données projet'!$B$11,Paramètres!$A$1:$I$89,3,0)*0.475*44/12</f>
        <v>4.7215174154181607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31.16686888348724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262.59999999999997</v>
      </c>
      <c r="BZ65" s="14">
        <f>BY65*VLOOKUP('Données projet'!$B$12,Paramètres!$A$1:$I$89,3,0)*VLOOKUP('Données projet'!$B$12,Paramètres!$A$1:$I$89,5,0)</f>
        <v>266.27640000000002</v>
      </c>
      <c r="CA65" s="14">
        <f t="shared" si="39"/>
        <v>64.058389829439747</v>
      </c>
      <c r="CB65" s="22">
        <f t="shared" si="10"/>
        <v>575.33309228627434</v>
      </c>
      <c r="CC65" s="62">
        <f t="shared" si="11"/>
        <v>837.69209524592566</v>
      </c>
      <c r="CD65" s="62">
        <f ca="1">AVERAGE(OFFSET($CC$3,0,0,'Données projet'!$E$12+1,1))-AVERAGE(OFFSET($H$3,0,0,'Données projet'!$E$12+1,1))</f>
        <v>520.80494930257237</v>
      </c>
      <c r="CE65" s="62">
        <f t="shared" si="40"/>
        <v>325.72635759450861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0.32430216422801061</v>
      </c>
      <c r="CL65" s="23">
        <f>EXP(-LN(2)/25)*CL64+(1-EXP(-LN(2)/25))/(LN(2)/25)*Calculateur!CG65*Calculateur!CI65*VLOOKUP('Données projet'!$B$12,Paramètres!$A$1:$I$89,3,0)*0.475*44/12</f>
        <v>1.2047968108304641</v>
      </c>
      <c r="CM65" s="23">
        <f>EXP(-LN(2)/2)*CM64+(1-EXP(-LN(2)/2))/(LN(2)/2)*CG65*CJ65*VLOOKUP('Données projet'!$B$12,Paramètres!$A$1:$I$89,3,0)*0.475*44/12</f>
        <v>5.3318941955702972E-5</v>
      </c>
      <c r="CN65" s="24">
        <f t="shared" si="12"/>
        <v>1.5291522940004303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794.44864396082176</v>
      </c>
      <c r="S66" s="62">
        <f ca="1">AVERAGE(OFFSET($R$3,0,0,'Données projet'!$E$9+1,1))-AVERAGE(OFFSET($H$3,0,0,'Données projet'!$E$9+1,1))</f>
        <v>472.83070477639035</v>
      </c>
      <c r="T66" s="62">
        <f t="shared" si="34"/>
        <v>297.32483725004136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0.28370280311311841</v>
      </c>
      <c r="AA66" s="23">
        <f>EXP(-LN(2)/25)*AA65+(1-EXP(-LN(2)/25))/(LN(2)/25)*Calculateur!V66*Calculateur!X66*VLOOKUP('Données projet'!$B$9,Paramètres!$A$1:$I$89,3,0)*0.475*44/12</f>
        <v>1.0456521778997856</v>
      </c>
      <c r="AB66" s="23">
        <f>EXP(-LN(2)/2)*AB65+(1-EXP(-LN(2)/2))/(LN(2)/2)*V66*Y66*VLOOKUP('Données projet'!$B$9,Paramètres!$A$1:$I$89,3,0)*0.475*44/12</f>
        <v>3.3641950069369705E-5</v>
      </c>
      <c r="AC66" s="24">
        <f t="shared" si="3"/>
        <v>1.3293886229629732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>
        <f>VLOOKUP(A66,'Données projet'!$A$61:$I$81,2,0)</f>
        <v>416.49</v>
      </c>
      <c r="AG66" s="13">
        <f>VLOOKUP(A66,'Données projet'!$A$61:$I$81,9,0)</f>
        <v>16.673333333333336</v>
      </c>
      <c r="AH66" s="13">
        <f t="array" ref="AH66">INDEX(AG:AG,MIN(IF(ISNUMBER(AG66:AG262),ROW(AG66:AG262),"")))</f>
        <v>16.673333333333336</v>
      </c>
      <c r="AI66" s="14">
        <f>IF('Données projet'!$A$62&gt;35,AI65+AH66-AQ65,IF(A66&lt;'Données projet'!$A$62,$AF$205^A66,IF(A66='Données projet'!$A$62,'Données projet'!$B$62,AI65+AH66-AQ65)))</f>
        <v>416.4899999999999</v>
      </c>
      <c r="AJ66" s="14">
        <f>AI66*VLOOKUP('Données projet'!$B$10,Paramètres!$A$1:$I$89,3,0)*VLOOKUP('Données projet'!$B$10,Paramètres!$A$1:$I$89,5,0)</f>
        <v>194.91731999999996</v>
      </c>
      <c r="AK66" s="14">
        <f t="shared" si="35"/>
        <v>48.625480522444235</v>
      </c>
      <c r="AL66" s="22">
        <f t="shared" si="4"/>
        <v>424.17037757659028</v>
      </c>
      <c r="AM66" s="62">
        <f t="shared" si="5"/>
        <v>687.06671591999634</v>
      </c>
      <c r="AN66" s="62">
        <f ca="1">AVERAGE(OFFSET($AM$3,0,0,'Données projet'!$E$10+1,1))-AVERAGE(OFFSET($H$3,0,0,'Données projet'!$E$10+1,1))</f>
        <v>348.76787471354476</v>
      </c>
      <c r="AO66" s="62">
        <f t="shared" si="36"/>
        <v>258.31503417978615</v>
      </c>
      <c r="AP66" s="16">
        <f>IF(ISNA(VLOOKUP(A66,'Données projet'!$A$61:$I$81,3,0)),0,VLOOKUP(A66,'Données projet'!$A$61:$I$81,3,0))</f>
        <v>9</v>
      </c>
      <c r="AQ66" s="16">
        <f>IF(ISNA(VLOOKUP(A66,'Données projet'!$A$61:$I$81,4,0)),0,VLOOKUP(A66,'Données projet'!$A$61:$I$81,4,0))</f>
        <v>79.099999999999994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59.385225562404884</v>
      </c>
      <c r="BJ66" s="62">
        <f t="shared" si="38"/>
        <v>285.5244298970598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25.926774255851928</v>
      </c>
      <c r="BQ66" s="23">
        <f>EXP(-LN(2)/25)*BQ65+(1-EXP(-LN(2)/25))/(LN(2)/25)*Calculateur!BL66*Calculateur!BN66*VLOOKUP('Données projet'!$B$11,Paramètres!$A$1:$I$89,3,0)*0.475*44/12</f>
        <v>4.5924072733997416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30.519181529251668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271.39999999999998</v>
      </c>
      <c r="BZ66" s="14">
        <f>BY66*VLOOKUP('Données projet'!$B$12,Paramètres!$A$1:$I$89,3,0)*VLOOKUP('Données projet'!$B$12,Paramètres!$A$1:$I$89,5,0)</f>
        <v>275.19960000000003</v>
      </c>
      <c r="CA66" s="14">
        <f t="shared" si="39"/>
        <v>65.951527620662617</v>
      </c>
      <c r="CB66" s="22">
        <f t="shared" si="10"/>
        <v>594.17154727265404</v>
      </c>
      <c r="CC66" s="62">
        <f t="shared" si="11"/>
        <v>857.06788561606015</v>
      </c>
      <c r="CD66" s="62">
        <f ca="1">AVERAGE(OFFSET($CC$3,0,0,'Données projet'!$E$12+1,1))-AVERAGE(OFFSET($H$3,0,0,'Données projet'!$E$12+1,1))</f>
        <v>520.80494930257237</v>
      </c>
      <c r="CE66" s="62">
        <f t="shared" si="40"/>
        <v>325.72635759450861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0.31794279659228791</v>
      </c>
      <c r="CL66" s="23">
        <f>EXP(-LN(2)/25)*CL65+(1-EXP(-LN(2)/25))/(LN(2)/25)*Calculateur!CG66*Calculateur!CI66*VLOOKUP('Données projet'!$B$12,Paramètres!$A$1:$I$89,3,0)*0.475*44/12</f>
        <v>1.1718515786807944</v>
      </c>
      <c r="CM66" s="23">
        <f>EXP(-LN(2)/2)*CM65+(1-EXP(-LN(2)/2))/(LN(2)/2)*CG66*CJ66*VLOOKUP('Données projet'!$B$12,Paramètres!$A$1:$I$89,3,0)*0.475*44/12</f>
        <v>3.7702185422569489E-5</v>
      </c>
      <c r="CN66" s="24">
        <f t="shared" si="12"/>
        <v>1.4898320774585048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811.81440445847329</v>
      </c>
      <c r="S67" s="62">
        <f ca="1">AVERAGE(OFFSET($R$3,0,0,'Données projet'!$E$9+1,1))-AVERAGE(OFFSET($H$3,0,0,'Données projet'!$E$9+1,1))</f>
        <v>472.83070477639035</v>
      </c>
      <c r="T67" s="62">
        <f t="shared" si="34"/>
        <v>297.32483725004136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0.27813956418569363</v>
      </c>
      <c r="AA67" s="23">
        <f>EXP(-LN(2)/25)*AA66+(1-EXP(-LN(2)/25))/(LN(2)/25)*Calculateur!V67*Calculateur!X67*VLOOKUP('Données projet'!$B$9,Paramètres!$A$1:$I$89,3,0)*0.475*44/12</f>
        <v>1.0170587641066577</v>
      </c>
      <c r="AB67" s="23">
        <f>EXP(-LN(2)/2)*AB66+(1-EXP(-LN(2)/2))/(LN(2)/2)*V67*Y67*VLOOKUP('Données projet'!$B$9,Paramètres!$A$1:$I$89,3,0)*0.475*44/12</f>
        <v>2.3788451026390562E-5</v>
      </c>
      <c r="AC67" s="24">
        <f t="shared" si="3"/>
        <v>1.2952221167433777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>
        <f>VLOOKUP(A67,'Données projet'!$A$61:$I$81,2,0)</f>
        <v>353.22</v>
      </c>
      <c r="AG67" s="13">
        <f>VLOOKUP(A67,'Données projet'!$A$61:$I$81,9,0)</f>
        <v>15.830000000000041</v>
      </c>
      <c r="AH67" s="13">
        <f t="array" ref="AH67">INDEX(AG:AG,MIN(IF(ISNUMBER(AG67:AG263),ROW(AG67:AG263),"")))</f>
        <v>15.830000000000041</v>
      </c>
      <c r="AI67" s="14">
        <f>IF('Données projet'!$A$62&gt;35,AI66+AH67-AQ66,IF(A67&lt;'Données projet'!$A$62,$AF$205^A67,IF(A67='Données projet'!$A$62,'Données projet'!$B$62,AI66+AH67-AQ66)))</f>
        <v>353.21999999999991</v>
      </c>
      <c r="AJ67" s="14">
        <f>AI67*VLOOKUP('Données projet'!$B$10,Paramètres!$A$1:$I$89,3,0)*VLOOKUP('Données projet'!$B$10,Paramètres!$A$1:$I$89,5,0)</f>
        <v>165.30695999999998</v>
      </c>
      <c r="AK67" s="14">
        <f t="shared" si="35"/>
        <v>42.037232382813684</v>
      </c>
      <c r="AL67" s="22">
        <f t="shared" si="4"/>
        <v>361.12446840006714</v>
      </c>
      <c r="AM67" s="62">
        <f t="shared" si="5"/>
        <v>624.54882055962184</v>
      </c>
      <c r="AN67" s="62">
        <f ca="1">AVERAGE(OFFSET($AM$3,0,0,'Données projet'!$E$10+1,1))-AVERAGE(OFFSET($H$3,0,0,'Données projet'!$E$10+1,1))</f>
        <v>348.76787471354476</v>
      </c>
      <c r="AO67" s="62">
        <f t="shared" si="36"/>
        <v>258.31503417978615</v>
      </c>
      <c r="AP67" s="16">
        <f>IF(ISNA(VLOOKUP(A67,'Données projet'!$A$61:$I$81,3,0)),0,VLOOKUP(A67,'Données projet'!$A$61:$I$81,3,0))</f>
        <v>10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59.385225562404884</v>
      </c>
      <c r="BJ67" s="62">
        <f t="shared" si="38"/>
        <v>285.5244298970598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25.418366026465488</v>
      </c>
      <c r="BQ67" s="23">
        <f>EXP(-LN(2)/25)*BQ66+(1-EXP(-LN(2)/25))/(LN(2)/25)*Calculateur!BL67*Calculateur!BN67*VLOOKUP('Données projet'!$B$11,Paramètres!$A$1:$I$89,3,0)*0.475*44/12</f>
        <v>4.4668276550044235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29.885193681469911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280.2</v>
      </c>
      <c r="BZ67" s="14">
        <f>BY67*VLOOKUP('Données projet'!$B$12,Paramètres!$A$1:$I$89,3,0)*VLOOKUP('Données projet'!$B$12,Paramètres!$A$1:$I$89,5,0)</f>
        <v>284.12279999999998</v>
      </c>
      <c r="CA67" s="14">
        <f t="shared" si="39"/>
        <v>67.837532462585557</v>
      </c>
      <c r="CB67" s="22">
        <f t="shared" si="10"/>
        <v>612.99757903900309</v>
      </c>
      <c r="CC67" s="62">
        <f t="shared" si="11"/>
        <v>876.42193119855779</v>
      </c>
      <c r="CD67" s="62">
        <f ca="1">AVERAGE(OFFSET($CC$3,0,0,'Données projet'!$E$12+1,1))-AVERAGE(OFFSET($H$3,0,0,'Données projet'!$E$12+1,1))</f>
        <v>520.80494930257237</v>
      </c>
      <c r="CE67" s="62">
        <f t="shared" si="40"/>
        <v>325.72635759450861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0.31170813227707045</v>
      </c>
      <c r="CL67" s="23">
        <f>EXP(-LN(2)/25)*CL66+(1-EXP(-LN(2)/25))/(LN(2)/25)*Calculateur!CG67*Calculateur!CI67*VLOOKUP('Données projet'!$B$12,Paramètres!$A$1:$I$89,3,0)*0.475*44/12</f>
        <v>1.1398072356367719</v>
      </c>
      <c r="CM67" s="23">
        <f>EXP(-LN(2)/2)*CM66+(1-EXP(-LN(2)/2))/(LN(2)/2)*CG67*CJ67*VLOOKUP('Données projet'!$B$12,Paramètres!$A$1:$I$89,3,0)*0.475*44/12</f>
        <v>2.6659470977851486E-5</v>
      </c>
      <c r="CN67" s="24">
        <f t="shared" si="12"/>
        <v>1.4515420273848203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829.16016503013611</v>
      </c>
      <c r="S68" s="62">
        <f ca="1">AVERAGE(OFFSET($R$3,0,0,'Données projet'!$E$9+1,1))-AVERAGE(OFFSET($H$3,0,0,'Données projet'!$E$9+1,1))</f>
        <v>472.83070477639035</v>
      </c>
      <c r="T68" s="62">
        <f t="shared" si="34"/>
        <v>297.32483725004136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0.27268541698039495</v>
      </c>
      <c r="AA68" s="23">
        <f>EXP(-LN(2)/25)*AA67+(1-EXP(-LN(2)/25))/(LN(2)/25)*Calculateur!V68*Calculateur!X68*VLOOKUP('Données projet'!$B$9,Paramètres!$A$1:$I$89,3,0)*0.475*44/12</f>
        <v>0.98924723871736531</v>
      </c>
      <c r="AB68" s="23">
        <f>EXP(-LN(2)/2)*AB67+(1-EXP(-LN(2)/2))/(LN(2)/2)*V68*Y68*VLOOKUP('Données projet'!$B$9,Paramètres!$A$1:$I$89,3,0)*0.475*44/12</f>
        <v>1.6820975034684853E-5</v>
      </c>
      <c r="AC68" s="24">
        <f t="shared" ref="AC68:AC131" si="57">SUM(Z68:AB68)</f>
        <v>1.261949476672795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16.081428571428571</v>
      </c>
      <c r="AI68" s="14">
        <f>IF('Données projet'!$A$62&gt;35,AI67+AH68-AQ67,IF(A68&lt;'Données projet'!$A$62,$AF$205^A68,IF(A68='Données projet'!$A$62,'Données projet'!$B$62,AI67+AH68-AQ67)))</f>
        <v>369.30142857142846</v>
      </c>
      <c r="AJ68" s="14">
        <f>AI68*VLOOKUP('Données projet'!$B$10,Paramètres!$A$1:$I$89,3,0)*VLOOKUP('Données projet'!$B$10,Paramètres!$A$1:$I$89,5,0)</f>
        <v>172.83306857142853</v>
      </c>
      <c r="AK68" s="14">
        <f t="shared" si="35"/>
        <v>43.723925064552304</v>
      </c>
      <c r="AL68" s="22">
        <f t="shared" ref="AL68:AL131" si="58">(AJ68+AK68)*0.475*44/12</f>
        <v>377.17009724933331</v>
      </c>
      <c r="AM68" s="62">
        <f t="shared" ref="AM68:AM131" si="59">AL68+(AD68+AE68)*44/12</f>
        <v>641.11330336578851</v>
      </c>
      <c r="AN68" s="62">
        <f ca="1">AVERAGE(OFFSET($AM$3,0,0,'Données projet'!$E$10+1,1))-AVERAGE(OFFSET($H$3,0,0,'Données projet'!$E$10+1,1))</f>
        <v>348.76787471354476</v>
      </c>
      <c r="AO68" s="62">
        <f t="shared" si="36"/>
        <v>258.31503417978615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59.385225562404884</v>
      </c>
      <c r="BJ68" s="62">
        <f t="shared" si="38"/>
        <v>285.5244298970598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24.919927372358917</v>
      </c>
      <c r="BQ68" s="23">
        <f>EXP(-LN(2)/25)*BQ67+(1-EXP(-LN(2)/25))/(LN(2)/25)*Calculateur!BL68*Calculateur!BN68*VLOOKUP('Données projet'!$B$11,Paramètres!$A$1:$I$89,3,0)*0.475*44/12</f>
        <v>4.3446820178780703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29.264609390236988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289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289</v>
      </c>
      <c r="BZ68" s="14">
        <f>BY68*VLOOKUP('Données projet'!$B$12,Paramètres!$A$1:$I$89,3,0)*VLOOKUP('Données projet'!$B$12,Paramètres!$A$1:$I$89,5,0)</f>
        <v>293.04599999999999</v>
      </c>
      <c r="CA68" s="14">
        <f t="shared" si="39"/>
        <v>69.716654076072615</v>
      </c>
      <c r="CB68" s="22">
        <f t="shared" ref="CB68:CB131" si="64">(BZ68+CA68)*0.475*44/12</f>
        <v>631.81162251582646</v>
      </c>
      <c r="CC68" s="62">
        <f t="shared" ref="CC68:CC131" si="65">CB68+(BT68+BU68)*44/12</f>
        <v>895.75482863228171</v>
      </c>
      <c r="CD68" s="62">
        <f ca="1">AVERAGE(OFFSET($CC$3,0,0,'Données projet'!$E$12+1,1))-AVERAGE(OFFSET($H$3,0,0,'Données projet'!$E$12+1,1))</f>
        <v>520.80494930257237</v>
      </c>
      <c r="CE68" s="62">
        <f t="shared" si="40"/>
        <v>325.72635759450861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28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0.30559572592630468</v>
      </c>
      <c r="CL68" s="23">
        <f>EXP(-LN(2)/25)*CL67+(1-EXP(-LN(2)/25))/(LN(2)/25)*Calculateur!CG68*Calculateur!CI68*VLOOKUP('Données projet'!$B$12,Paramètres!$A$1:$I$89,3,0)*0.475*44/12</f>
        <v>1.1086391468384269</v>
      </c>
      <c r="CM68" s="23">
        <f>EXP(-LN(2)/2)*CM67+(1-EXP(-LN(2)/2))/(LN(2)/2)*CG68*CJ68*VLOOKUP('Données projet'!$B$12,Paramètres!$A$1:$I$89,3,0)*0.475*44/12</f>
        <v>1.8851092711284745E-5</v>
      </c>
      <c r="CN68" s="24">
        <f t="shared" ref="CN68:CN131" si="66">SUM(CK68:CM68)</f>
        <v>1.4142537238574429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791.79418880959736</v>
      </c>
      <c r="S69" s="62">
        <f ca="1">AVERAGE(OFFSET($R$3,0,0,'Données projet'!$E$9+1,1))-AVERAGE(OFFSET($H$3,0,0,'Données projet'!$E$9+1,1))</f>
        <v>472.83070477639035</v>
      </c>
      <c r="T69" s="62">
        <f t="shared" ref="T69:T132" si="88">$T$3</f>
        <v>297.32483725004136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0.26733822227509085</v>
      </c>
      <c r="AA69" s="23">
        <f>EXP(-LN(2)/25)*AA68+(1-EXP(-LN(2)/25))/(LN(2)/25)*Calculateur!V69*Calculateur!X69*VLOOKUP('Données projet'!$B$9,Paramètres!$A$1:$I$89,3,0)*0.475*44/12</f>
        <v>0.96219622095238766</v>
      </c>
      <c r="AB69" s="23">
        <f>EXP(-LN(2)/2)*AB68+(1-EXP(-LN(2)/2))/(LN(2)/2)*V69*Y69*VLOOKUP('Données projet'!$B$9,Paramètres!$A$1:$I$89,3,0)*0.475*44/12</f>
        <v>1.1894225513195281E-5</v>
      </c>
      <c r="AC69" s="24">
        <f t="shared" si="57"/>
        <v>1.2295463374529916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16.081428571428571</v>
      </c>
      <c r="AI69" s="14">
        <f>IF('Données projet'!$A$62&gt;35,AI68+AH69-AQ68,IF(A69&lt;'Données projet'!$A$62,$AF$205^A69,IF(A69='Données projet'!$A$62,'Données projet'!$B$62,AI68+AH69-AQ68)))</f>
        <v>385.38285714285701</v>
      </c>
      <c r="AJ69" s="14">
        <f>AI69*VLOOKUP('Données projet'!$B$10,Paramètres!$A$1:$I$89,3,0)*VLOOKUP('Données projet'!$B$10,Paramètres!$A$1:$I$89,5,0)</f>
        <v>180.35917714285708</v>
      </c>
      <c r="AK69" s="14">
        <f t="shared" ref="AK69:AK132" si="89">EXP(-1.0587+0.8836*LN(AJ69)+0.284)</f>
        <v>45.402087189989615</v>
      </c>
      <c r="AL69" s="22">
        <f t="shared" si="58"/>
        <v>393.2008687130413</v>
      </c>
      <c r="AM69" s="62">
        <f t="shared" si="59"/>
        <v>657.65392783022844</v>
      </c>
      <c r="AN69" s="62">
        <f ca="1">AVERAGE(OFFSET($AM$3,0,0,'Données projet'!$E$10+1,1))-AVERAGE(OFFSET($H$3,0,0,'Données projet'!$E$10+1,1))</f>
        <v>348.76787471354476</v>
      </c>
      <c r="AO69" s="62">
        <f t="shared" ref="AO69:AO132" si="90">$AO$3</f>
        <v>258.31503417978615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59.385225562404884</v>
      </c>
      <c r="BJ69" s="62">
        <f t="shared" ref="BJ69:BJ132" si="92">$BJ$3</f>
        <v>285.5244298970598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24.431262796241814</v>
      </c>
      <c r="BQ69" s="23">
        <f>EXP(-LN(2)/25)*BQ68+(1-EXP(-LN(2)/25))/(LN(2)/25)*Calculateur!BL69*Calculateur!BN69*VLOOKUP('Données projet'!$B$11,Paramètres!$A$1:$I$89,3,0)*0.475*44/12</f>
        <v>4.2258764596222971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28.657139255864109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272.96879999999999</v>
      </c>
      <c r="CA69" s="14">
        <f t="shared" ref="CA69:CA132" si="93">EXP(-1.0587+0.8836*LN(BZ69)+0.284)</f>
        <v>65.478922017818945</v>
      </c>
      <c r="CB69" s="22">
        <f t="shared" si="64"/>
        <v>589.46311584770126</v>
      </c>
      <c r="CC69" s="62">
        <f t="shared" si="65"/>
        <v>853.91617496488834</v>
      </c>
      <c r="CD69" s="62">
        <f ca="1">AVERAGE(OFFSET($CC$3,0,0,'Données projet'!$E$12+1,1))-AVERAGE(OFFSET($H$3,0,0,'Données projet'!$E$12+1,1))</f>
        <v>520.80494930257237</v>
      </c>
      <c r="CE69" s="62">
        <f t="shared" ref="CE69:CE132" si="94">$CE$3</f>
        <v>325.72635759450861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0.29960318013587767</v>
      </c>
      <c r="CL69" s="23">
        <f>EXP(-LN(2)/25)*CL68+(1-EXP(-LN(2)/25))/(LN(2)/25)*Calculateur!CG69*Calculateur!CI69*VLOOKUP('Données projet'!$B$12,Paramètres!$A$1:$I$89,3,0)*0.475*44/12</f>
        <v>1.0783233510673311</v>
      </c>
      <c r="CM69" s="23">
        <f>EXP(-LN(2)/2)*CM68+(1-EXP(-LN(2)/2))/(LN(2)/2)*CG69*CJ69*VLOOKUP('Données projet'!$B$12,Paramètres!$A$1:$I$89,3,0)*0.475*44/12</f>
        <v>1.3329735488925743E-5</v>
      </c>
      <c r="CN69" s="24">
        <f t="shared" si="66"/>
        <v>1.3779398609386977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807.98784880122344</v>
      </c>
      <c r="S70" s="62">
        <f ca="1">AVERAGE(OFFSET($R$3,0,0,'Données projet'!$E$9+1,1))-AVERAGE(OFFSET($H$3,0,0,'Données projet'!$E$9+1,1))</f>
        <v>472.83070477639035</v>
      </c>
      <c r="T70" s="62">
        <f t="shared" si="88"/>
        <v>297.32483725004136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0.26209588279649104</v>
      </c>
      <c r="AA70" s="23">
        <f>EXP(-LN(2)/25)*AA69+(1-EXP(-LN(2)/25))/(LN(2)/25)*Calculateur!V70*Calculateur!X70*VLOOKUP('Données projet'!$B$9,Paramètres!$A$1:$I$89,3,0)*0.475*44/12</f>
        <v>0.93588491469074453</v>
      </c>
      <c r="AB70" s="23">
        <f>EXP(-LN(2)/2)*AB69+(1-EXP(-LN(2)/2))/(LN(2)/2)*V70*Y70*VLOOKUP('Données projet'!$B$9,Paramètres!$A$1:$I$89,3,0)*0.475*44/12</f>
        <v>8.4104875173424263E-6</v>
      </c>
      <c r="AC70" s="24">
        <f t="shared" si="57"/>
        <v>1.1979892079747529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16.081428571428571</v>
      </c>
      <c r="AI70" s="14">
        <f>IF('Données projet'!$A$62&gt;35,AI69+AH70-AQ69,IF(A70&lt;'Données projet'!$A$62,$AF$205^A70,IF(A70='Données projet'!$A$62,'Données projet'!$B$62,AI69+AH70-AQ69)))</f>
        <v>401.46428571428555</v>
      </c>
      <c r="AJ70" s="14">
        <f>AI70*VLOOKUP('Données projet'!$B$10,Paramètres!$A$1:$I$89,3,0)*VLOOKUP('Données projet'!$B$10,Paramètres!$A$1:$I$89,5,0)</f>
        <v>187.88528571428563</v>
      </c>
      <c r="AK70" s="14">
        <f t="shared" si="89"/>
        <v>47.072115431776766</v>
      </c>
      <c r="AL70" s="22">
        <f t="shared" si="58"/>
        <v>409.21747366272535</v>
      </c>
      <c r="AM70" s="62">
        <f t="shared" si="59"/>
        <v>674.17154097094226</v>
      </c>
      <c r="AN70" s="62">
        <f ca="1">AVERAGE(OFFSET($AM$3,0,0,'Données projet'!$E$10+1,1))-AVERAGE(OFFSET($H$3,0,0,'Données projet'!$E$10+1,1))</f>
        <v>348.76787471354476</v>
      </c>
      <c r="AO70" s="62">
        <f t="shared" si="90"/>
        <v>258.31503417978615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59.385225562404884</v>
      </c>
      <c r="BJ70" s="62">
        <f t="shared" si="92"/>
        <v>285.5244298970598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23.952180634406407</v>
      </c>
      <c r="BQ70" s="23">
        <f>EXP(-LN(2)/25)*BQ69+(1-EXP(-LN(2)/25))/(LN(2)/25)*Calculateur!BL70*Calculateur!BN70*VLOOKUP('Données projet'!$B$11,Paramètres!$A$1:$I$89,3,0)*0.475*44/12</f>
        <v>4.1103196456047408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28.062500280011147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281.28360000000004</v>
      </c>
      <c r="CA70" s="14">
        <f t="shared" si="93"/>
        <v>67.238198209347928</v>
      </c>
      <c r="CB70" s="22">
        <f t="shared" si="64"/>
        <v>607.00879854794766</v>
      </c>
      <c r="CC70" s="62">
        <f t="shared" si="65"/>
        <v>871.96286585616463</v>
      </c>
      <c r="CD70" s="62">
        <f ca="1">AVERAGE(OFFSET($CC$3,0,0,'Données projet'!$E$12+1,1))-AVERAGE(OFFSET($H$3,0,0,'Données projet'!$E$12+1,1))</f>
        <v>520.80494930257237</v>
      </c>
      <c r="CE70" s="62">
        <f t="shared" si="94"/>
        <v>325.72635759450861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0.29372814451330892</v>
      </c>
      <c r="CL70" s="23">
        <f>EXP(-LN(2)/25)*CL69+(1-EXP(-LN(2)/25))/(LN(2)/25)*Calculateur!CG70*Calculateur!CI70*VLOOKUP('Données projet'!$B$12,Paramètres!$A$1:$I$89,3,0)*0.475*44/12</f>
        <v>1.0488365423258346</v>
      </c>
      <c r="CM70" s="23">
        <f>EXP(-LN(2)/2)*CM69+(1-EXP(-LN(2)/2))/(LN(2)/2)*CG70*CJ70*VLOOKUP('Données projet'!$B$12,Paramètres!$A$1:$I$89,3,0)*0.475*44/12</f>
        <v>9.4255463556423723E-6</v>
      </c>
      <c r="CN70" s="24">
        <f t="shared" si="66"/>
        <v>1.3425741123854991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824.16329923760372</v>
      </c>
      <c r="S71" s="62">
        <f ca="1">AVERAGE(OFFSET($R$3,0,0,'Données projet'!$E$9+1,1))-AVERAGE(OFFSET($H$3,0,0,'Données projet'!$E$9+1,1))</f>
        <v>472.83070477639035</v>
      </c>
      <c r="T71" s="62">
        <f t="shared" si="88"/>
        <v>297.32483725004136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0.25695634239755522</v>
      </c>
      <c r="AA71" s="23">
        <f>EXP(-LN(2)/25)*AA70+(1-EXP(-LN(2)/25))/(LN(2)/25)*Calculateur!V71*Calculateur!X71*VLOOKUP('Données projet'!$B$9,Paramètres!$A$1:$I$89,3,0)*0.475*44/12</f>
        <v>0.91029309248247747</v>
      </c>
      <c r="AB71" s="23">
        <f>EXP(-LN(2)/2)*AB70+(1-EXP(-LN(2)/2))/(LN(2)/2)*V71*Y71*VLOOKUP('Données projet'!$B$9,Paramètres!$A$1:$I$89,3,0)*0.475*44/12</f>
        <v>5.9471127565976405E-6</v>
      </c>
      <c r="AC71" s="24">
        <f t="shared" si="57"/>
        <v>1.1672553819927893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16.081428571428571</v>
      </c>
      <c r="AI71" s="14">
        <f>IF('Données projet'!$A$62&gt;35,AI70+AH71-AQ70,IF(A71&lt;'Données projet'!$A$62,$AF$205^A71,IF(A71='Données projet'!$A$62,'Données projet'!$B$62,AI70+AH71-AQ70)))</f>
        <v>417.5457142857141</v>
      </c>
      <c r="AJ71" s="14">
        <f>AI71*VLOOKUP('Données projet'!$B$10,Paramètres!$A$1:$I$89,3,0)*VLOOKUP('Données projet'!$B$10,Paramètres!$A$1:$I$89,5,0)</f>
        <v>195.41139428571421</v>
      </c>
      <c r="AK71" s="14">
        <f t="shared" si="89"/>
        <v>48.734372884823564</v>
      </c>
      <c r="AL71" s="22">
        <f t="shared" si="58"/>
        <v>425.22054448868658</v>
      </c>
      <c r="AM71" s="62">
        <f t="shared" si="59"/>
        <v>690.66692861590536</v>
      </c>
      <c r="AN71" s="62">
        <f ca="1">AVERAGE(OFFSET($AM$3,0,0,'Données projet'!$E$10+1,1))-AVERAGE(OFFSET($H$3,0,0,'Données projet'!$E$10+1,1))</f>
        <v>348.76787471354476</v>
      </c>
      <c r="AO71" s="62">
        <f t="shared" si="90"/>
        <v>258.31503417978615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59.385225562404884</v>
      </c>
      <c r="BJ71" s="62">
        <f t="shared" si="92"/>
        <v>285.5244298970598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23.482492981553328</v>
      </c>
      <c r="BQ71" s="23">
        <f>EXP(-LN(2)/25)*BQ70+(1-EXP(-LN(2)/25))/(LN(2)/25)*Calculateur!BL71*Calculateur!BN71*VLOOKUP('Données projet'!$B$11,Paramètres!$A$1:$I$89,3,0)*0.475*44/12</f>
        <v>3.9979227387433633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27.480415720296691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289.59839999999997</v>
      </c>
      <c r="CA71" s="14">
        <f t="shared" si="93"/>
        <v>68.991430542388798</v>
      </c>
      <c r="CB71" s="22">
        <f t="shared" si="64"/>
        <v>624.54395486132705</v>
      </c>
      <c r="CC71" s="62">
        <f t="shared" si="65"/>
        <v>889.99033898854589</v>
      </c>
      <c r="CD71" s="62">
        <f ca="1">AVERAGE(OFFSET($CC$3,0,0,'Données projet'!$E$12+1,1))-AVERAGE(OFFSET($H$3,0,0,'Données projet'!$E$12+1,1))</f>
        <v>520.80494930257237</v>
      </c>
      <c r="CE71" s="62">
        <f t="shared" si="94"/>
        <v>325.72635759450861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0.28796831475588086</v>
      </c>
      <c r="CL71" s="23">
        <f>EXP(-LN(2)/25)*CL70+(1-EXP(-LN(2)/25))/(LN(2)/25)*Calculateur!CG71*Calculateur!CI71*VLOOKUP('Données projet'!$B$12,Paramètres!$A$1:$I$89,3,0)*0.475*44/12</f>
        <v>1.0201560519200179</v>
      </c>
      <c r="CM71" s="23">
        <f>EXP(-LN(2)/2)*CM70+(1-EXP(-LN(2)/2))/(LN(2)/2)*CG71*CJ71*VLOOKUP('Données projet'!$B$12,Paramètres!$A$1:$I$89,3,0)*0.475*44/12</f>
        <v>6.6648677444628715E-6</v>
      </c>
      <c r="CN71" s="24">
        <f t="shared" si="66"/>
        <v>1.3081310315436432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840.32099556130004</v>
      </c>
      <c r="S72" s="62">
        <f ca="1">AVERAGE(OFFSET($R$3,0,0,'Données projet'!$E$9+1,1))-AVERAGE(OFFSET($H$3,0,0,'Données projet'!$E$9+1,1))</f>
        <v>472.83070477639035</v>
      </c>
      <c r="T72" s="62">
        <f t="shared" si="88"/>
        <v>297.32483725004136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0.25191758525103242</v>
      </c>
      <c r="AA72" s="23">
        <f>EXP(-LN(2)/25)*AA71+(1-EXP(-LN(2)/25))/(LN(2)/25)*Calculateur!V72*Calculateur!X72*VLOOKUP('Données projet'!$B$9,Paramètres!$A$1:$I$89,3,0)*0.475*44/12</f>
        <v>0.88540107999831086</v>
      </c>
      <c r="AB72" s="23">
        <f>EXP(-LN(2)/2)*AB71+(1-EXP(-LN(2)/2))/(LN(2)/2)*V72*Y72*VLOOKUP('Données projet'!$B$9,Paramètres!$A$1:$I$89,3,0)*0.475*44/12</f>
        <v>4.2052437586712132E-6</v>
      </c>
      <c r="AC72" s="24">
        <f t="shared" si="57"/>
        <v>1.137322870493102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16.081428571428571</v>
      </c>
      <c r="AI72" s="14">
        <f>IF('Données projet'!$A$62&gt;35,AI71+AH72-AQ71,IF(A72&lt;'Données projet'!$A$62,$AF$205^A72,IF(A72='Données projet'!$A$62,'Données projet'!$B$62,AI71+AH72-AQ71)))</f>
        <v>433.62714285714264</v>
      </c>
      <c r="AJ72" s="14">
        <f>AI72*VLOOKUP('Données projet'!$B$10,Paramètres!$A$1:$I$89,3,0)*VLOOKUP('Données projet'!$B$10,Paramètres!$A$1:$I$89,5,0)</f>
        <v>202.93750285714276</v>
      </c>
      <c r="AK72" s="14">
        <f t="shared" si="89"/>
        <v>50.389193091569247</v>
      </c>
      <c r="AL72" s="22">
        <f t="shared" si="58"/>
        <v>441.21066211067341</v>
      </c>
      <c r="AM72" s="62">
        <f t="shared" si="59"/>
        <v>707.14082246073997</v>
      </c>
      <c r="AN72" s="62">
        <f ca="1">AVERAGE(OFFSET($AM$3,0,0,'Données projet'!$E$10+1,1))-AVERAGE(OFFSET($H$3,0,0,'Données projet'!$E$10+1,1))</f>
        <v>348.76787471354476</v>
      </c>
      <c r="AO72" s="62">
        <f t="shared" si="90"/>
        <v>258.31503417978615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59.385225562404884</v>
      </c>
      <c r="BJ72" s="62">
        <f t="shared" si="92"/>
        <v>285.5244298970598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23.022015617091515</v>
      </c>
      <c r="BQ72" s="23">
        <f>EXP(-LN(2)/25)*BQ71+(1-EXP(-LN(2)/25))/(LN(2)/25)*Calculateur!BL72*Calculateur!BN72*VLOOKUP('Données projet'!$B$11,Paramètres!$A$1:$I$89,3,0)*0.475*44/12</f>
        <v>3.8885993312108065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26.910614948302321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297.91319999999996</v>
      </c>
      <c r="CA72" s="14">
        <f t="shared" si="93"/>
        <v>70.73881247427552</v>
      </c>
      <c r="CB72" s="22">
        <f t="shared" si="64"/>
        <v>642.06892172602977</v>
      </c>
      <c r="CC72" s="62">
        <f t="shared" si="65"/>
        <v>907.99908207609633</v>
      </c>
      <c r="CD72" s="62">
        <f ca="1">AVERAGE(OFFSET($CC$3,0,0,'Données projet'!$E$12+1,1))-AVERAGE(OFFSET($H$3,0,0,'Données projet'!$E$12+1,1))</f>
        <v>520.80494930257237</v>
      </c>
      <c r="CE72" s="62">
        <f t="shared" si="94"/>
        <v>325.72635759450861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0.28232143174684671</v>
      </c>
      <c r="CL72" s="23">
        <f>EXP(-LN(2)/25)*CL71+(1-EXP(-LN(2)/25))/(LN(2)/25)*Calculateur!CG72*Calculateur!CI72*VLOOKUP('Données projet'!$B$12,Paramètres!$A$1:$I$89,3,0)*0.475*44/12</f>
        <v>0.99225983103258986</v>
      </c>
      <c r="CM72" s="23">
        <f>EXP(-LN(2)/2)*CM71+(1-EXP(-LN(2)/2))/(LN(2)/2)*CG72*CJ72*VLOOKUP('Données projet'!$B$12,Paramètres!$A$1:$I$89,3,0)*0.475*44/12</f>
        <v>4.7127731778211862E-6</v>
      </c>
      <c r="CN72" s="24">
        <f t="shared" si="66"/>
        <v>1.2745859755526145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856.46137262503021</v>
      </c>
      <c r="S73" s="62">
        <f ca="1">AVERAGE(OFFSET($R$3,0,0,'Données projet'!$E$9+1,1))-AVERAGE(OFFSET($H$3,0,0,'Données projet'!$E$9+1,1))</f>
        <v>472.83070477639035</v>
      </c>
      <c r="T73" s="62">
        <f t="shared" si="88"/>
        <v>297.32483725004136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0.24697763505881454</v>
      </c>
      <c r="AA73" s="23">
        <f>EXP(-LN(2)/25)*AA72+(1-EXP(-LN(2)/25))/(LN(2)/25)*Calculateur!V73*Calculateur!X73*VLOOKUP('Données projet'!$B$9,Paramètres!$A$1:$I$89,3,0)*0.475*44/12</f>
        <v>0.86118974090453781</v>
      </c>
      <c r="AB73" s="23">
        <f>EXP(-LN(2)/2)*AB72+(1-EXP(-LN(2)/2))/(LN(2)/2)*V73*Y73*VLOOKUP('Données projet'!$B$9,Paramètres!$A$1:$I$89,3,0)*0.475*44/12</f>
        <v>2.9735563782988202E-6</v>
      </c>
      <c r="AC73" s="24">
        <f t="shared" si="57"/>
        <v>1.1081703495197306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16.081428571428571</v>
      </c>
      <c r="AI73" s="14">
        <f>IF('Données projet'!$A$62&gt;35,AI72+AH73-AQ72,IF(A73&lt;'Données projet'!$A$62,$AF$205^A73,IF(A73='Données projet'!$A$62,'Données projet'!$B$62,AI72+AH73-AQ72)))</f>
        <v>449.70857142857119</v>
      </c>
      <c r="AJ73" s="14">
        <f>AI73*VLOOKUP('Données projet'!$B$10,Paramètres!$A$1:$I$89,3,0)*VLOOKUP('Données projet'!$B$10,Paramètres!$A$1:$I$89,5,0)</f>
        <v>210.46361142857131</v>
      </c>
      <c r="AK73" s="14">
        <f t="shared" si="89"/>
        <v>52.036883453344181</v>
      </c>
      <c r="AL73" s="22">
        <f t="shared" si="58"/>
        <v>457.1883619193361</v>
      </c>
      <c r="AM73" s="62">
        <f t="shared" si="59"/>
        <v>723.59390605634553</v>
      </c>
      <c r="AN73" s="62">
        <f ca="1">AVERAGE(OFFSET($AM$3,0,0,'Données projet'!$E$10+1,1))-AVERAGE(OFFSET($H$3,0,0,'Données projet'!$E$10+1,1))</f>
        <v>348.76787471354476</v>
      </c>
      <c r="AO73" s="62">
        <f t="shared" si="90"/>
        <v>258.31503417978615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59.385225562404884</v>
      </c>
      <c r="BJ73" s="62">
        <f t="shared" si="92"/>
        <v>285.5244298970598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22.570567932883339</v>
      </c>
      <c r="BQ73" s="23">
        <f>EXP(-LN(2)/25)*BQ72+(1-EXP(-LN(2)/25))/(LN(2)/25)*Calculateur!BL73*Calculateur!BN73*VLOOKUP('Données projet'!$B$11,Paramètres!$A$1:$I$89,3,0)*0.475*44/12</f>
        <v>3.7822653780062958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26.352833310889636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306.22800000000001</v>
      </c>
      <c r="CA73" s="14">
        <f t="shared" si="93"/>
        <v>72.480526049067294</v>
      </c>
      <c r="CB73" s="22">
        <f t="shared" si="64"/>
        <v>659.58401620212555</v>
      </c>
      <c r="CC73" s="62">
        <f t="shared" si="65"/>
        <v>925.9895603391351</v>
      </c>
      <c r="CD73" s="62">
        <f ca="1">AVERAGE(OFFSET($CC$3,0,0,'Données projet'!$E$12+1,1))-AVERAGE(OFFSET($H$3,0,0,'Données projet'!$E$12+1,1))</f>
        <v>520.80494930257237</v>
      </c>
      <c r="CE73" s="62">
        <f t="shared" si="94"/>
        <v>325.72635759450861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28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0.27678528066936114</v>
      </c>
      <c r="CL73" s="23">
        <f>EXP(-LN(2)/25)*CL72+(1-EXP(-LN(2)/25))/(LN(2)/25)*Calculateur!CG73*Calculateur!CI73*VLOOKUP('Données projet'!$B$12,Paramètres!$A$1:$I$89,3,0)*0.475*44/12</f>
        <v>0.96512643377232699</v>
      </c>
      <c r="CM73" s="23">
        <f>EXP(-LN(2)/2)*CM72+(1-EXP(-LN(2)/2))/(LN(2)/2)*CG73*CJ73*VLOOKUP('Données projet'!$B$12,Paramètres!$A$1:$I$89,3,0)*0.475*44/12</f>
        <v>3.3324338722314358E-6</v>
      </c>
      <c r="CN73" s="24">
        <f t="shared" si="66"/>
        <v>1.2419150468755602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817.940456546929</v>
      </c>
      <c r="S74" s="62">
        <f ca="1">AVERAGE(OFFSET($R$3,0,0,'Données projet'!$E$9+1,1))-AVERAGE(OFFSET($H$3,0,0,'Données projet'!$E$9+1,1))</f>
        <v>472.83070477639035</v>
      </c>
      <c r="T74" s="62">
        <f t="shared" si="88"/>
        <v>297.32483725004136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0.24213455427679395</v>
      </c>
      <c r="AA74" s="23">
        <f>EXP(-LN(2)/25)*AA73+(1-EXP(-LN(2)/25))/(LN(2)/25)*Calculateur!V74*Calculateur!X74*VLOOKUP('Données projet'!$B$9,Paramètres!$A$1:$I$89,3,0)*0.475*44/12</f>
        <v>0.83764046215150301</v>
      </c>
      <c r="AB74" s="23">
        <f>EXP(-LN(2)/2)*AB73+(1-EXP(-LN(2)/2))/(LN(2)/2)*V74*Y74*VLOOKUP('Données projet'!$B$9,Paramètres!$A$1:$I$89,3,0)*0.475*44/12</f>
        <v>2.1026218793356066E-6</v>
      </c>
      <c r="AC74" s="24">
        <f t="shared" si="57"/>
        <v>1.0797771190501761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>
        <f>VLOOKUP(A74,'Données projet'!$A$61:$I$81,2,0)</f>
        <v>465.79</v>
      </c>
      <c r="AG74" s="13">
        <f>VLOOKUP(A74,'Données projet'!$A$61:$I$81,9,0)</f>
        <v>16.081428571428571</v>
      </c>
      <c r="AH74" s="13">
        <f t="array" ref="AH74">INDEX(AG:AG,MIN(IF(ISNUMBER(AG74:AG270),ROW(AG74:AG270),"")))</f>
        <v>16.081428571428571</v>
      </c>
      <c r="AI74" s="14">
        <f>IF('Données projet'!$A$62&gt;35,AI73+AH74-AQ73,IF(A74&lt;'Données projet'!$A$62,$AF$205^A74,IF(A74='Données projet'!$A$62,'Données projet'!$B$62,AI73+AH74-AQ73)))</f>
        <v>465.78999999999974</v>
      </c>
      <c r="AJ74" s="14">
        <f>AI74*VLOOKUP('Données projet'!$B$10,Paramètres!$A$1:$I$89,3,0)*VLOOKUP('Données projet'!$B$10,Paramètres!$A$1:$I$89,5,0)</f>
        <v>217.98971999999986</v>
      </c>
      <c r="AK74" s="14">
        <f t="shared" si="89"/>
        <v>53.677728140063046</v>
      </c>
      <c r="AL74" s="22">
        <f t="shared" si="58"/>
        <v>473.15413884394292</v>
      </c>
      <c r="AM74" s="62">
        <f t="shared" si="59"/>
        <v>740.02681992199086</v>
      </c>
      <c r="AN74" s="62">
        <f ca="1">AVERAGE(OFFSET($AM$3,0,0,'Données projet'!$E$10+1,1))-AVERAGE(OFFSET($H$3,0,0,'Données projet'!$E$10+1,1))</f>
        <v>348.76787471354476</v>
      </c>
      <c r="AO74" s="62">
        <f t="shared" si="90"/>
        <v>258.31503417978615</v>
      </c>
      <c r="AP74" s="16">
        <f>IF(ISNA(VLOOKUP(A74,'Données projet'!$A$61:$I$81,3,0)),0,VLOOKUP(A74,'Données projet'!$A$61:$I$81,3,0))</f>
        <v>11</v>
      </c>
      <c r="AQ74" s="16">
        <f>IF(ISNA(VLOOKUP(A74,'Données projet'!$A$61:$I$81,4,0)),0,VLOOKUP(A74,'Données projet'!$A$61:$I$81,4,0))</f>
        <v>90.8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59.385225562404884</v>
      </c>
      <c r="BJ74" s="62">
        <f t="shared" si="92"/>
        <v>285.5244298970598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22.127972862406587</v>
      </c>
      <c r="BQ74" s="23">
        <f>EXP(-LN(2)/25)*BQ73+(1-EXP(-LN(2)/25))/(LN(2)/25)*Calculateur!BL74*Calculateur!BN74*VLOOKUP('Données projet'!$B$11,Paramètres!$A$1:$I$89,3,0)*0.475*44/12</f>
        <v>3.6788391323440219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25.80681199475061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281.59999999999997</v>
      </c>
      <c r="BZ74" s="14">
        <f>BY74*VLOOKUP('Données projet'!$B$12,Paramètres!$A$1:$I$89,3,0)*VLOOKUP('Données projet'!$B$12,Paramètres!$A$1:$I$89,5,0)</f>
        <v>285.54239999999999</v>
      </c>
      <c r="CA74" s="14">
        <f t="shared" si="93"/>
        <v>68.136937829389524</v>
      </c>
      <c r="CB74" s="22">
        <f t="shared" si="64"/>
        <v>615.99151338618674</v>
      </c>
      <c r="CC74" s="62">
        <f t="shared" si="65"/>
        <v>882.86419446423474</v>
      </c>
      <c r="CD74" s="62">
        <f ca="1">AVERAGE(OFFSET($CC$3,0,0,'Données projet'!$E$12+1,1))-AVERAGE(OFFSET($H$3,0,0,'Données projet'!$E$12+1,1))</f>
        <v>520.80494930257237</v>
      </c>
      <c r="CE74" s="62">
        <f t="shared" si="94"/>
        <v>325.72635759450861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0.27135769013778638</v>
      </c>
      <c r="CL74" s="23">
        <f>EXP(-LN(2)/25)*CL73+(1-EXP(-LN(2)/25))/(LN(2)/25)*Calculateur!CG74*Calculateur!CI74*VLOOKUP('Données projet'!$B$12,Paramètres!$A$1:$I$89,3,0)*0.475*44/12</f>
        <v>0.93873500068702942</v>
      </c>
      <c r="CM74" s="23">
        <f>EXP(-LN(2)/2)*CM73+(1-EXP(-LN(2)/2))/(LN(2)/2)*CG74*CJ74*VLOOKUP('Données projet'!$B$12,Paramètres!$A$1:$I$89,3,0)*0.475*44/12</f>
        <v>2.3563865889105931E-6</v>
      </c>
      <c r="CN74" s="24">
        <f t="shared" si="66"/>
        <v>1.2100950472114047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832.93097979380696</v>
      </c>
      <c r="S75" s="62">
        <f ca="1">AVERAGE(OFFSET($R$3,0,0,'Données projet'!$E$9+1,1))-AVERAGE(OFFSET($H$3,0,0,'Données projet'!$E$9+1,1))</f>
        <v>472.83070477639035</v>
      </c>
      <c r="T75" s="62">
        <f t="shared" si="88"/>
        <v>297.32483725004136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0.23738644335492121</v>
      </c>
      <c r="AA75" s="23">
        <f>EXP(-LN(2)/25)*AA74+(1-EXP(-LN(2)/25))/(LN(2)/25)*Calculateur!V75*Calculateur!X75*VLOOKUP('Données projet'!$B$9,Paramètres!$A$1:$I$89,3,0)*0.475*44/12</f>
        <v>0.81473513966437272</v>
      </c>
      <c r="AB75" s="23">
        <f>EXP(-LN(2)/2)*AB74+(1-EXP(-LN(2)/2))/(LN(2)/2)*V75*Y75*VLOOKUP('Données projet'!$B$9,Paramètres!$A$1:$I$89,3,0)*0.475*44/12</f>
        <v>1.4867781891494101E-6</v>
      </c>
      <c r="AC75" s="24">
        <f t="shared" si="57"/>
        <v>1.052123069797483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>
        <f>VLOOKUP(A75,'Données projet'!$A$61:$I$81,2,0)</f>
        <v>390.06</v>
      </c>
      <c r="AG75" s="13">
        <f>VLOOKUP(A75,'Données projet'!$A$61:$I$81,9,0)</f>
        <v>15.069999999999993</v>
      </c>
      <c r="AH75" s="13">
        <f t="array" ref="AH75">INDEX(AG:AG,MIN(IF(ISNUMBER(AG75:AG271),ROW(AG75:AG271),"")))</f>
        <v>15.069999999999993</v>
      </c>
      <c r="AI75" s="14">
        <f>IF('Données projet'!$A$62&gt;35,AI74+AH75-AQ74,IF(A75&lt;'Données projet'!$A$62,$AF$205^A75,IF(A75='Données projet'!$A$62,'Données projet'!$B$62,AI74+AH75-AQ74)))</f>
        <v>390.05999999999972</v>
      </c>
      <c r="AJ75" s="14">
        <f>AI75*VLOOKUP('Données projet'!$B$10,Paramètres!$A$1:$I$89,3,0)*VLOOKUP('Données projet'!$B$10,Paramètres!$A$1:$I$89,5,0)</f>
        <v>182.54807999999989</v>
      </c>
      <c r="AK75" s="14">
        <f t="shared" si="89"/>
        <v>45.88862240530873</v>
      </c>
      <c r="AL75" s="22">
        <f t="shared" si="58"/>
        <v>397.86059002257917</v>
      </c>
      <c r="AM75" s="62">
        <f t="shared" si="59"/>
        <v>665.19230426010029</v>
      </c>
      <c r="AN75" s="62">
        <f ca="1">AVERAGE(OFFSET($AM$3,0,0,'Données projet'!$E$10+1,1))-AVERAGE(OFFSET($H$3,0,0,'Données projet'!$E$10+1,1))</f>
        <v>348.76787471354476</v>
      </c>
      <c r="AO75" s="62">
        <f t="shared" si="90"/>
        <v>258.31503417978615</v>
      </c>
      <c r="AP75" s="16">
        <f>IF(ISNA(VLOOKUP(A75,'Données projet'!$A$61:$I$81,3,0)),0,VLOOKUP(A75,'Données projet'!$A$61:$I$81,3,0))</f>
        <v>12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59.385225562404884</v>
      </c>
      <c r="BJ75" s="62">
        <f t="shared" si="92"/>
        <v>285.5244298970598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21.694056811305547</v>
      </c>
      <c r="BQ75" s="23">
        <f>EXP(-LN(2)/25)*BQ74+(1-EXP(-LN(2)/25))/(LN(2)/25)*Calculateur!BL75*Calculateur!BN75*VLOOKUP('Données projet'!$B$11,Paramètres!$A$1:$I$89,3,0)*0.475*44/12</f>
        <v>3.5782410828083329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25.27229789411388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289.2</v>
      </c>
      <c r="BZ75" s="14">
        <f>BY75*VLOOKUP('Données projet'!$B$12,Paramètres!$A$1:$I$89,3,0)*VLOOKUP('Données projet'!$B$12,Paramètres!$A$1:$I$89,5,0)</f>
        <v>293.24880000000002</v>
      </c>
      <c r="CA75" s="14">
        <f t="shared" si="93"/>
        <v>69.759283249126327</v>
      </c>
      <c r="CB75" s="22">
        <f t="shared" si="64"/>
        <v>632.23907832556176</v>
      </c>
      <c r="CC75" s="62">
        <f t="shared" si="65"/>
        <v>899.57079256308293</v>
      </c>
      <c r="CD75" s="62">
        <f ca="1">AVERAGE(OFFSET($CC$3,0,0,'Données projet'!$E$12+1,1))-AVERAGE(OFFSET($H$3,0,0,'Données projet'!$E$12+1,1))</f>
        <v>520.80494930257237</v>
      </c>
      <c r="CE75" s="62">
        <f t="shared" si="94"/>
        <v>325.72635759450861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0.26603653134603245</v>
      </c>
      <c r="CL75" s="23">
        <f>EXP(-LN(2)/25)*CL74+(1-EXP(-LN(2)/25))/(LN(2)/25)*Calculateur!CG75*Calculateur!CI75*VLOOKUP('Données projet'!$B$12,Paramètres!$A$1:$I$89,3,0)*0.475*44/12</f>
        <v>0.91306524272731437</v>
      </c>
      <c r="CM75" s="23">
        <f>EXP(-LN(2)/2)*CM74+(1-EXP(-LN(2)/2))/(LN(2)/2)*CG75*CJ75*VLOOKUP('Données projet'!$B$12,Paramètres!$A$1:$I$89,3,0)*0.475*44/12</f>
        <v>1.6662169361157179E-6</v>
      </c>
      <c r="CN75" s="24">
        <f t="shared" si="66"/>
        <v>1.1791034402902831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847.90573543037658</v>
      </c>
      <c r="S76" s="62">
        <f ca="1">AVERAGE(OFFSET($R$3,0,0,'Données projet'!$E$9+1,1))-AVERAGE(OFFSET($H$3,0,0,'Données projet'!$E$9+1,1))</f>
        <v>472.83070477639035</v>
      </c>
      <c r="T76" s="62">
        <f t="shared" si="88"/>
        <v>297.32483725004136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0.23273143999216467</v>
      </c>
      <c r="AA76" s="23">
        <f>EXP(-LN(2)/25)*AA75+(1-EXP(-LN(2)/25))/(LN(2)/25)*Calculateur!V76*Calculateur!X76*VLOOKUP('Données projet'!$B$9,Paramètres!$A$1:$I$89,3,0)*0.475*44/12</f>
        <v>0.79245616442519151</v>
      </c>
      <c r="AB76" s="23">
        <f>EXP(-LN(2)/2)*AB75+(1-EXP(-LN(2)/2))/(LN(2)/2)*V76*Y76*VLOOKUP('Données projet'!$B$9,Paramètres!$A$1:$I$89,3,0)*0.475*44/12</f>
        <v>1.0513109396678033E-6</v>
      </c>
      <c r="AC76" s="24">
        <f t="shared" si="57"/>
        <v>1.0251886557282959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15.121428571428575</v>
      </c>
      <c r="AI76" s="14">
        <f>IF('Données projet'!$A$62&gt;35,AI75+AH76-AQ75,IF(A76&lt;'Données projet'!$A$62,$AF$205^A76,IF(A76='Données projet'!$A$62,'Données projet'!$B$62,AI75+AH76-AQ75)))</f>
        <v>405.18142857142828</v>
      </c>
      <c r="AJ76" s="14">
        <f>AI76*VLOOKUP('Données projet'!$B$10,Paramètres!$A$1:$I$89,3,0)*VLOOKUP('Données projet'!$B$10,Paramètres!$A$1:$I$89,5,0)</f>
        <v>189.62490857142842</v>
      </c>
      <c r="AK76" s="14">
        <f t="shared" si="89"/>
        <v>47.457015926931383</v>
      </c>
      <c r="AL76" s="22">
        <f t="shared" si="58"/>
        <v>412.91768516797657</v>
      </c>
      <c r="AM76" s="62">
        <f t="shared" si="59"/>
        <v>680.70046936589836</v>
      </c>
      <c r="AN76" s="62">
        <f ca="1">AVERAGE(OFFSET($AM$3,0,0,'Données projet'!$E$10+1,1))-AVERAGE(OFFSET($H$3,0,0,'Données projet'!$E$10+1,1))</f>
        <v>348.76787471354476</v>
      </c>
      <c r="AO76" s="62">
        <f t="shared" si="90"/>
        <v>258.31503417978615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59.385225562404884</v>
      </c>
      <c r="BJ76" s="62">
        <f t="shared" si="92"/>
        <v>285.5244298970598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21.268649589303941</v>
      </c>
      <c r="BQ76" s="23">
        <f>EXP(-LN(2)/25)*BQ75+(1-EXP(-LN(2)/25))/(LN(2)/25)*Calculateur!BL76*Calculateur!BN76*VLOOKUP('Données projet'!$B$11,Paramètres!$A$1:$I$89,3,0)*0.475*44/12</f>
        <v>3.4803938922274185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24.749043481531359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296.8</v>
      </c>
      <c r="BZ76" s="14">
        <f>BY76*VLOOKUP('Données projet'!$B$12,Paramètres!$A$1:$I$89,3,0)*VLOOKUP('Données projet'!$B$12,Paramètres!$A$1:$I$89,5,0)</f>
        <v>300.95520000000005</v>
      </c>
      <c r="CA76" s="14">
        <f t="shared" si="93"/>
        <v>71.376673021759785</v>
      </c>
      <c r="CB76" s="22">
        <f t="shared" si="64"/>
        <v>648.4780121795651</v>
      </c>
      <c r="CC76" s="62">
        <f t="shared" si="65"/>
        <v>916.26079637748694</v>
      </c>
      <c r="CD76" s="62">
        <f ca="1">AVERAGE(OFFSET($CC$3,0,0,'Données projet'!$E$12+1,1))-AVERAGE(OFFSET($H$3,0,0,'Données projet'!$E$12+1,1))</f>
        <v>520.80494930257237</v>
      </c>
      <c r="CE76" s="62">
        <f t="shared" si="94"/>
        <v>325.72635759450861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0.26081971723259839</v>
      </c>
      <c r="CL76" s="23">
        <f>EXP(-LN(2)/25)*CL75+(1-EXP(-LN(2)/25))/(LN(2)/25)*Calculateur!CG76*Calculateur!CI76*VLOOKUP('Données projet'!$B$12,Paramètres!$A$1:$I$89,3,0)*0.475*44/12</f>
        <v>0.88809742564892169</v>
      </c>
      <c r="CM76" s="23">
        <f>EXP(-LN(2)/2)*CM75+(1-EXP(-LN(2)/2))/(LN(2)/2)*CG76*CJ76*VLOOKUP('Données projet'!$B$12,Paramètres!$A$1:$I$89,3,0)*0.475*44/12</f>
        <v>1.1781932944552965E-6</v>
      </c>
      <c r="CN76" s="24">
        <f t="shared" si="66"/>
        <v>1.1489183210748146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862.86508442263937</v>
      </c>
      <c r="S77" s="62">
        <f ca="1">AVERAGE(OFFSET($R$3,0,0,'Données projet'!$E$9+1,1))-AVERAGE(OFFSET($H$3,0,0,'Données projet'!$E$9+1,1))</f>
        <v>472.83070477639035</v>
      </c>
      <c r="T77" s="62">
        <f t="shared" si="88"/>
        <v>297.32483725004136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0.22816771840608011</v>
      </c>
      <c r="AA77" s="23">
        <f>EXP(-LN(2)/25)*AA76+(1-EXP(-LN(2)/25))/(LN(2)/25)*Calculateur!V77*Calculateur!X77*VLOOKUP('Données projet'!$B$9,Paramètres!$A$1:$I$89,3,0)*0.475*44/12</f>
        <v>0.77078640893552619</v>
      </c>
      <c r="AB77" s="23">
        <f>EXP(-LN(2)/2)*AB76+(1-EXP(-LN(2)/2))/(LN(2)/2)*V77*Y77*VLOOKUP('Données projet'!$B$9,Paramètres!$A$1:$I$89,3,0)*0.475*44/12</f>
        <v>7.4338909457470506E-7</v>
      </c>
      <c r="AC77" s="24">
        <f t="shared" si="57"/>
        <v>0.99895487073070088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15.121428571428575</v>
      </c>
      <c r="AI77" s="14">
        <f>IF('Données projet'!$A$62&gt;35,AI76+AH77-AQ76,IF(A77&lt;'Données projet'!$A$62,$AF$205^A77,IF(A77='Données projet'!$A$62,'Données projet'!$B$62,AI76+AH77-AQ76)))</f>
        <v>420.30285714285685</v>
      </c>
      <c r="AJ77" s="14">
        <f>AI77*VLOOKUP('Données projet'!$B$10,Paramètres!$A$1:$I$89,3,0)*VLOOKUP('Données projet'!$B$10,Paramètres!$A$1:$I$89,5,0)</f>
        <v>196.70173714285701</v>
      </c>
      <c r="AK77" s="14">
        <f t="shared" si="89"/>
        <v>49.018609355598009</v>
      </c>
      <c r="AL77" s="22">
        <f t="shared" si="58"/>
        <v>427.96293681814245</v>
      </c>
      <c r="AM77" s="62">
        <f t="shared" si="59"/>
        <v>696.18896592109331</v>
      </c>
      <c r="AN77" s="62">
        <f ca="1">AVERAGE(OFFSET($AM$3,0,0,'Données projet'!$E$10+1,1))-AVERAGE(OFFSET($H$3,0,0,'Données projet'!$E$10+1,1))</f>
        <v>348.76787471354476</v>
      </c>
      <c r="AO77" s="62">
        <f t="shared" si="90"/>
        <v>258.31503417978615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59.385225562404884</v>
      </c>
      <c r="BJ77" s="62">
        <f t="shared" si="92"/>
        <v>285.5244298970598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20.851584343453002</v>
      </c>
      <c r="BQ77" s="23">
        <f>EXP(-LN(2)/25)*BQ76+(1-EXP(-LN(2)/25))/(LN(2)/25)*Calculateur!BL77*Calculateur!BN77*VLOOKUP('Données projet'!$B$11,Paramètres!$A$1:$I$89,3,0)*0.475*44/12</f>
        <v>3.3852223382184996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24.236806681671503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304.40000000000003</v>
      </c>
      <c r="BZ77" s="14">
        <f>BY77*VLOOKUP('Données projet'!$B$12,Paramètres!$A$1:$I$89,3,0)*VLOOKUP('Données projet'!$B$12,Paramètres!$A$1:$I$89,5,0)</f>
        <v>308.66160000000008</v>
      </c>
      <c r="CA77" s="14">
        <f t="shared" si="93"/>
        <v>72.98924863505313</v>
      </c>
      <c r="CB77" s="22">
        <f t="shared" si="64"/>
        <v>664.70856137271755</v>
      </c>
      <c r="CC77" s="62">
        <f t="shared" si="65"/>
        <v>932.93459047566841</v>
      </c>
      <c r="CD77" s="62">
        <f ca="1">AVERAGE(OFFSET($CC$3,0,0,'Données projet'!$E$12+1,1))-AVERAGE(OFFSET($H$3,0,0,'Données projet'!$E$12+1,1))</f>
        <v>520.80494930257237</v>
      </c>
      <c r="CE77" s="62">
        <f t="shared" si="94"/>
        <v>325.72635759450861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0.2557052016619864</v>
      </c>
      <c r="CL77" s="23">
        <f>EXP(-LN(2)/25)*CL76+(1-EXP(-LN(2)/25))/(LN(2)/25)*Calculateur!CG77*Calculateur!CI77*VLOOKUP('Données projet'!$B$12,Paramètres!$A$1:$I$89,3,0)*0.475*44/12</f>
        <v>0.86381235484153807</v>
      </c>
      <c r="CM77" s="23">
        <f>EXP(-LN(2)/2)*CM76+(1-EXP(-LN(2)/2))/(LN(2)/2)*CG77*CJ77*VLOOKUP('Données projet'!$B$12,Paramètres!$A$1:$I$89,3,0)*0.475*44/12</f>
        <v>8.3310846805785894E-7</v>
      </c>
      <c r="CN77" s="24">
        <f t="shared" si="66"/>
        <v>1.1195183896119925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877.80937357948528</v>
      </c>
      <c r="S78" s="62">
        <f ca="1">AVERAGE(OFFSET($R$3,0,0,'Données projet'!$E$9+1,1))-AVERAGE(OFFSET($H$3,0,0,'Données projet'!$E$9+1,1))</f>
        <v>472.83070477639035</v>
      </c>
      <c r="T78" s="62">
        <f t="shared" si="88"/>
        <v>297.32483725004136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0.22369348861670335</v>
      </c>
      <c r="AA78" s="23">
        <f>EXP(-LN(2)/25)*AA77+(1-EXP(-LN(2)/25))/(LN(2)/25)*Calculateur!V78*Calculateur!X78*VLOOKUP('Données projet'!$B$9,Paramètres!$A$1:$I$89,3,0)*0.475*44/12</f>
        <v>0.74970921404928859</v>
      </c>
      <c r="AB78" s="23">
        <f>EXP(-LN(2)/2)*AB77+(1-EXP(-LN(2)/2))/(LN(2)/2)*V78*Y78*VLOOKUP('Données projet'!$B$9,Paramètres!$A$1:$I$89,3,0)*0.475*44/12</f>
        <v>5.2565546983390165E-7</v>
      </c>
      <c r="AC78" s="24">
        <f t="shared" si="57"/>
        <v>0.97340322832146176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15.121428571428575</v>
      </c>
      <c r="AI78" s="14">
        <f>IF('Données projet'!$A$62&gt;35,AI77+AH78-AQ77,IF(A78&lt;'Données projet'!$A$62,$AF$205^A78,IF(A78='Données projet'!$A$62,'Données projet'!$B$62,AI77+AH78-AQ77)))</f>
        <v>435.42428571428542</v>
      </c>
      <c r="AJ78" s="14">
        <f>AI78*VLOOKUP('Données projet'!$B$10,Paramètres!$A$1:$I$89,3,0)*VLOOKUP('Données projet'!$B$10,Paramètres!$A$1:$I$89,5,0)</f>
        <v>203.77856571428558</v>
      </c>
      <c r="AK78" s="14">
        <f t="shared" si="89"/>
        <v>50.57367536717328</v>
      </c>
      <c r="AL78" s="22">
        <f t="shared" si="58"/>
        <v>442.99681988354081</v>
      </c>
      <c r="AM78" s="62">
        <f t="shared" si="59"/>
        <v>711.65840458336561</v>
      </c>
      <c r="AN78" s="62">
        <f ca="1">AVERAGE(OFFSET($AM$3,0,0,'Données projet'!$E$10+1,1))-AVERAGE(OFFSET($H$3,0,0,'Données projet'!$E$10+1,1))</f>
        <v>348.76787471354476</v>
      </c>
      <c r="AO78" s="62">
        <f t="shared" si="90"/>
        <v>258.31503417978615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59.385225562404884</v>
      </c>
      <c r="BJ78" s="62">
        <f t="shared" si="92"/>
        <v>285.5244298970598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20.44269749268852</v>
      </c>
      <c r="BQ78" s="23">
        <f>EXP(-LN(2)/25)*BQ77+(1-EXP(-LN(2)/25))/(LN(2)/25)*Calculateur!BL78*Calculateur!BN78*VLOOKUP('Données projet'!$B$11,Paramètres!$A$1:$I$89,3,0)*0.475*44/12</f>
        <v>3.2926532553588088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23.735350748047328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312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312.00000000000006</v>
      </c>
      <c r="BZ78" s="14">
        <f>BY78*VLOOKUP('Données projet'!$B$12,Paramètres!$A$1:$I$89,3,0)*VLOOKUP('Données projet'!$B$12,Paramètres!$A$1:$I$89,5,0)</f>
        <v>316.36800000000005</v>
      </c>
      <c r="CA78" s="14">
        <f t="shared" si="93"/>
        <v>74.597144109003438</v>
      </c>
      <c r="CB78" s="22">
        <f t="shared" si="64"/>
        <v>680.93095932318113</v>
      </c>
      <c r="CC78" s="62">
        <f t="shared" si="65"/>
        <v>949.59254402300598</v>
      </c>
      <c r="CD78" s="62">
        <f ca="1">AVERAGE(OFFSET($CC$3,0,0,'Données projet'!$E$12+1,1))-AVERAGE(OFFSET($H$3,0,0,'Données projet'!$E$12+1,1))</f>
        <v>520.80494930257237</v>
      </c>
      <c r="CE78" s="62">
        <f t="shared" si="94"/>
        <v>325.72635759450861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28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0.2506909786221676</v>
      </c>
      <c r="CL78" s="23">
        <f>EXP(-LN(2)/25)*CL77+(1-EXP(-LN(2)/25))/(LN(2)/25)*Calculateur!CG78*Calculateur!CI78*VLOOKUP('Données projet'!$B$12,Paramètres!$A$1:$I$89,3,0)*0.475*44/12</f>
        <v>0.84019136057247878</v>
      </c>
      <c r="CM78" s="23">
        <f>EXP(-LN(2)/2)*CM77+(1-EXP(-LN(2)/2))/(LN(2)/2)*CG78*CJ78*VLOOKUP('Données projet'!$B$12,Paramètres!$A$1:$I$89,3,0)*0.475*44/12</f>
        <v>5.8909664722764827E-7</v>
      </c>
      <c r="CN78" s="24">
        <f t="shared" si="66"/>
        <v>1.0908829282912935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838.51161983006114</v>
      </c>
      <c r="S79" s="62">
        <f ca="1">AVERAGE(OFFSET($R$3,0,0,'Données projet'!$E$9+1,1))-AVERAGE(OFFSET($H$3,0,0,'Données projet'!$E$9+1,1))</f>
        <v>472.83070477639035</v>
      </c>
      <c r="T79" s="62">
        <f t="shared" si="88"/>
        <v>297.32483725004136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0.21930699574448556</v>
      </c>
      <c r="AA79" s="23">
        <f>EXP(-LN(2)/25)*AA78+(1-EXP(-LN(2)/25))/(LN(2)/25)*Calculateur!V79*Calculateur!X79*VLOOKUP('Données projet'!$B$9,Paramètres!$A$1:$I$89,3,0)*0.475*44/12</f>
        <v>0.72920837616561673</v>
      </c>
      <c r="AB79" s="23">
        <f>EXP(-LN(2)/2)*AB78+(1-EXP(-LN(2)/2))/(LN(2)/2)*V79*Y79*VLOOKUP('Données projet'!$B$9,Paramètres!$A$1:$I$89,3,0)*0.475*44/12</f>
        <v>3.7169454728735253E-7</v>
      </c>
      <c r="AC79" s="24">
        <f t="shared" si="57"/>
        <v>0.94851574360464952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15.121428571428575</v>
      </c>
      <c r="AI79" s="14">
        <f>IF('Données projet'!$A$62&gt;35,AI78+AH79-AQ78,IF(A79&lt;'Données projet'!$A$62,$AF$205^A79,IF(A79='Données projet'!$A$62,'Données projet'!$B$62,AI78+AH79-AQ78)))</f>
        <v>450.54571428571398</v>
      </c>
      <c r="AJ79" s="14">
        <f>AI79*VLOOKUP('Données projet'!$B$10,Paramètres!$A$1:$I$89,3,0)*VLOOKUP('Données projet'!$B$10,Paramètres!$A$1:$I$89,5,0)</f>
        <v>210.85539428571417</v>
      </c>
      <c r="AK79" s="14">
        <f t="shared" si="89"/>
        <v>52.122466624482129</v>
      </c>
      <c r="AL79" s="22">
        <f t="shared" si="58"/>
        <v>458.01977441859185</v>
      </c>
      <c r="AM79" s="62">
        <f t="shared" si="59"/>
        <v>727.10935879944122</v>
      </c>
      <c r="AN79" s="62">
        <f ca="1">AVERAGE(OFFSET($AM$3,0,0,'Données projet'!$E$10+1,1))-AVERAGE(OFFSET($H$3,0,0,'Données projet'!$E$10+1,1))</f>
        <v>348.76787471354476</v>
      </c>
      <c r="AO79" s="62">
        <f t="shared" si="90"/>
        <v>258.31503417978615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59.385225562404884</v>
      </c>
      <c r="BJ79" s="62">
        <f t="shared" si="92"/>
        <v>285.5244298970598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20.041828663671176</v>
      </c>
      <c r="BQ79" s="23">
        <f>EXP(-LN(2)/25)*BQ78+(1-EXP(-LN(2)/25))/(LN(2)/25)*Calculateur!BL79*Calculateur!BN79*VLOOKUP('Données projet'!$B$11,Paramètres!$A$1:$I$89,3,0)*0.475*44/12</f>
        <v>3.2026154789379131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23.24444414260909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295.27680000000004</v>
      </c>
      <c r="CA79" s="14">
        <f t="shared" si="93"/>
        <v>70.185386686980493</v>
      </c>
      <c r="CB79" s="22">
        <f t="shared" si="64"/>
        <v>636.51330847982445</v>
      </c>
      <c r="CC79" s="62">
        <f t="shared" si="65"/>
        <v>905.60289286067382</v>
      </c>
      <c r="CD79" s="62">
        <f ca="1">AVERAGE(OFFSET($CC$3,0,0,'Données projet'!$E$12+1,1))-AVERAGE(OFFSET($H$3,0,0,'Données projet'!$E$12+1,1))</f>
        <v>520.80494930257237</v>
      </c>
      <c r="CE79" s="62">
        <f t="shared" si="94"/>
        <v>325.72635759450861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0.24577508143778559</v>
      </c>
      <c r="CL79" s="23">
        <f>EXP(-LN(2)/25)*CL78+(1-EXP(-LN(2)/25))/(LN(2)/25)*Calculateur!CG79*Calculateur!CI79*VLOOKUP('Données projet'!$B$12,Paramètres!$A$1:$I$89,3,0)*0.475*44/12</f>
        <v>0.81721628363388099</v>
      </c>
      <c r="CM79" s="23">
        <f>EXP(-LN(2)/2)*CM78+(1-EXP(-LN(2)/2))/(LN(2)/2)*CG79*CJ79*VLOOKUP('Données projet'!$B$12,Paramètres!$A$1:$I$89,3,0)*0.475*44/12</f>
        <v>4.1655423402892947E-7</v>
      </c>
      <c r="CN79" s="24">
        <f t="shared" si="66"/>
        <v>1.0629917816259005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852.68975517110448</v>
      </c>
      <c r="S80" s="62">
        <f ca="1">AVERAGE(OFFSET($R$3,0,0,'Données projet'!$E$9+1,1))-AVERAGE(OFFSET($H$3,0,0,'Données projet'!$E$9+1,1))</f>
        <v>472.83070477639035</v>
      </c>
      <c r="T80" s="62">
        <f t="shared" si="88"/>
        <v>297.32483725004136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0.21500651932199549</v>
      </c>
      <c r="AA80" s="23">
        <f>EXP(-LN(2)/25)*AA79+(1-EXP(-LN(2)/25))/(LN(2)/25)*Calculateur!V80*Calculateur!X80*VLOOKUP('Données projet'!$B$9,Paramètres!$A$1:$I$89,3,0)*0.475*44/12</f>
        <v>0.70926813477196604</v>
      </c>
      <c r="AB80" s="23">
        <f>EXP(-LN(2)/2)*AB79+(1-EXP(-LN(2)/2))/(LN(2)/2)*V80*Y80*VLOOKUP('Données projet'!$B$9,Paramètres!$A$1:$I$89,3,0)*0.475*44/12</f>
        <v>2.6282773491695082E-7</v>
      </c>
      <c r="AC80" s="24">
        <f t="shared" si="57"/>
        <v>0.92427491692169639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15.121428571428575</v>
      </c>
      <c r="AI80" s="14">
        <f>IF('Données projet'!$A$62&gt;35,AI79+AH80-AQ79,IF(A80&lt;'Données projet'!$A$62,$AF$205^A80,IF(A80='Données projet'!$A$62,'Données projet'!$B$62,AI79+AH80-AQ79)))</f>
        <v>465.66714285714255</v>
      </c>
      <c r="AJ80" s="14">
        <f>AI80*VLOOKUP('Données projet'!$B$10,Paramètres!$A$1:$I$89,3,0)*VLOOKUP('Données projet'!$B$10,Paramètres!$A$1:$I$89,5,0)</f>
        <v>217.9322228571427</v>
      </c>
      <c r="AK80" s="14">
        <f t="shared" si="89"/>
        <v>53.665217868077001</v>
      </c>
      <c r="AL80" s="22">
        <f t="shared" si="58"/>
        <v>473.03220926309092</v>
      </c>
      <c r="AM80" s="62">
        <f t="shared" si="59"/>
        <v>742.54236848736321</v>
      </c>
      <c r="AN80" s="62">
        <f ca="1">AVERAGE(OFFSET($AM$3,0,0,'Données projet'!$E$10+1,1))-AVERAGE(OFFSET($H$3,0,0,'Données projet'!$E$10+1,1))</f>
        <v>348.76787471354476</v>
      </c>
      <c r="AO80" s="62">
        <f t="shared" si="90"/>
        <v>258.31503417978615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59.385225562404884</v>
      </c>
      <c r="BJ80" s="62">
        <f t="shared" si="92"/>
        <v>285.5244298970598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19.648820627885019</v>
      </c>
      <c r="BQ80" s="23">
        <f>EXP(-LN(2)/25)*BQ79+(1-EXP(-LN(2)/25))/(LN(2)/25)*Calculateur!BL80*Calculateur!BN80*VLOOKUP('Données projet'!$B$11,Paramètres!$A$1:$I$89,3,0)*0.475*44/12</f>
        <v>3.1150397902481277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22.763860418133149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302.57760000000007</v>
      </c>
      <c r="CA80" s="14">
        <f t="shared" si="93"/>
        <v>71.716558091076294</v>
      </c>
      <c r="CB80" s="22">
        <f t="shared" si="64"/>
        <v>651.89565867529132</v>
      </c>
      <c r="CC80" s="62">
        <f t="shared" si="65"/>
        <v>921.40581789956354</v>
      </c>
      <c r="CD80" s="62">
        <f ca="1">AVERAGE(OFFSET($CC$3,0,0,'Données projet'!$E$12+1,1))-AVERAGE(OFFSET($H$3,0,0,'Données projet'!$E$12+1,1))</f>
        <v>520.80494930257237</v>
      </c>
      <c r="CE80" s="62">
        <f t="shared" si="94"/>
        <v>325.72635759450861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0.24095558199878811</v>
      </c>
      <c r="CL80" s="23">
        <f>EXP(-LN(2)/25)*CL79+(1-EXP(-LN(2)/25))/(LN(2)/25)*Calculateur!CG80*Calculateur!CI80*VLOOKUP('Données projet'!$B$12,Paramètres!$A$1:$I$89,3,0)*0.475*44/12</f>
        <v>0.79486946138237591</v>
      </c>
      <c r="CM80" s="23">
        <f>EXP(-LN(2)/2)*CM79+(1-EXP(-LN(2)/2))/(LN(2)/2)*CG80*CJ80*VLOOKUP('Données projet'!$B$12,Paramètres!$A$1:$I$89,3,0)*0.475*44/12</f>
        <v>2.9454832361382414E-7</v>
      </c>
      <c r="CN80" s="24">
        <f t="shared" si="66"/>
        <v>1.0358253379294875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866.8538307678042</v>
      </c>
      <c r="S81" s="62">
        <f ca="1">AVERAGE(OFFSET($R$3,0,0,'Données projet'!$E$9+1,1))-AVERAGE(OFFSET($H$3,0,0,'Données projet'!$E$9+1,1))</f>
        <v>472.83070477639035</v>
      </c>
      <c r="T81" s="62">
        <f t="shared" si="88"/>
        <v>297.32483725004136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0.21079037261911884</v>
      </c>
      <c r="AA81" s="23">
        <f>EXP(-LN(2)/25)*AA80+(1-EXP(-LN(2)/25))/(LN(2)/25)*Calculateur!V81*Calculateur!X81*VLOOKUP('Données projet'!$B$9,Paramètres!$A$1:$I$89,3,0)*0.475*44/12</f>
        <v>0.68987316032783652</v>
      </c>
      <c r="AB81" s="23">
        <f>EXP(-LN(2)/2)*AB80+(1-EXP(-LN(2)/2))/(LN(2)/2)*V81*Y81*VLOOKUP('Données projet'!$B$9,Paramètres!$A$1:$I$89,3,0)*0.475*44/12</f>
        <v>1.8584727364367627E-7</v>
      </c>
      <c r="AC81" s="24">
        <f t="shared" si="57"/>
        <v>0.90066371879422902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15.121428571428575</v>
      </c>
      <c r="AI81" s="14">
        <f>IF('Données projet'!$A$62&gt;35,AI80+AH81-AQ80,IF(A81&lt;'Données projet'!$A$62,$AF$205^A81,IF(A81='Données projet'!$A$62,'Données projet'!$B$62,AI80+AH81-AQ80)))</f>
        <v>480.78857142857112</v>
      </c>
      <c r="AJ81" s="14">
        <f>AI81*VLOOKUP('Données projet'!$B$10,Paramètres!$A$1:$I$89,3,0)*VLOOKUP('Données projet'!$B$10,Paramètres!$A$1:$I$89,5,0)</f>
        <v>225.0090514285713</v>
      </c>
      <c r="AK81" s="14">
        <f t="shared" si="89"/>
        <v>55.202147727806029</v>
      </c>
      <c r="AL81" s="22">
        <f t="shared" si="58"/>
        <v>488.03450519735719</v>
      </c>
      <c r="AM81" s="62">
        <f t="shared" si="59"/>
        <v>757.95794323178347</v>
      </c>
      <c r="AN81" s="62">
        <f ca="1">AVERAGE(OFFSET($AM$3,0,0,'Données projet'!$E$10+1,1))-AVERAGE(OFFSET($H$3,0,0,'Données projet'!$E$10+1,1))</f>
        <v>348.76787471354476</v>
      </c>
      <c r="AO81" s="62">
        <f t="shared" si="90"/>
        <v>258.31503417978615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59.385225562404884</v>
      </c>
      <c r="BJ81" s="62">
        <f t="shared" si="92"/>
        <v>285.5244298970598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19.263519239969398</v>
      </c>
      <c r="BQ81" s="23">
        <f>EXP(-LN(2)/25)*BQ80+(1-EXP(-LN(2)/25))/(LN(2)/25)*Calculateur!BL81*Calculateur!BN81*VLOOKUP('Données projet'!$B$11,Paramètres!$A$1:$I$89,3,0)*0.475*44/12</f>
        <v>3.0298588633709698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22.293378103340366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309.87840000000006</v>
      </c>
      <c r="CA81" s="14">
        <f t="shared" si="93"/>
        <v>73.243434672131556</v>
      </c>
      <c r="CB81" s="22">
        <f t="shared" si="64"/>
        <v>667.27052872062916</v>
      </c>
      <c r="CC81" s="62">
        <f t="shared" si="65"/>
        <v>937.19396675505538</v>
      </c>
      <c r="CD81" s="62">
        <f ca="1">AVERAGE(OFFSET($CC$3,0,0,'Données projet'!$E$12+1,1))-AVERAGE(OFFSET($H$3,0,0,'Données projet'!$E$12+1,1))</f>
        <v>520.80494930257237</v>
      </c>
      <c r="CE81" s="62">
        <f t="shared" si="94"/>
        <v>325.72635759450861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0.23623059000418498</v>
      </c>
      <c r="CL81" s="23">
        <f>EXP(-LN(2)/25)*CL80+(1-EXP(-LN(2)/25))/(LN(2)/25)*Calculateur!CG81*Calculateur!CI81*VLOOKUP('Données projet'!$B$12,Paramètres!$A$1:$I$89,3,0)*0.475*44/12</f>
        <v>0.77313371416050658</v>
      </c>
      <c r="CM81" s="23">
        <f>EXP(-LN(2)/2)*CM80+(1-EXP(-LN(2)/2))/(LN(2)/2)*CG81*CJ81*VLOOKUP('Données projet'!$B$12,Paramètres!$A$1:$I$89,3,0)*0.475*44/12</f>
        <v>2.0827711701446474E-7</v>
      </c>
      <c r="CN81" s="24">
        <f t="shared" si="66"/>
        <v>1.0093645124418087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881.00415088284853</v>
      </c>
      <c r="S82" s="62">
        <f ca="1">AVERAGE(OFFSET($R$3,0,0,'Données projet'!$E$9+1,1))-AVERAGE(OFFSET($H$3,0,0,'Données projet'!$E$9+1,1))</f>
        <v>472.83070477639035</v>
      </c>
      <c r="T82" s="62">
        <f t="shared" si="88"/>
        <v>297.32483725004136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0.20665690198149003</v>
      </c>
      <c r="AA82" s="23">
        <f>EXP(-LN(2)/25)*AA81+(1-EXP(-LN(2)/25))/(LN(2)/25)*Calculateur!V82*Calculateur!X82*VLOOKUP('Données projet'!$B$9,Paramètres!$A$1:$I$89,3,0)*0.475*44/12</f>
        <v>0.671008542479819</v>
      </c>
      <c r="AB82" s="23">
        <f>EXP(-LN(2)/2)*AB81+(1-EXP(-LN(2)/2))/(LN(2)/2)*V82*Y82*VLOOKUP('Données projet'!$B$9,Paramètres!$A$1:$I$89,3,0)*0.475*44/12</f>
        <v>1.3141386745847541E-7</v>
      </c>
      <c r="AC82" s="24">
        <f t="shared" si="57"/>
        <v>0.87766557587517646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>
        <f>VLOOKUP(A82,'Données projet'!$A$61:$I$81,2,0)</f>
        <v>495.91</v>
      </c>
      <c r="AG82" s="13">
        <f>VLOOKUP(A82,'Données projet'!$A$61:$I$81,9,0)</f>
        <v>15.121428571428575</v>
      </c>
      <c r="AH82" s="13">
        <f t="array" ref="AH82">INDEX(AG:AG,MIN(IF(ISNUMBER(AG82:AG278),ROW(AG82:AG278),"")))</f>
        <v>15.121428571428575</v>
      </c>
      <c r="AI82" s="14">
        <f>IF('Données projet'!$A$62&gt;35,AI81+AH82-AQ81,IF(A82&lt;'Données projet'!$A$62,$AF$205^A82,IF(A82='Données projet'!$A$62,'Données projet'!$B$62,AI81+AH82-AQ81)))</f>
        <v>495.90999999999968</v>
      </c>
      <c r="AJ82" s="14">
        <f>AI82*VLOOKUP('Données projet'!$B$10,Paramètres!$A$1:$I$89,3,0)*VLOOKUP('Données projet'!$B$10,Paramètres!$A$1:$I$89,5,0)</f>
        <v>232.08587999999986</v>
      </c>
      <c r="AK82" s="14">
        <f t="shared" si="89"/>
        <v>56.733460300074178</v>
      </c>
      <c r="AL82" s="22">
        <f t="shared" si="58"/>
        <v>503.02701768929563</v>
      </c>
      <c r="AM82" s="62">
        <f t="shared" si="59"/>
        <v>773.35656507047258</v>
      </c>
      <c r="AN82" s="62">
        <f ca="1">AVERAGE(OFFSET($AM$3,0,0,'Données projet'!$E$10+1,1))-AVERAGE(OFFSET($H$3,0,0,'Données projet'!$E$10+1,1))</f>
        <v>348.76787471354476</v>
      </c>
      <c r="AO82" s="62">
        <f t="shared" si="90"/>
        <v>258.31503417978615</v>
      </c>
      <c r="AP82" s="16">
        <f>IF(ISNA(VLOOKUP(A82,'Données projet'!$A$61:$I$81,3,0)),0,VLOOKUP(A82,'Données projet'!$A$61:$I$81,3,0))</f>
        <v>13</v>
      </c>
      <c r="AQ82" s="16">
        <f>IF(ISNA(VLOOKUP(A82,'Données projet'!$A$61:$I$81,4,0)),0,VLOOKUP(A82,'Données projet'!$A$61:$I$81,4,0))</f>
        <v>87.99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59.385225562404884</v>
      </c>
      <c r="BJ82" s="62">
        <f t="shared" si="92"/>
        <v>285.5244298970598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18.885773377260158</v>
      </c>
      <c r="BQ82" s="23">
        <f>EXP(-LN(2)/25)*BQ81+(1-EXP(-LN(2)/25))/(LN(2)/25)*Calculateur!BL82*Calculateur!BN82*VLOOKUP('Données projet'!$B$11,Paramètres!$A$1:$I$89,3,0)*0.475*44/12</f>
        <v>2.9470072134187379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21.832780590678894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317.17920000000004</v>
      </c>
      <c r="CA82" s="14">
        <f t="shared" si="93"/>
        <v>74.766129261581426</v>
      </c>
      <c r="CB82" s="22">
        <f t="shared" si="64"/>
        <v>682.63811513058772</v>
      </c>
      <c r="CC82" s="62">
        <f t="shared" si="65"/>
        <v>952.96766251176473</v>
      </c>
      <c r="CD82" s="62">
        <f ca="1">AVERAGE(OFFSET($CC$3,0,0,'Données projet'!$E$12+1,1))-AVERAGE(OFFSET($H$3,0,0,'Données projet'!$E$12+1,1))</f>
        <v>520.80494930257237</v>
      </c>
      <c r="CE82" s="62">
        <f t="shared" si="94"/>
        <v>325.72635759450861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0.23159825222063546</v>
      </c>
      <c r="CL82" s="23">
        <f>EXP(-LN(2)/25)*CL81+(1-EXP(-LN(2)/25))/(LN(2)/25)*Calculateur!CG82*Calculateur!CI82*VLOOKUP('Données projet'!$B$12,Paramètres!$A$1:$I$89,3,0)*0.475*44/12</f>
        <v>0.75199233208945249</v>
      </c>
      <c r="CM82" s="23">
        <f>EXP(-LN(2)/2)*CM81+(1-EXP(-LN(2)/2))/(LN(2)/2)*CG82*CJ82*VLOOKUP('Données projet'!$B$12,Paramètres!$A$1:$I$89,3,0)*0.475*44/12</f>
        <v>1.4727416180691207E-7</v>
      </c>
      <c r="CN82" s="24">
        <f t="shared" si="66"/>
        <v>0.9835907315842497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895.14100893618843</v>
      </c>
      <c r="S83" s="62">
        <f ca="1">AVERAGE(OFFSET($R$3,0,0,'Données projet'!$E$9+1,1))-AVERAGE(OFFSET($H$3,0,0,'Données projet'!$E$9+1,1))</f>
        <v>472.83070477639035</v>
      </c>
      <c r="T83" s="62">
        <f t="shared" si="88"/>
        <v>297.32483725004136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0.202604486181897</v>
      </c>
      <c r="AA83" s="23">
        <f>EXP(-LN(2)/25)*AA82+(1-EXP(-LN(2)/25))/(LN(2)/25)*Calculateur!V83*Calculateur!X83*VLOOKUP('Données projet'!$B$9,Paramètres!$A$1:$I$89,3,0)*0.475*44/12</f>
        <v>0.65265977859890267</v>
      </c>
      <c r="AB83" s="23">
        <f>EXP(-LN(2)/2)*AB82+(1-EXP(-LN(2)/2))/(LN(2)/2)*V83*Y83*VLOOKUP('Données projet'!$B$9,Paramètres!$A$1:$I$89,3,0)*0.475*44/12</f>
        <v>9.2923636821838133E-8</v>
      </c>
      <c r="AC83" s="24">
        <f t="shared" si="57"/>
        <v>0.85526435770443643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422.5</v>
      </c>
      <c r="AG83" s="13">
        <f>VLOOKUP(A83,'Données projet'!$A$61:$I$81,9,0)</f>
        <v>14.579999999999984</v>
      </c>
      <c r="AH83" s="13">
        <f t="array" ref="AH83">INDEX(AG:AG,MIN(IF(ISNUMBER(AG83:AG279),ROW(AG83:AG279),"")))</f>
        <v>14.579999999999984</v>
      </c>
      <c r="AI83" s="14">
        <f>IF('Données projet'!$A$62&gt;35,AI82+AH83-AQ82,IF(A83&lt;'Données projet'!$A$62,$AF$205^A83,IF(A83='Données projet'!$A$62,'Données projet'!$B$62,AI82+AH83-AQ82)))</f>
        <v>422.49999999999966</v>
      </c>
      <c r="AJ83" s="14">
        <f>AI83*VLOOKUP('Données projet'!$B$10,Paramètres!$A$1:$I$89,3,0)*VLOOKUP('Données projet'!$B$10,Paramètres!$A$1:$I$89,5,0)</f>
        <v>197.72999999999985</v>
      </c>
      <c r="AK83" s="14">
        <f t="shared" si="89"/>
        <v>49.244959487759623</v>
      </c>
      <c r="AL83" s="22">
        <f t="shared" si="58"/>
        <v>430.14805444118105</v>
      </c>
      <c r="AM83" s="62">
        <f t="shared" si="59"/>
        <v>700.87666607986716</v>
      </c>
      <c r="AN83" s="62">
        <f ca="1">AVERAGE(OFFSET($AM$3,0,0,'Données projet'!$E$10+1,1))-AVERAGE(OFFSET($H$3,0,0,'Données projet'!$E$10+1,1))</f>
        <v>348.76787471354476</v>
      </c>
      <c r="AO83" s="62">
        <f t="shared" si="90"/>
        <v>258.31503417978615</v>
      </c>
      <c r="AP83" s="16">
        <f>IF(ISNA(VLOOKUP(A83,'Données projet'!$A$61:$I$81,3,0)),0,VLOOKUP(A83,'Données projet'!$A$61:$I$81,3,0))</f>
        <v>14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59.385225562404884</v>
      </c>
      <c r="BJ83" s="62">
        <f t="shared" si="92"/>
        <v>285.5244298970598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18.51543488051642</v>
      </c>
      <c r="BQ83" s="23">
        <f>EXP(-LN(2)/25)*BQ82+(1-EXP(-LN(2)/25))/(LN(2)/25)*Calculateur!BL83*Calculateur!BN83*VLOOKUP('Données projet'!$B$11,Paramètres!$A$1:$I$89,3,0)*0.475*44/12</f>
        <v>2.8664211461914286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21.381856026707847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324.48</v>
      </c>
      <c r="CA83" s="14">
        <f t="shared" si="93"/>
        <v>76.284749200165578</v>
      </c>
      <c r="CB83" s="22">
        <f t="shared" si="64"/>
        <v>697.99860485695501</v>
      </c>
      <c r="CC83" s="62">
        <f t="shared" si="65"/>
        <v>968.72721649564119</v>
      </c>
      <c r="CD83" s="62">
        <f ca="1">AVERAGE(OFFSET($CC$3,0,0,'Données projet'!$E$12+1,1))-AVERAGE(OFFSET($H$3,0,0,'Données projet'!$E$12+1,1))</f>
        <v>520.80494930257237</v>
      </c>
      <c r="CE83" s="62">
        <f t="shared" si="94"/>
        <v>325.72635759450861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28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0.2270567517555743</v>
      </c>
      <c r="CL83" s="23">
        <f>EXP(-LN(2)/25)*CL82+(1-EXP(-LN(2)/25))/(LN(2)/25)*Calculateur!CG83*Calculateur!CI83*VLOOKUP('Données projet'!$B$12,Paramètres!$A$1:$I$89,3,0)*0.475*44/12</f>
        <v>0.73142906222290838</v>
      </c>
      <c r="CM83" s="23">
        <f>EXP(-LN(2)/2)*CM82+(1-EXP(-LN(2)/2))/(LN(2)/2)*CG83*CJ83*VLOOKUP('Données projet'!$B$12,Paramètres!$A$1:$I$89,3,0)*0.475*44/12</f>
        <v>1.0413855850723237E-7</v>
      </c>
      <c r="CN83" s="24">
        <f t="shared" si="66"/>
        <v>0.9584859181170412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855.06445788744873</v>
      </c>
      <c r="S84" s="62">
        <f ca="1">AVERAGE(OFFSET($R$3,0,0,'Données projet'!$E$9+1,1))-AVERAGE(OFFSET($H$3,0,0,'Données projet'!$E$9+1,1))</f>
        <v>472.83070477639035</v>
      </c>
      <c r="T84" s="62">
        <f t="shared" si="88"/>
        <v>297.32483725004136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0.1986315357844044</v>
      </c>
      <c r="AA84" s="23">
        <f>EXP(-LN(2)/25)*AA83+(1-EXP(-LN(2)/25))/(LN(2)/25)*Calculateur!V84*Calculateur!X84*VLOOKUP('Données projet'!$B$9,Paramètres!$A$1:$I$89,3,0)*0.475*44/12</f>
        <v>0.63481276263122954</v>
      </c>
      <c r="AB84" s="23">
        <f>EXP(-LN(2)/2)*AB83+(1-EXP(-LN(2)/2))/(LN(2)/2)*V84*Y84*VLOOKUP('Données projet'!$B$9,Paramètres!$A$1:$I$89,3,0)*0.475*44/12</f>
        <v>6.5706933729237706E-8</v>
      </c>
      <c r="AC84" s="24">
        <f t="shared" si="57"/>
        <v>0.83344436412256773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14.16</v>
      </c>
      <c r="AI84" s="14">
        <f>IF('Données projet'!$A$62&gt;35,AI83+AH84-AQ83,IF(A84&lt;'Données projet'!$A$62,$AF$205^A84,IF(A84='Données projet'!$A$62,'Données projet'!$B$62,AI83+AH84-AQ83)))</f>
        <v>436.65999999999968</v>
      </c>
      <c r="AJ84" s="14">
        <f>AI84*VLOOKUP('Données projet'!$B$10,Paramètres!$A$1:$I$89,3,0)*VLOOKUP('Données projet'!$B$10,Paramètres!$A$1:$I$89,5,0)</f>
        <v>204.35687999999985</v>
      </c>
      <c r="AK84" s="14">
        <f t="shared" si="89"/>
        <v>50.70047382771854</v>
      </c>
      <c r="AL84" s="22">
        <f t="shared" si="58"/>
        <v>444.22489124994286</v>
      </c>
      <c r="AM84" s="62">
        <f t="shared" si="59"/>
        <v>715.34564427344435</v>
      </c>
      <c r="AN84" s="62">
        <f ca="1">AVERAGE(OFFSET($AM$3,0,0,'Données projet'!$E$10+1,1))-AVERAGE(OFFSET($H$3,0,0,'Données projet'!$E$10+1,1))</f>
        <v>348.76787471354476</v>
      </c>
      <c r="AO84" s="62">
        <f t="shared" si="90"/>
        <v>258.31503417978615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59.385225562404884</v>
      </c>
      <c r="BJ84" s="62">
        <f t="shared" si="92"/>
        <v>285.5244298970598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18.152358495809651</v>
      </c>
      <c r="BQ84" s="23">
        <f>EXP(-LN(2)/25)*BQ83+(1-EXP(-LN(2)/25))/(LN(2)/25)*Calculateur!BL84*Calculateur!BN84*VLOOKUP('Données projet'!$B$11,Paramètres!$A$1:$I$89,3,0)*0.475*44/12</f>
        <v>2.7880387092102872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20.940397205019938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6.8</v>
      </c>
      <c r="BY84" s="13">
        <f>IF('Données projet'!$A$114&gt;35,BY83+BX84-CG83,IF(A84&lt;'Données projet'!$A$114,$BV$205^A84,IF(A84='Données projet'!$A$114,'Données projet'!$B$114,BY83+BX84-CG83)))</f>
        <v>298.8</v>
      </c>
      <c r="BZ84" s="14">
        <f>BY84*VLOOKUP('Données projet'!$B$12,Paramètres!$A$1:$I$89,3,0)*VLOOKUP('Données projet'!$B$12,Paramètres!$A$1:$I$89,5,0)</f>
        <v>302.98320000000007</v>
      </c>
      <c r="CA84" s="14">
        <f t="shared" si="93"/>
        <v>71.801496173397709</v>
      </c>
      <c r="CB84" s="22">
        <f t="shared" si="64"/>
        <v>652.75001250200114</v>
      </c>
      <c r="CC84" s="62">
        <f t="shared" si="65"/>
        <v>923.87076552550252</v>
      </c>
      <c r="CD84" s="62">
        <f ca="1">AVERAGE(OFFSET($CC$3,0,0,'Données projet'!$E$12+1,1))-AVERAGE(OFFSET($H$3,0,0,'Données projet'!$E$12+1,1))</f>
        <v>520.80494930257237</v>
      </c>
      <c r="CE84" s="62">
        <f t="shared" si="94"/>
        <v>325.72635759450861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0.22260430734459122</v>
      </c>
      <c r="CL84" s="23">
        <f>EXP(-LN(2)/25)*CL83+(1-EXP(-LN(2)/25))/(LN(2)/25)*Calculateur!CG84*Calculateur!CI84*VLOOKUP('Données projet'!$B$12,Paramètres!$A$1:$I$89,3,0)*0.475*44/12</f>
        <v>0.71142809605224022</v>
      </c>
      <c r="CM84" s="23">
        <f>EXP(-LN(2)/2)*CM83+(1-EXP(-LN(2)/2))/(LN(2)/2)*CG84*CJ84*VLOOKUP('Données projet'!$B$12,Paramètres!$A$1:$I$89,3,0)*0.475*44/12</f>
        <v>7.3637080903456034E-8</v>
      </c>
      <c r="CN84" s="24">
        <f t="shared" si="66"/>
        <v>0.93403247703391235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868.436484365365</v>
      </c>
      <c r="S85" s="62">
        <f ca="1">AVERAGE(OFFSET($R$3,0,0,'Données projet'!$E$9+1,1))-AVERAGE(OFFSET($H$3,0,0,'Données projet'!$E$9+1,1))</f>
        <v>472.83070477639035</v>
      </c>
      <c r="T85" s="62">
        <f t="shared" si="88"/>
        <v>297.32483725004136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0.19473649252094616</v>
      </c>
      <c r="AA85" s="23">
        <f>EXP(-LN(2)/25)*AA84+(1-EXP(-LN(2)/25))/(LN(2)/25)*Calculateur!V85*Calculateur!X85*VLOOKUP('Données projet'!$B$9,Paramètres!$A$1:$I$89,3,0)*0.475*44/12</f>
        <v>0.61745377425372627</v>
      </c>
      <c r="AB85" s="23">
        <f>EXP(-LN(2)/2)*AB84+(1-EXP(-LN(2)/2))/(LN(2)/2)*V85*Y85*VLOOKUP('Données projet'!$B$9,Paramètres!$A$1:$I$89,3,0)*0.475*44/12</f>
        <v>4.6461818410919066E-8</v>
      </c>
      <c r="AC85" s="24">
        <f t="shared" si="57"/>
        <v>0.81219031323649082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14.16</v>
      </c>
      <c r="AI85" s="14">
        <f>IF('Données projet'!$A$62&gt;35,AI84+AH85-AQ84,IF(A85&lt;'Données projet'!$A$62,$AF$205^A85,IF(A85='Données projet'!$A$62,'Données projet'!$B$62,AI84+AH85-AQ84)))</f>
        <v>450.81999999999971</v>
      </c>
      <c r="AJ85" s="14">
        <f>AI85*VLOOKUP('Données projet'!$B$10,Paramètres!$A$1:$I$89,3,0)*VLOOKUP('Données projet'!$B$10,Paramètres!$A$1:$I$89,5,0)</f>
        <v>210.98375999999985</v>
      </c>
      <c r="AK85" s="14">
        <f t="shared" si="89"/>
        <v>52.150503499682415</v>
      </c>
      <c r="AL85" s="22">
        <f t="shared" si="58"/>
        <v>458.29217559527996</v>
      </c>
      <c r="AM85" s="62">
        <f t="shared" si="59"/>
        <v>729.79826722726693</v>
      </c>
      <c r="AN85" s="62">
        <f ca="1">AVERAGE(OFFSET($AM$3,0,0,'Données projet'!$E$10+1,1))-AVERAGE(OFFSET($H$3,0,0,'Données projet'!$E$10+1,1))</f>
        <v>348.76787471354476</v>
      </c>
      <c r="AO85" s="62">
        <f t="shared" si="90"/>
        <v>258.31503417978615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59.385225562404884</v>
      </c>
      <c r="BJ85" s="62">
        <f t="shared" si="92"/>
        <v>285.5244298970598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17.796401817552251</v>
      </c>
      <c r="BQ85" s="23">
        <f>EXP(-LN(2)/25)*BQ84+(1-EXP(-LN(2)/25))/(LN(2)/25)*Calculateur!BL85*Calculateur!BN85*VLOOKUP('Données projet'!$B$11,Paramètres!$A$1:$I$89,3,0)*0.475*44/12</f>
        <v>2.7117996440903482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20.508201461642599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6.8</v>
      </c>
      <c r="BY85" s="13">
        <f>IF('Données projet'!$A$114&gt;35,BY84+BX85-CG84,IF(A85&lt;'Données projet'!$A$114,$BV$205^A85,IF(A85='Données projet'!$A$114,'Données projet'!$B$114,BY84+BX85-CG84)))</f>
        <v>305.60000000000002</v>
      </c>
      <c r="BZ85" s="14">
        <f>BY85*VLOOKUP('Données projet'!$B$12,Paramètres!$A$1:$I$89,3,0)*VLOOKUP('Données projet'!$B$12,Paramètres!$A$1:$I$89,5,0)</f>
        <v>309.87840000000006</v>
      </c>
      <c r="CA85" s="14">
        <f t="shared" si="93"/>
        <v>73.243434672131556</v>
      </c>
      <c r="CB85" s="22">
        <f t="shared" si="64"/>
        <v>667.27052872062916</v>
      </c>
      <c r="CC85" s="62">
        <f t="shared" si="65"/>
        <v>938.77662035261619</v>
      </c>
      <c r="CD85" s="62">
        <f ca="1">AVERAGE(OFFSET($CC$3,0,0,'Données projet'!$E$12+1,1))-AVERAGE(OFFSET($H$3,0,0,'Données projet'!$E$12+1,1))</f>
        <v>520.80494930257237</v>
      </c>
      <c r="CE85" s="62">
        <f t="shared" si="94"/>
        <v>325.72635759450861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0.21823917265278459</v>
      </c>
      <c r="CL85" s="23">
        <f>EXP(-LN(2)/25)*CL84+(1-EXP(-LN(2)/25))/(LN(2)/25)*Calculateur!CG85*Calculateur!CI85*VLOOKUP('Données projet'!$B$12,Paramètres!$A$1:$I$89,3,0)*0.475*44/12</f>
        <v>0.69197405735331419</v>
      </c>
      <c r="CM85" s="23">
        <f>EXP(-LN(2)/2)*CM84+(1-EXP(-LN(2)/2))/(LN(2)/2)*CG85*CJ85*VLOOKUP('Données projet'!$B$12,Paramètres!$A$1:$I$89,3,0)*0.475*44/12</f>
        <v>5.2069279253616184E-8</v>
      </c>
      <c r="CN85" s="24">
        <f t="shared" si="66"/>
        <v>0.91021328207537799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881.79595158362997</v>
      </c>
      <c r="S86" s="62">
        <f ca="1">AVERAGE(OFFSET($R$3,0,0,'Données projet'!$E$9+1,1))-AVERAGE(OFFSET($H$3,0,0,'Données projet'!$E$9+1,1))</f>
        <v>472.83070477639035</v>
      </c>
      <c r="T86" s="62">
        <f t="shared" si="88"/>
        <v>297.32483725004136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0.19091782868014254</v>
      </c>
      <c r="AA86" s="23">
        <f>EXP(-LN(2)/25)*AA85+(1-EXP(-LN(2)/25))/(LN(2)/25)*Calculateur!V86*Calculateur!X86*VLOOKUP('Données projet'!$B$9,Paramètres!$A$1:$I$89,3,0)*0.475*44/12</f>
        <v>0.60056946832627534</v>
      </c>
      <c r="AB86" s="23">
        <f>EXP(-LN(2)/2)*AB85+(1-EXP(-LN(2)/2))/(LN(2)/2)*V86*Y86*VLOOKUP('Données projet'!$B$9,Paramètres!$A$1:$I$89,3,0)*0.475*44/12</f>
        <v>3.2853466864618853E-8</v>
      </c>
      <c r="AC86" s="24">
        <f t="shared" si="57"/>
        <v>0.79148732985988468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14.16</v>
      </c>
      <c r="AI86" s="14">
        <f>IF('Données projet'!$A$62&gt;35,AI85+AH86-AQ85,IF(A86&lt;'Données projet'!$A$62,$AF$205^A86,IF(A86='Données projet'!$A$62,'Données projet'!$B$62,AI85+AH86-AQ85)))</f>
        <v>464.97999999999973</v>
      </c>
      <c r="AJ86" s="14">
        <f>AI86*VLOOKUP('Données projet'!$B$10,Paramètres!$A$1:$I$89,3,0)*VLOOKUP('Données projet'!$B$10,Paramètres!$A$1:$I$89,5,0)</f>
        <v>217.61063999999988</v>
      </c>
      <c r="AK86" s="14">
        <f t="shared" si="89"/>
        <v>53.595240539151249</v>
      </c>
      <c r="AL86" s="22">
        <f t="shared" si="58"/>
        <v>472.35024193902149</v>
      </c>
      <c r="AM86" s="62">
        <f t="shared" si="59"/>
        <v>744.23498741612502</v>
      </c>
      <c r="AN86" s="62">
        <f ca="1">AVERAGE(OFFSET($AM$3,0,0,'Données projet'!$E$10+1,1))-AVERAGE(OFFSET($H$3,0,0,'Données projet'!$E$10+1,1))</f>
        <v>348.76787471354476</v>
      </c>
      <c r="AO86" s="62">
        <f t="shared" si="90"/>
        <v>258.31503417978615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59.385225562404884</v>
      </c>
      <c r="BJ86" s="62">
        <f t="shared" si="92"/>
        <v>285.5244298970598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17.447425232643344</v>
      </c>
      <c r="BQ86" s="23">
        <f>EXP(-LN(2)/25)*BQ85+(1-EXP(-LN(2)/25))/(LN(2)/25)*Calculateur!BL86*Calculateur!BN86*VLOOKUP('Données projet'!$B$11,Paramètres!$A$1:$I$89,3,0)*0.475*44/12</f>
        <v>2.6376453402153524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20.085070572858697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6.8</v>
      </c>
      <c r="BY86" s="13">
        <f>IF('Données projet'!$A$114&gt;35,BY85+BX86-CG85,IF(A86&lt;'Données projet'!$A$114,$BV$205^A86,IF(A86='Données projet'!$A$114,'Données projet'!$B$114,BY85+BX86-CG85)))</f>
        <v>312.40000000000003</v>
      </c>
      <c r="BZ86" s="14">
        <f>BY86*VLOOKUP('Données projet'!$B$12,Paramètres!$A$1:$I$89,3,0)*VLOOKUP('Données projet'!$B$12,Paramètres!$A$1:$I$89,5,0)</f>
        <v>316.77360000000004</v>
      </c>
      <c r="CA86" s="14">
        <f t="shared" si="93"/>
        <v>74.681642981668006</v>
      </c>
      <c r="CB86" s="22">
        <f t="shared" si="64"/>
        <v>681.78454819307183</v>
      </c>
      <c r="CC86" s="62">
        <f t="shared" si="65"/>
        <v>953.66929367017531</v>
      </c>
      <c r="CD86" s="62">
        <f ca="1">AVERAGE(OFFSET($CC$3,0,0,'Données projet'!$E$12+1,1))-AVERAGE(OFFSET($H$3,0,0,'Données projet'!$E$12+1,1))</f>
        <v>520.80494930257237</v>
      </c>
      <c r="CE86" s="62">
        <f t="shared" si="94"/>
        <v>325.72635759450861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0.21395963558981501</v>
      </c>
      <c r="CL86" s="23">
        <f>EXP(-LN(2)/25)*CL85+(1-EXP(-LN(2)/25))/(LN(2)/25)*Calculateur!CG86*Calculateur!CI86*VLOOKUP('Données projet'!$B$12,Paramètres!$A$1:$I$89,3,0)*0.475*44/12</f>
        <v>0.67305199036565366</v>
      </c>
      <c r="CM86" s="23">
        <f>EXP(-LN(2)/2)*CM85+(1-EXP(-LN(2)/2))/(LN(2)/2)*CG86*CJ86*VLOOKUP('Données projet'!$B$12,Paramètres!$A$1:$I$89,3,0)*0.475*44/12</f>
        <v>3.6818540451728017E-8</v>
      </c>
      <c r="CN86" s="24">
        <f t="shared" si="66"/>
        <v>0.88701166277400911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895.14311810401523</v>
      </c>
      <c r="S87" s="62">
        <f ca="1">AVERAGE(OFFSET($R$3,0,0,'Données projet'!$E$9+1,1))-AVERAGE(OFFSET($H$3,0,0,'Données projet'!$E$9+1,1))</f>
        <v>472.83070477639035</v>
      </c>
      <c r="T87" s="62">
        <f t="shared" si="88"/>
        <v>297.32483725004136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0.18717404650810213</v>
      </c>
      <c r="AA87" s="23">
        <f>EXP(-LN(2)/25)*AA86+(1-EXP(-LN(2)/25))/(LN(2)/25)*Calculateur!V87*Calculateur!X87*VLOOKUP('Données projet'!$B$9,Paramètres!$A$1:$I$89,3,0)*0.475*44/12</f>
        <v>0.58414686463231758</v>
      </c>
      <c r="AB87" s="23">
        <f>EXP(-LN(2)/2)*AB86+(1-EXP(-LN(2)/2))/(LN(2)/2)*V87*Y87*VLOOKUP('Données projet'!$B$9,Paramètres!$A$1:$I$89,3,0)*0.475*44/12</f>
        <v>2.3230909205459533E-8</v>
      </c>
      <c r="AC87" s="24">
        <f t="shared" si="57"/>
        <v>0.77132093437132887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14.16</v>
      </c>
      <c r="AI87" s="14">
        <f>IF('Données projet'!$A$62&gt;35,AI86+AH87-AQ86,IF(A87&lt;'Données projet'!$A$62,$AF$205^A87,IF(A87='Données projet'!$A$62,'Données projet'!$B$62,AI86+AH87-AQ86)))</f>
        <v>479.13999999999976</v>
      </c>
      <c r="AJ87" s="14">
        <f>AI87*VLOOKUP('Données projet'!$B$10,Paramètres!$A$1:$I$89,3,0)*VLOOKUP('Données projet'!$B$10,Paramètres!$A$1:$I$89,5,0)</f>
        <v>224.23751999999988</v>
      </c>
      <c r="AK87" s="14">
        <f t="shared" si="89"/>
        <v>55.034864620946642</v>
      </c>
      <c r="AL87" s="22">
        <f t="shared" si="58"/>
        <v>486.39940321481521</v>
      </c>
      <c r="AM87" s="62">
        <f t="shared" si="59"/>
        <v>758.65623373936546</v>
      </c>
      <c r="AN87" s="62">
        <f ca="1">AVERAGE(OFFSET($AM$3,0,0,'Données projet'!$E$10+1,1))-AVERAGE(OFFSET($H$3,0,0,'Données projet'!$E$10+1,1))</f>
        <v>348.76787471354476</v>
      </c>
      <c r="AO87" s="62">
        <f t="shared" si="90"/>
        <v>258.31503417978615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59.385225562404884</v>
      </c>
      <c r="BJ87" s="62">
        <f t="shared" si="92"/>
        <v>285.5244298970598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17.105291865709802</v>
      </c>
      <c r="BQ87" s="23">
        <f>EXP(-LN(2)/25)*BQ86+(1-EXP(-LN(2)/25))/(LN(2)/25)*Calculateur!BL87*Calculateur!BN87*VLOOKUP('Données projet'!$B$11,Paramètres!$A$1:$I$89,3,0)*0.475*44/12</f>
        <v>2.5655187896794236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19.670810655389225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6.8</v>
      </c>
      <c r="BY87" s="13">
        <f>IF('Données projet'!$A$114&gt;35,BY86+BX87-CG86,IF(A87&lt;'Données projet'!$A$114,$BV$205^A87,IF(A87='Données projet'!$A$114,'Données projet'!$B$114,BY86+BX87-CG86)))</f>
        <v>319.20000000000005</v>
      </c>
      <c r="BZ87" s="14">
        <f>BY87*VLOOKUP('Données projet'!$B$12,Paramètres!$A$1:$I$89,3,0)*VLOOKUP('Données projet'!$B$12,Paramètres!$A$1:$I$89,5,0)</f>
        <v>323.66880000000009</v>
      </c>
      <c r="CA87" s="14">
        <f t="shared" si="93"/>
        <v>76.11621164769852</v>
      </c>
      <c r="CB87" s="22">
        <f t="shared" si="64"/>
        <v>696.29222861974176</v>
      </c>
      <c r="CC87" s="62">
        <f t="shared" si="65"/>
        <v>968.54905914429207</v>
      </c>
      <c r="CD87" s="62">
        <f ca="1">AVERAGE(OFFSET($CC$3,0,0,'Données projet'!$E$12+1,1))-AVERAGE(OFFSET($H$3,0,0,'Données projet'!$E$12+1,1))</f>
        <v>520.80494930257237</v>
      </c>
      <c r="CE87" s="62">
        <f t="shared" si="94"/>
        <v>325.72635759450861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0.20976401763839039</v>
      </c>
      <c r="CL87" s="23">
        <f>EXP(-LN(2)/25)*CL86+(1-EXP(-LN(2)/25))/(LN(2)/25)*Calculateur!CG87*Calculateur!CI87*VLOOKUP('Données projet'!$B$12,Paramètres!$A$1:$I$89,3,0)*0.475*44/12</f>
        <v>0.65464734829483895</v>
      </c>
      <c r="CM87" s="23">
        <f>EXP(-LN(2)/2)*CM86+(1-EXP(-LN(2)/2))/(LN(2)/2)*CG87*CJ87*VLOOKUP('Données projet'!$B$12,Paramètres!$A$1:$I$89,3,0)*0.475*44/12</f>
        <v>2.6034639626808092E-8</v>
      </c>
      <c r="CN87" s="24">
        <f t="shared" si="66"/>
        <v>0.86441139196786898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908.47823405393478</v>
      </c>
      <c r="S88" s="62">
        <f ca="1">AVERAGE(OFFSET($R$3,0,0,'Données projet'!$E$9+1,1))-AVERAGE(OFFSET($H$3,0,0,'Données projet'!$E$9+1,1))</f>
        <v>472.83070477639035</v>
      </c>
      <c r="T88" s="62">
        <f t="shared" si="88"/>
        <v>297.32483725004136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0.18350367762097378</v>
      </c>
      <c r="AA88" s="23">
        <f>EXP(-LN(2)/25)*AA87+(1-EXP(-LN(2)/25))/(LN(2)/25)*Calculateur!V88*Calculateur!X88*VLOOKUP('Données projet'!$B$9,Paramètres!$A$1:$I$89,3,0)*0.475*44/12</f>
        <v>0.56817333789999835</v>
      </c>
      <c r="AB88" s="23">
        <f>EXP(-LN(2)/2)*AB87+(1-EXP(-LN(2)/2))/(LN(2)/2)*V88*Y88*VLOOKUP('Données projet'!$B$9,Paramètres!$A$1:$I$89,3,0)*0.475*44/12</f>
        <v>1.6426733432309426E-8</v>
      </c>
      <c r="AC88" s="24">
        <f t="shared" si="57"/>
        <v>0.75167703194770552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14.16</v>
      </c>
      <c r="AI88" s="14">
        <f>IF('Données projet'!$A$62&gt;35,AI87+AH88-AQ87,IF(A88&lt;'Données projet'!$A$62,$AF$205^A88,IF(A88='Données projet'!$A$62,'Données projet'!$B$62,AI87+AH88-AQ87)))</f>
        <v>493.29999999999978</v>
      </c>
      <c r="AJ88" s="14">
        <f>AI88*VLOOKUP('Données projet'!$B$10,Paramètres!$A$1:$I$89,3,0)*VLOOKUP('Données projet'!$B$10,Paramètres!$A$1:$I$89,5,0)</f>
        <v>230.86439999999988</v>
      </c>
      <c r="AK88" s="14">
        <f t="shared" si="89"/>
        <v>56.469544196332308</v>
      </c>
      <c r="AL88" s="22">
        <f t="shared" si="58"/>
        <v>500.43995280861191</v>
      </c>
      <c r="AM88" s="62">
        <f t="shared" si="59"/>
        <v>773.06241353689347</v>
      </c>
      <c r="AN88" s="62">
        <f ca="1">AVERAGE(OFFSET($AM$3,0,0,'Données projet'!$E$10+1,1))-AVERAGE(OFFSET($H$3,0,0,'Données projet'!$E$10+1,1))</f>
        <v>348.76787471354476</v>
      </c>
      <c r="AO88" s="62">
        <f t="shared" si="90"/>
        <v>258.31503417978615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59.385225562404884</v>
      </c>
      <c r="BJ88" s="62">
        <f t="shared" si="92"/>
        <v>285.5244298970598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16.769867525421077</v>
      </c>
      <c r="BQ88" s="23">
        <f>EXP(-LN(2)/25)*BQ87+(1-EXP(-LN(2)/25))/(LN(2)/25)*Calculateur!BL88*Calculateur!BN88*VLOOKUP('Données projet'!$B$11,Paramètres!$A$1:$I$89,3,0)*0.475*44/12</f>
        <v>2.49536454346087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19.265232068881947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326</v>
      </c>
      <c r="BW88" s="13">
        <f>VLOOKUP(A88,'Données projet'!$A$113:$I$133,9,0)</f>
        <v>6.8</v>
      </c>
      <c r="BX88" s="13">
        <f t="array" ref="BX88">INDEX(BW:BW,MIN(IF(ISNUMBER(BW88:BW284),ROW(BW88:BW284),"")))</f>
        <v>6.8</v>
      </c>
      <c r="BY88" s="13">
        <f>IF('Données projet'!$A$114&gt;35,BY87+BX88-CG87,IF(A88&lt;'Données projet'!$A$114,$BV$205^A88,IF(A88='Données projet'!$A$114,'Données projet'!$B$114,BY87+BX88-CG87)))</f>
        <v>326.00000000000006</v>
      </c>
      <c r="BZ88" s="14">
        <f>BY88*VLOOKUP('Données projet'!$B$12,Paramètres!$A$1:$I$89,3,0)*VLOOKUP('Données projet'!$B$12,Paramètres!$A$1:$I$89,5,0)</f>
        <v>330.56400000000008</v>
      </c>
      <c r="CA88" s="14">
        <f t="shared" si="93"/>
        <v>77.547227137682853</v>
      </c>
      <c r="CB88" s="22">
        <f t="shared" si="64"/>
        <v>710.79372059813113</v>
      </c>
      <c r="CC88" s="62">
        <f t="shared" si="65"/>
        <v>983.4161813264127</v>
      </c>
      <c r="CD88" s="62">
        <f ca="1">AVERAGE(OFFSET($CC$3,0,0,'Données projet'!$E$12+1,1))-AVERAGE(OFFSET($H$3,0,0,'Données projet'!$E$12+1,1))</f>
        <v>520.80494930257237</v>
      </c>
      <c r="CE88" s="62">
        <f t="shared" si="94"/>
        <v>325.72635759450861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28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0.20565067319591895</v>
      </c>
      <c r="CL88" s="23">
        <f>EXP(-LN(2)/25)*CL87+(1-EXP(-LN(2)/25))/(LN(2)/25)*Calculateur!CG88*Calculateur!CI88*VLOOKUP('Données projet'!$B$12,Paramètres!$A$1:$I$89,3,0)*0.475*44/12</f>
        <v>0.63674598212930877</v>
      </c>
      <c r="CM88" s="23">
        <f>EXP(-LN(2)/2)*CM87+(1-EXP(-LN(2)/2))/(LN(2)/2)*CG88*CJ88*VLOOKUP('Données projet'!$B$12,Paramètres!$A$1:$I$89,3,0)*0.475*44/12</f>
        <v>1.8409270225864008E-8</v>
      </c>
      <c r="CN88" s="24">
        <f t="shared" si="66"/>
        <v>0.842396673734498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867.62080338509327</v>
      </c>
      <c r="S89" s="62">
        <f ca="1">AVERAGE(OFFSET($R$3,0,0,'Données projet'!$E$9+1,1))-AVERAGE(OFFSET($H$3,0,0,'Données projet'!$E$9+1,1))</f>
        <v>472.83070477639035</v>
      </c>
      <c r="T89" s="62">
        <f t="shared" si="88"/>
        <v>297.32483725004136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0.17990528242901804</v>
      </c>
      <c r="AA89" s="23">
        <f>EXP(-LN(2)/25)*AA88+(1-EXP(-LN(2)/25))/(LN(2)/25)*Calculateur!V89*Calculateur!X89*VLOOKUP('Données projet'!$B$9,Paramètres!$A$1:$I$89,3,0)*0.475*44/12</f>
        <v>0.55263660809618564</v>
      </c>
      <c r="AB89" s="23">
        <f>EXP(-LN(2)/2)*AB88+(1-EXP(-LN(2)/2))/(LN(2)/2)*V89*Y89*VLOOKUP('Données projet'!$B$9,Paramètres!$A$1:$I$89,3,0)*0.475*44/12</f>
        <v>1.1615454602729767E-8</v>
      </c>
      <c r="AC89" s="24">
        <f t="shared" si="57"/>
        <v>0.73254190214065829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14.16</v>
      </c>
      <c r="AI89" s="14">
        <f>IF('Données projet'!$A$62&gt;35,AI88+AH89-AQ88,IF(A89&lt;'Données projet'!$A$62,$AF$205^A89,IF(A89='Données projet'!$A$62,'Données projet'!$B$62,AI88+AH89-AQ88)))</f>
        <v>507.45999999999981</v>
      </c>
      <c r="AJ89" s="14">
        <f>AI89*VLOOKUP('Données projet'!$B$10,Paramètres!$A$1:$I$89,3,0)*VLOOKUP('Données projet'!$B$10,Paramètres!$A$1:$I$89,5,0)</f>
        <v>237.49127999999993</v>
      </c>
      <c r="AK89" s="14">
        <f t="shared" si="89"/>
        <v>57.899437495902355</v>
      </c>
      <c r="AL89" s="22">
        <f t="shared" si="58"/>
        <v>514.47216630536309</v>
      </c>
      <c r="AM89" s="62">
        <f t="shared" si="59"/>
        <v>787.45391437076773</v>
      </c>
      <c r="AN89" s="62">
        <f ca="1">AVERAGE(OFFSET($AM$3,0,0,'Données projet'!$E$10+1,1))-AVERAGE(OFFSET($H$3,0,0,'Données projet'!$E$10+1,1))</f>
        <v>348.76787471354476</v>
      </c>
      <c r="AO89" s="62">
        <f t="shared" si="90"/>
        <v>258.31503417978615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59.385225562404884</v>
      </c>
      <c r="BJ89" s="62">
        <f t="shared" si="92"/>
        <v>285.5244298970598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16.441020651856768</v>
      </c>
      <c r="BQ89" s="23">
        <f>EXP(-LN(2)/25)*BQ88+(1-EXP(-LN(2)/25))/(LN(2)/25)*Calculateur!BL89*Calculateur!BN89*VLOOKUP('Données projet'!$B$11,Paramètres!$A$1:$I$89,3,0)*0.475*44/12</f>
        <v>2.4271286687944142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18.868149320651181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6.4</v>
      </c>
      <c r="BY89" s="13">
        <f>IF('Données projet'!$A$114&gt;35,BY88+BX89-CG88,IF(A89&lt;'Données projet'!$A$114,$BV$205^A89,IF(A89='Données projet'!$A$114,'Données projet'!$B$114,BY88+BX89-CG88)))</f>
        <v>304.40000000000003</v>
      </c>
      <c r="BZ89" s="14">
        <f>BY89*VLOOKUP('Données projet'!$B$12,Paramètres!$A$1:$I$89,3,0)*VLOOKUP('Données projet'!$B$12,Paramètres!$A$1:$I$89,5,0)</f>
        <v>308.66160000000008</v>
      </c>
      <c r="CA89" s="14">
        <f t="shared" si="93"/>
        <v>72.98924863505313</v>
      </c>
      <c r="CB89" s="22">
        <f t="shared" si="64"/>
        <v>664.70856137271755</v>
      </c>
      <c r="CC89" s="62">
        <f t="shared" si="65"/>
        <v>937.69030943812231</v>
      </c>
      <c r="CD89" s="62">
        <f ca="1">AVERAGE(OFFSET($CC$3,0,0,'Données projet'!$E$12+1,1))-AVERAGE(OFFSET($H$3,0,0,'Données projet'!$E$12+1,1))</f>
        <v>520.80494930257237</v>
      </c>
      <c r="CE89" s="62">
        <f t="shared" si="94"/>
        <v>325.72635759450861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0.20161798892907201</v>
      </c>
      <c r="CL89" s="23">
        <f>EXP(-LN(2)/25)*CL88+(1-EXP(-LN(2)/25))/(LN(2)/25)*Calculateur!CG89*Calculateur!CI89*VLOOKUP('Données projet'!$B$12,Paramètres!$A$1:$I$89,3,0)*0.475*44/12</f>
        <v>0.61933412976296698</v>
      </c>
      <c r="CM89" s="23">
        <f>EXP(-LN(2)/2)*CM88+(1-EXP(-LN(2)/2))/(LN(2)/2)*CG89*CJ89*VLOOKUP('Données projet'!$B$12,Paramètres!$A$1:$I$89,3,0)*0.475*44/12</f>
        <v>1.3017319813404046E-8</v>
      </c>
      <c r="CN89" s="24">
        <f t="shared" si="66"/>
        <v>0.82095213170935877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880.19222049495841</v>
      </c>
      <c r="S90" s="62">
        <f ca="1">AVERAGE(OFFSET($R$3,0,0,'Données projet'!$E$9+1,1))-AVERAGE(OFFSET($H$3,0,0,'Données projet'!$E$9+1,1))</f>
        <v>472.83070477639035</v>
      </c>
      <c r="T90" s="62">
        <f t="shared" si="88"/>
        <v>297.32483725004136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0.17637744957197221</v>
      </c>
      <c r="AA90" s="23">
        <f>EXP(-LN(2)/25)*AA89+(1-EXP(-LN(2)/25))/(LN(2)/25)*Calculateur!V90*Calculateur!X90*VLOOKUP('Données projet'!$B$9,Paramètres!$A$1:$I$89,3,0)*0.475*44/12</f>
        <v>0.53752473098589926</v>
      </c>
      <c r="AB90" s="23">
        <f>EXP(-LN(2)/2)*AB89+(1-EXP(-LN(2)/2))/(LN(2)/2)*V90*Y90*VLOOKUP('Données projet'!$B$9,Paramètres!$A$1:$I$89,3,0)*0.475*44/12</f>
        <v>8.2133667161547132E-9</v>
      </c>
      <c r="AC90" s="24">
        <f t="shared" si="57"/>
        <v>0.71390218877123823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>
        <f>VLOOKUP(A90,'Données projet'!$A$61:$I$81,2,0)</f>
        <v>521.62</v>
      </c>
      <c r="AG90" s="13">
        <f>VLOOKUP(A90,'Données projet'!$A$61:$I$81,9,0)</f>
        <v>14.16</v>
      </c>
      <c r="AH90" s="13">
        <f t="array" ref="AH90">INDEX(AG:AG,MIN(IF(ISNUMBER(AG90:AG286),ROW(AG90:AG286),"")))</f>
        <v>14.16</v>
      </c>
      <c r="AI90" s="14">
        <f>IF('Données projet'!$A$62&gt;35,AI89+AH90-AQ89,IF(A90&lt;'Données projet'!$A$62,$AF$205^A90,IF(A90='Données projet'!$A$62,'Données projet'!$B$62,AI89+AH90-AQ89)))</f>
        <v>521.61999999999978</v>
      </c>
      <c r="AJ90" s="14">
        <f>AI90*VLOOKUP('Données projet'!$B$10,Paramètres!$A$1:$I$89,3,0)*VLOOKUP('Données projet'!$B$10,Paramètres!$A$1:$I$89,5,0)</f>
        <v>244.11815999999988</v>
      </c>
      <c r="AK90" s="14">
        <f t="shared" si="89"/>
        <v>59.324693417385667</v>
      </c>
      <c r="AL90" s="22">
        <f t="shared" si="58"/>
        <v>528.49630303527977</v>
      </c>
      <c r="AM90" s="62">
        <f t="shared" si="59"/>
        <v>801.8311056057546</v>
      </c>
      <c r="AN90" s="62">
        <f ca="1">AVERAGE(OFFSET($AM$3,0,0,'Données projet'!$E$10+1,1))-AVERAGE(OFFSET($H$3,0,0,'Données projet'!$E$10+1,1))</f>
        <v>348.76787471354476</v>
      </c>
      <c r="AO90" s="62">
        <f t="shared" si="90"/>
        <v>258.31503417978615</v>
      </c>
      <c r="AP90" s="16">
        <f>IF(ISNA(VLOOKUP(A90,'Données projet'!$A$61:$I$81,3,0)),0,VLOOKUP(A90,'Données projet'!$A$61:$I$81,3,0))</f>
        <v>15</v>
      </c>
      <c r="AQ90" s="16">
        <f>IF(ISNA(VLOOKUP(A90,'Données projet'!$A$61:$I$81,4,0)),0,VLOOKUP(A90,'Données projet'!$A$61:$I$81,4,0))</f>
        <v>88.62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59.385225562404884</v>
      </c>
      <c r="BJ90" s="62">
        <f t="shared" si="92"/>
        <v>285.5244298970598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16.118622264906268</v>
      </c>
      <c r="BQ90" s="23">
        <f>EXP(-LN(2)/25)*BQ89+(1-EXP(-LN(2)/25))/(LN(2)/25)*Calculateur!BL90*Calculateur!BN90*VLOOKUP('Données projet'!$B$11,Paramètres!$A$1:$I$89,3,0)*0.475*44/12</f>
        <v>2.3607587077090817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18.479380972615349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6.4</v>
      </c>
      <c r="BY90" s="13">
        <f>IF('Données projet'!$A$114&gt;35,BY89+BX90-CG89,IF(A90&lt;'Données projet'!$A$114,$BV$205^A90,IF(A90='Données projet'!$A$114,'Données projet'!$B$114,BY89+BX90-CG89)))</f>
        <v>310.8</v>
      </c>
      <c r="BZ90" s="14">
        <f>BY90*VLOOKUP('Données projet'!$B$12,Paramètres!$A$1:$I$89,3,0)*VLOOKUP('Données projet'!$B$12,Paramètres!$A$1:$I$89,5,0)</f>
        <v>315.15120000000002</v>
      </c>
      <c r="CA90" s="14">
        <f t="shared" si="93"/>
        <v>74.343571754005879</v>
      </c>
      <c r="CB90" s="22">
        <f t="shared" si="64"/>
        <v>678.37006080489357</v>
      </c>
      <c r="CC90" s="62">
        <f t="shared" si="65"/>
        <v>951.7048633753684</v>
      </c>
      <c r="CD90" s="62">
        <f ca="1">AVERAGE(OFFSET($CC$3,0,0,'Données projet'!$E$12+1,1))-AVERAGE(OFFSET($H$3,0,0,'Données projet'!$E$12+1,1))</f>
        <v>520.80494930257237</v>
      </c>
      <c r="CE90" s="62">
        <f t="shared" si="94"/>
        <v>325.72635759450861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0.1976643831410034</v>
      </c>
      <c r="CL90" s="23">
        <f>EXP(-LN(2)/25)*CL89+(1-EXP(-LN(2)/25))/(LN(2)/25)*Calculateur!CG90*Calculateur!CI90*VLOOKUP('Données projet'!$B$12,Paramètres!$A$1:$I$89,3,0)*0.475*44/12</f>
        <v>0.60239840541523226</v>
      </c>
      <c r="CM90" s="23">
        <f>EXP(-LN(2)/2)*CM89+(1-EXP(-LN(2)/2))/(LN(2)/2)*CG90*CJ90*VLOOKUP('Données projet'!$B$12,Paramètres!$A$1:$I$89,3,0)*0.475*44/12</f>
        <v>9.2046351129320042E-9</v>
      </c>
      <c r="CN90" s="24">
        <f t="shared" si="66"/>
        <v>0.80006279776087086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892.75240636626665</v>
      </c>
      <c r="S91" s="62">
        <f ca="1">AVERAGE(OFFSET($R$3,0,0,'Données projet'!$E$9+1,1))-AVERAGE(OFFSET($H$3,0,0,'Données projet'!$E$9+1,1))</f>
        <v>472.83070477639035</v>
      </c>
      <c r="T91" s="62">
        <f t="shared" si="88"/>
        <v>297.32483725004136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0.17291879536548746</v>
      </c>
      <c r="AA91" s="23">
        <f>EXP(-LN(2)/25)*AA90+(1-EXP(-LN(2)/25))/(LN(2)/25)*Calculateur!V91*Calculateur!X91*VLOOKUP('Données projet'!$B$9,Paramètres!$A$1:$I$89,3,0)*0.475*44/12</f>
        <v>0.5228260889498928</v>
      </c>
      <c r="AB91" s="23">
        <f>EXP(-LN(2)/2)*AB90+(1-EXP(-LN(2)/2))/(LN(2)/2)*V91*Y91*VLOOKUP('Données projet'!$B$9,Paramètres!$A$1:$I$89,3,0)*0.475*44/12</f>
        <v>5.8077273013648833E-9</v>
      </c>
      <c r="AC91" s="24">
        <f t="shared" si="57"/>
        <v>0.69574489012310758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>
        <f>VLOOKUP(A91,'Données projet'!$A$61:$I$81,2,0)</f>
        <v>446.67</v>
      </c>
      <c r="AG91" s="13">
        <f>VLOOKUP(A91,'Données projet'!$A$61:$I$81,9,0)</f>
        <v>13.670000000000016</v>
      </c>
      <c r="AH91" s="13">
        <f t="array" ref="AH91">INDEX(AG:AG,MIN(IF(ISNUMBER(AG91:AG287),ROW(AG91:AG287),"")))</f>
        <v>13.670000000000016</v>
      </c>
      <c r="AI91" s="14">
        <f>IF('Données projet'!$A$62&gt;35,AI90+AH91-AQ90,IF(A91&lt;'Données projet'!$A$62,$AF$205^A91,IF(A91='Données projet'!$A$62,'Données projet'!$B$62,AI90+AH91-AQ90)))</f>
        <v>446.66999999999973</v>
      </c>
      <c r="AJ91" s="14">
        <f>AI91*VLOOKUP('Données projet'!$B$10,Paramètres!$A$1:$I$89,3,0)*VLOOKUP('Données projet'!$B$10,Paramètres!$A$1:$I$89,5,0)</f>
        <v>209.04155999999989</v>
      </c>
      <c r="AK91" s="14">
        <f t="shared" si="89"/>
        <v>51.72608671626201</v>
      </c>
      <c r="AL91" s="22">
        <f t="shared" si="58"/>
        <v>454.17031803082273</v>
      </c>
      <c r="AM91" s="62">
        <f t="shared" si="59"/>
        <v>727.85205040001642</v>
      </c>
      <c r="AN91" s="62">
        <f ca="1">AVERAGE(OFFSET($AM$3,0,0,'Données projet'!$E$10+1,1))-AVERAGE(OFFSET($H$3,0,0,'Données projet'!$E$10+1,1))</f>
        <v>348.76787471354476</v>
      </c>
      <c r="AO91" s="62">
        <f t="shared" si="90"/>
        <v>258.31503417978615</v>
      </c>
      <c r="AP91" s="16">
        <f>IF(ISNA(VLOOKUP(A91,'Données projet'!$A$61:$I$81,3,0)),0,VLOOKUP(A91,'Données projet'!$A$61:$I$81,3,0))</f>
        <v>16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59.385225562404884</v>
      </c>
      <c r="BJ91" s="62">
        <f t="shared" si="92"/>
        <v>285.5244298970598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15.802545913680268</v>
      </c>
      <c r="BQ91" s="23">
        <f>EXP(-LN(2)/25)*BQ90+(1-EXP(-LN(2)/25))/(LN(2)/25)*Calculateur!BL91*Calculateur!BN91*VLOOKUP('Données projet'!$B$11,Paramètres!$A$1:$I$89,3,0)*0.475*44/12</f>
        <v>2.2962036366998722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18.098749550380141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6.4</v>
      </c>
      <c r="BY91" s="13">
        <f>IF('Données projet'!$A$114&gt;35,BY90+BX91-CG90,IF(A91&lt;'Données projet'!$A$114,$BV$205^A91,IF(A91='Données projet'!$A$114,'Données projet'!$B$114,BY90+BX91-CG90)))</f>
        <v>317.2</v>
      </c>
      <c r="BZ91" s="14">
        <f>BY91*VLOOKUP('Données projet'!$B$12,Paramètres!$A$1:$I$89,3,0)*VLOOKUP('Données projet'!$B$12,Paramètres!$A$1:$I$89,5,0)</f>
        <v>321.64080000000001</v>
      </c>
      <c r="CA91" s="14">
        <f t="shared" si="93"/>
        <v>75.694652325793228</v>
      </c>
      <c r="CB91" s="22">
        <f t="shared" si="64"/>
        <v>692.0259128007566</v>
      </c>
      <c r="CC91" s="62">
        <f t="shared" si="65"/>
        <v>965.7076451699503</v>
      </c>
      <c r="CD91" s="62">
        <f ca="1">AVERAGE(OFFSET($CC$3,0,0,'Données projet'!$E$12+1,1))-AVERAGE(OFFSET($H$3,0,0,'Données projet'!$E$12+1,1))</f>
        <v>520.80494930257237</v>
      </c>
      <c r="CE91" s="62">
        <f t="shared" si="94"/>
        <v>325.72635759450861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0.19378830515097739</v>
      </c>
      <c r="CL91" s="23">
        <f>EXP(-LN(2)/25)*CL90+(1-EXP(-LN(2)/25))/(LN(2)/25)*Calculateur!CG91*Calculateur!CI91*VLOOKUP('Données projet'!$B$12,Paramètres!$A$1:$I$89,3,0)*0.475*44/12</f>
        <v>0.58592578934039741</v>
      </c>
      <c r="CM91" s="23">
        <f>EXP(-LN(2)/2)*CM90+(1-EXP(-LN(2)/2))/(LN(2)/2)*CG91*CJ91*VLOOKUP('Données projet'!$B$12,Paramètres!$A$1:$I$89,3,0)*0.475*44/12</f>
        <v>6.508659906702023E-9</v>
      </c>
      <c r="CN91" s="24">
        <f t="shared" si="66"/>
        <v>0.77971410100003469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905.30158215487222</v>
      </c>
      <c r="S92" s="62">
        <f ca="1">AVERAGE(OFFSET($R$3,0,0,'Données projet'!$E$9+1,1))-AVERAGE(OFFSET($H$3,0,0,'Données projet'!$E$9+1,1))</f>
        <v>472.83070477639035</v>
      </c>
      <c r="T92" s="62">
        <f t="shared" si="88"/>
        <v>297.32483725004136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0.16952796325842112</v>
      </c>
      <c r="AA92" s="23">
        <f>EXP(-LN(2)/25)*AA91+(1-EXP(-LN(2)/25))/(LN(2)/25)*Calculateur!V92*Calculateur!X92*VLOOKUP('Données projet'!$B$9,Paramètres!$A$1:$I$89,3,0)*0.475*44/12</f>
        <v>0.50852938205332887</v>
      </c>
      <c r="AB92" s="23">
        <f>EXP(-LN(2)/2)*AB91+(1-EXP(-LN(2)/2))/(LN(2)/2)*V92*Y92*VLOOKUP('Données projet'!$B$9,Paramètres!$A$1:$I$89,3,0)*0.475*44/12</f>
        <v>4.1066833580773566E-9</v>
      </c>
      <c r="AC92" s="24">
        <f t="shared" si="57"/>
        <v>0.67805734941843332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13.046666666666672</v>
      </c>
      <c r="AI92" s="14">
        <f>IF('Données projet'!$A$62&gt;35,AI91+AH92-AQ91,IF(A92&lt;'Données projet'!$A$62,$AF$205^A92,IF(A92='Données projet'!$A$62,'Données projet'!$B$62,AI91+AH92-AQ91)))</f>
        <v>459.71666666666641</v>
      </c>
      <c r="AJ92" s="14">
        <f>AI92*VLOOKUP('Données projet'!$B$10,Paramètres!$A$1:$I$89,3,0)*VLOOKUP('Données projet'!$B$10,Paramètres!$A$1:$I$89,5,0)</f>
        <v>215.14739999999989</v>
      </c>
      <c r="AK92" s="14">
        <f t="shared" si="89"/>
        <v>53.058831902483895</v>
      </c>
      <c r="AL92" s="22">
        <f t="shared" si="58"/>
        <v>467.12585389682596</v>
      </c>
      <c r="AM92" s="62">
        <f t="shared" si="59"/>
        <v>741.14849760834954</v>
      </c>
      <c r="AN92" s="62">
        <f ca="1">AVERAGE(OFFSET($AM$3,0,0,'Données projet'!$E$10+1,1))-AVERAGE(OFFSET($H$3,0,0,'Données projet'!$E$10+1,1))</f>
        <v>348.76787471354476</v>
      </c>
      <c r="AO92" s="62">
        <f t="shared" si="90"/>
        <v>258.31503417978615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59.385225562404884</v>
      </c>
      <c r="BJ92" s="62">
        <f t="shared" si="92"/>
        <v>285.5244298970598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15.492667626914272</v>
      </c>
      <c r="BQ92" s="23">
        <f>EXP(-LN(2)/25)*BQ91+(1-EXP(-LN(2)/25))/(LN(2)/25)*Calculateur!BL92*Calculateur!BN92*VLOOKUP('Données projet'!$B$11,Paramètres!$A$1:$I$89,3,0)*0.475*44/12</f>
        <v>2.2334138275022131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17.726081454416487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6.4</v>
      </c>
      <c r="BY92" s="13">
        <f>IF('Données projet'!$A$114&gt;35,BY91+BX92-CG91,IF(A92&lt;'Données projet'!$A$114,$BV$205^A92,IF(A92='Données projet'!$A$114,'Données projet'!$B$114,BY91+BX92-CG91)))</f>
        <v>323.59999999999997</v>
      </c>
      <c r="BZ92" s="14">
        <f>BY92*VLOOKUP('Données projet'!$B$12,Paramètres!$A$1:$I$89,3,0)*VLOOKUP('Données projet'!$B$12,Paramètres!$A$1:$I$89,5,0)</f>
        <v>328.13039999999995</v>
      </c>
      <c r="CA92" s="14">
        <f t="shared" si="93"/>
        <v>77.042563313388285</v>
      </c>
      <c r="CB92" s="22">
        <f t="shared" si="64"/>
        <v>705.67624443748446</v>
      </c>
      <c r="CC92" s="62">
        <f t="shared" si="65"/>
        <v>979.6988881490081</v>
      </c>
      <c r="CD92" s="62">
        <f ca="1">AVERAGE(OFFSET($CC$3,0,0,'Données projet'!$E$12+1,1))-AVERAGE(OFFSET($H$3,0,0,'Données projet'!$E$12+1,1))</f>
        <v>520.80494930257237</v>
      </c>
      <c r="CE92" s="62">
        <f t="shared" si="94"/>
        <v>325.72635759450861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0.18998823468616166</v>
      </c>
      <c r="CL92" s="23">
        <f>EXP(-LN(2)/25)*CL91+(1-EXP(-LN(2)/25))/(LN(2)/25)*Calculateur!CG92*Calculateur!CI92*VLOOKUP('Données projet'!$B$12,Paramètres!$A$1:$I$89,3,0)*0.475*44/12</f>
        <v>0.56990361781838617</v>
      </c>
      <c r="CM92" s="23">
        <f>EXP(-LN(2)/2)*CM91+(1-EXP(-LN(2)/2))/(LN(2)/2)*CG92*CJ92*VLOOKUP('Données projet'!$B$12,Paramètres!$A$1:$I$89,3,0)*0.475*44/12</f>
        <v>4.6023175564660021E-9</v>
      </c>
      <c r="CN92" s="24">
        <f t="shared" si="66"/>
        <v>0.75989185710686535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917.83996236839425</v>
      </c>
      <c r="S93" s="62">
        <f ca="1">AVERAGE(OFFSET($R$3,0,0,'Données projet'!$E$9+1,1))-AVERAGE(OFFSET($H$3,0,0,'Données projet'!$E$9+1,1))</f>
        <v>472.83070477639035</v>
      </c>
      <c r="T93" s="62">
        <f t="shared" si="88"/>
        <v>297.32483725004136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0.16620362330077099</v>
      </c>
      <c r="AA93" s="23">
        <f>EXP(-LN(2)/25)*AA92+(1-EXP(-LN(2)/25))/(LN(2)/25)*Calculateur!V93*Calculateur!X93*VLOOKUP('Données projet'!$B$9,Paramètres!$A$1:$I$89,3,0)*0.475*44/12</f>
        <v>0.49462361935868265</v>
      </c>
      <c r="AB93" s="23">
        <f>EXP(-LN(2)/2)*AB92+(1-EXP(-LN(2)/2))/(LN(2)/2)*V93*Y93*VLOOKUP('Données projet'!$B$9,Paramètres!$A$1:$I$89,3,0)*0.475*44/12</f>
        <v>2.9038636506824417E-9</v>
      </c>
      <c r="AC93" s="24">
        <f t="shared" si="57"/>
        <v>0.6608272455633174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13.046666666666672</v>
      </c>
      <c r="AI93" s="14">
        <f>IF('Données projet'!$A$62&gt;35,AI92+AH93-AQ92,IF(A93&lt;'Données projet'!$A$62,$AF$205^A93,IF(A93='Données projet'!$A$62,'Données projet'!$B$62,AI92+AH93-AQ92)))</f>
        <v>472.76333333333309</v>
      </c>
      <c r="AJ93" s="14">
        <f>AI93*VLOOKUP('Données projet'!$B$10,Paramètres!$A$1:$I$89,3,0)*VLOOKUP('Données projet'!$B$10,Paramètres!$A$1:$I$89,5,0)</f>
        <v>221.25323999999989</v>
      </c>
      <c r="AK93" s="14">
        <f t="shared" si="89"/>
        <v>54.387181127035049</v>
      </c>
      <c r="AL93" s="22">
        <f t="shared" si="58"/>
        <v>480.07373346291911</v>
      </c>
      <c r="AM93" s="62">
        <f t="shared" si="59"/>
        <v>754.43137446714672</v>
      </c>
      <c r="AN93" s="62">
        <f ca="1">AVERAGE(OFFSET($AM$3,0,0,'Données projet'!$E$10+1,1))-AVERAGE(OFFSET($H$3,0,0,'Données projet'!$E$10+1,1))</f>
        <v>348.76787471354476</v>
      </c>
      <c r="AO93" s="62">
        <f t="shared" si="90"/>
        <v>258.31503417978615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59.385225562404884</v>
      </c>
      <c r="BJ93" s="62">
        <f t="shared" si="92"/>
        <v>285.5244298970598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15.188865864344667</v>
      </c>
      <c r="BQ93" s="23">
        <f>EXP(-LN(2)/25)*BQ92+(1-EXP(-LN(2)/25))/(LN(2)/25)*Calculateur!BL93*Calculateur!BN93*VLOOKUP('Données projet'!$B$11,Paramètres!$A$1:$I$89,3,0)*0.475*44/12</f>
        <v>2.1723410089390365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17.361206873283702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330</v>
      </c>
      <c r="BW93" s="13">
        <f>VLOOKUP(A93,'Données projet'!$A$113:$I$133,9,0)</f>
        <v>6.4</v>
      </c>
      <c r="BX93" s="13">
        <f t="array" ref="BX93">INDEX(BW:BW,MIN(IF(ISNUMBER(BW93:BW289),ROW(BW93:BW289),"")))</f>
        <v>6.4</v>
      </c>
      <c r="BY93" s="13">
        <f>IF('Données projet'!$A$114&gt;35,BY92+BX93-CG92,IF(A93&lt;'Données projet'!$A$114,$BV$205^A93,IF(A93='Données projet'!$A$114,'Données projet'!$B$114,BY92+BX93-CG92)))</f>
        <v>329.99999999999994</v>
      </c>
      <c r="BZ93" s="14">
        <f>BY93*VLOOKUP('Données projet'!$B$12,Paramètres!$A$1:$I$89,3,0)*VLOOKUP('Données projet'!$B$12,Paramètres!$A$1:$I$89,5,0)</f>
        <v>334.61999999999995</v>
      </c>
      <c r="CA93" s="14">
        <f t="shared" si="93"/>
        <v>78.387374628661505</v>
      </c>
      <c r="CB93" s="22">
        <f t="shared" si="64"/>
        <v>719.32117747825203</v>
      </c>
      <c r="CC93" s="62">
        <f t="shared" si="65"/>
        <v>993.67881848247976</v>
      </c>
      <c r="CD93" s="62">
        <f ca="1">AVERAGE(OFFSET($CC$3,0,0,'Données projet'!$E$12+1,1))-AVERAGE(OFFSET($H$3,0,0,'Données projet'!$E$12+1,1))</f>
        <v>520.80494930257237</v>
      </c>
      <c r="CE93" s="62">
        <f t="shared" si="94"/>
        <v>325.72635759450861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28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0.18626268128534684</v>
      </c>
      <c r="CL93" s="23">
        <f>EXP(-LN(2)/25)*CL92+(1-EXP(-LN(2)/25))/(LN(2)/25)*Calculateur!CG93*Calculateur!CI93*VLOOKUP('Données projet'!$B$12,Paramètres!$A$1:$I$89,3,0)*0.475*44/12</f>
        <v>0.55431957341921367</v>
      </c>
      <c r="CM93" s="23">
        <f>EXP(-LN(2)/2)*CM92+(1-EXP(-LN(2)/2))/(LN(2)/2)*CG93*CJ93*VLOOKUP('Données projet'!$B$12,Paramètres!$A$1:$I$89,3,0)*0.475*44/12</f>
        <v>3.2543299533510115E-9</v>
      </c>
      <c r="CN93" s="24">
        <f t="shared" si="66"/>
        <v>0.74058225795889043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</v>
      </c>
      <c r="N94" s="14">
        <f>IF('Données projet'!$A$36&gt;35,N93+M94-V93,IF(A94&lt;'Données projet'!$A$36,$K$205^A94,IF(A94='Données projet'!$A$36,'Données projet'!$B$36,N93+M94-V93)))</f>
        <v>307.99999999999994</v>
      </c>
      <c r="O94" s="14">
        <f>N94*VLOOKUP('Données projet'!$B$9,Paramètres!$A$1:$I$89,3,0)*VLOOKUP('Données projet'!$B$9,Paramètres!$A$1:$I$89,5,0)</f>
        <v>278.67839999999995</v>
      </c>
      <c r="P94" s="14">
        <f t="shared" si="87"/>
        <v>66.687639951856809</v>
      </c>
      <c r="Q94" s="22">
        <f t="shared" si="54"/>
        <v>601.51251958281716</v>
      </c>
      <c r="R94" s="62">
        <f t="shared" si="55"/>
        <v>876.19934642566227</v>
      </c>
      <c r="S94" s="62">
        <f ca="1">AVERAGE(OFFSET($R$3,0,0,'Données projet'!$E$9+1,1))-AVERAGE(OFFSET($H$3,0,0,'Données projet'!$E$9+1,1))</f>
        <v>472.83070477639035</v>
      </c>
      <c r="T94" s="62">
        <f t="shared" si="88"/>
        <v>297.32483725004136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0.1629444716220432</v>
      </c>
      <c r="AA94" s="23">
        <f>EXP(-LN(2)/25)*AA93+(1-EXP(-LN(2)/25))/(LN(2)/25)*Calculateur!V94*Calculateur!X94*VLOOKUP('Données projet'!$B$9,Paramètres!$A$1:$I$89,3,0)*0.475*44/12</f>
        <v>0.48109811047619383</v>
      </c>
      <c r="AB94" s="23">
        <f>EXP(-LN(2)/2)*AB93+(1-EXP(-LN(2)/2))/(LN(2)/2)*V94*Y94*VLOOKUP('Données projet'!$B$9,Paramètres!$A$1:$I$89,3,0)*0.475*44/12</f>
        <v>2.0533416790386783E-9</v>
      </c>
      <c r="AC94" s="24">
        <f t="shared" si="57"/>
        <v>0.64404258415157878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13.046666666666672</v>
      </c>
      <c r="AI94" s="14">
        <f>IF('Données projet'!$A$62&gt;35,AI93+AH94-AQ93,IF(A94&lt;'Données projet'!$A$62,$AF$205^A94,IF(A94='Données projet'!$A$62,'Données projet'!$B$62,AI93+AH94-AQ93)))</f>
        <v>485.80999999999977</v>
      </c>
      <c r="AJ94" s="14">
        <f>AI94*VLOOKUP('Données projet'!$B$10,Paramètres!$A$1:$I$89,3,0)*VLOOKUP('Données projet'!$B$10,Paramètres!$A$1:$I$89,5,0)</f>
        <v>227.35907999999992</v>
      </c>
      <c r="AK94" s="14">
        <f t="shared" si="89"/>
        <v>55.711269641958147</v>
      </c>
      <c r="AL94" s="22">
        <f t="shared" si="58"/>
        <v>493.01419229307686</v>
      </c>
      <c r="AM94" s="62">
        <f t="shared" si="59"/>
        <v>767.70101913592191</v>
      </c>
      <c r="AN94" s="62">
        <f ca="1">AVERAGE(OFFSET($AM$3,0,0,'Données projet'!$E$10+1,1))-AVERAGE(OFFSET($H$3,0,0,'Données projet'!$E$10+1,1))</f>
        <v>348.76787471354476</v>
      </c>
      <c r="AO94" s="62">
        <f t="shared" si="90"/>
        <v>258.31503417978615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59.385225562404884</v>
      </c>
      <c r="BJ94" s="62">
        <f t="shared" si="92"/>
        <v>285.5244298970598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14.891021469038272</v>
      </c>
      <c r="BQ94" s="23">
        <f>EXP(-LN(2)/25)*BQ93+(1-EXP(-LN(2)/25))/(LN(2)/25)*Calculateur!BL94*Calculateur!BN94*VLOOKUP('Données projet'!$B$11,Paramètres!$A$1:$I$89,3,0)*0.475*44/12</f>
        <v>2.1129382298111499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17.003959698849421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</v>
      </c>
      <c r="BY94" s="13">
        <f>IF('Données projet'!$A$114&gt;35,BY93+BX94-CG93,IF(A94&lt;'Données projet'!$A$114,$BV$205^A94,IF(A94='Données projet'!$A$114,'Données projet'!$B$114,BY93+BX94-CG93)))</f>
        <v>307.99999999999994</v>
      </c>
      <c r="BZ94" s="14">
        <f>BY94*VLOOKUP('Données projet'!$B$12,Paramètres!$A$1:$I$89,3,0)*VLOOKUP('Données projet'!$B$12,Paramètres!$A$1:$I$89,5,0)</f>
        <v>312.31199999999995</v>
      </c>
      <c r="CA94" s="14">
        <f t="shared" si="93"/>
        <v>73.751458791112015</v>
      </c>
      <c r="CB94" s="22">
        <f t="shared" si="64"/>
        <v>672.39385739452007</v>
      </c>
      <c r="CC94" s="62">
        <f t="shared" si="65"/>
        <v>947.08068423736518</v>
      </c>
      <c r="CD94" s="62">
        <f ca="1">AVERAGE(OFFSET($CC$3,0,0,'Données projet'!$E$12+1,1))-AVERAGE(OFFSET($H$3,0,0,'Données projet'!$E$12+1,1))</f>
        <v>520.80494930257237</v>
      </c>
      <c r="CE94" s="62">
        <f t="shared" si="94"/>
        <v>325.72635759450861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0.1826101837143588</v>
      </c>
      <c r="CL94" s="23">
        <f>EXP(-LN(2)/25)*CL93+(1-EXP(-LN(2)/25))/(LN(2)/25)*Calculateur!CG94*Calculateur!CI94*VLOOKUP('Données projet'!$B$12,Paramètres!$A$1:$I$89,3,0)*0.475*44/12</f>
        <v>0.53916167553366579</v>
      </c>
      <c r="CM94" s="23">
        <f>EXP(-LN(2)/2)*CM93+(1-EXP(-LN(2)/2))/(LN(2)/2)*CG94*CJ94*VLOOKUP('Données projet'!$B$12,Paramètres!$A$1:$I$89,3,0)*0.475*44/12</f>
        <v>2.3011587782330011E-9</v>
      </c>
      <c r="CN94" s="24">
        <f t="shared" si="66"/>
        <v>0.72177186154918338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</v>
      </c>
      <c r="N95" s="14">
        <f>IF('Données projet'!$A$36&gt;35,N94+M95-V94,IF(A95&lt;'Données projet'!$A$36,$K$205^A95,IF(A95='Données projet'!$A$36,'Données projet'!$B$36,N94+M95-V94)))</f>
        <v>313.99999999999994</v>
      </c>
      <c r="O95" s="14">
        <f>N95*VLOOKUP('Données projet'!$B$9,Paramètres!$A$1:$I$89,3,0)*VLOOKUP('Données projet'!$B$9,Paramètres!$A$1:$I$89,5,0)</f>
        <v>284.10719999999992</v>
      </c>
      <c r="P95" s="14">
        <f t="shared" si="87"/>
        <v>67.834241327943715</v>
      </c>
      <c r="Q95" s="22">
        <f t="shared" si="54"/>
        <v>612.96467697950186</v>
      </c>
      <c r="R95" s="62">
        <f t="shared" si="55"/>
        <v>887.97497902261352</v>
      </c>
      <c r="S95" s="62">
        <f ca="1">AVERAGE(OFFSET($R$3,0,0,'Données projet'!$E$9+1,1))-AVERAGE(OFFSET($H$3,0,0,'Données projet'!$E$9+1,1))</f>
        <v>472.83070477639035</v>
      </c>
      <c r="T95" s="62">
        <f t="shared" si="88"/>
        <v>297.32483725004136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0.15974922991984905</v>
      </c>
      <c r="AA95" s="23">
        <f>EXP(-LN(2)/25)*AA94+(1-EXP(-LN(2)/25))/(LN(2)/25)*Calculateur!V95*Calculateur!X95*VLOOKUP('Données projet'!$B$9,Paramètres!$A$1:$I$89,3,0)*0.475*44/12</f>
        <v>0.46794245734537226</v>
      </c>
      <c r="AB95" s="23">
        <f>EXP(-LN(2)/2)*AB94+(1-EXP(-LN(2)/2))/(LN(2)/2)*V95*Y95*VLOOKUP('Données projet'!$B$9,Paramètres!$A$1:$I$89,3,0)*0.475*44/12</f>
        <v>1.4519318253412208E-9</v>
      </c>
      <c r="AC95" s="24">
        <f t="shared" si="57"/>
        <v>0.62769168871715308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13.046666666666672</v>
      </c>
      <c r="AI95" s="14">
        <f>IF('Données projet'!$A$62&gt;35,AI94+AH95-AQ94,IF(A95&lt;'Données projet'!$A$62,$AF$205^A95,IF(A95='Données projet'!$A$62,'Données projet'!$B$62,AI94+AH95-AQ94)))</f>
        <v>498.85666666666646</v>
      </c>
      <c r="AJ95" s="14">
        <f>AI95*VLOOKUP('Données projet'!$B$10,Paramètres!$A$1:$I$89,3,0)*VLOOKUP('Données projet'!$B$10,Paramètres!$A$1:$I$89,5,0)</f>
        <v>233.46491999999989</v>
      </c>
      <c r="AK95" s="14">
        <f t="shared" si="89"/>
        <v>57.031225021195233</v>
      </c>
      <c r="AL95" s="22">
        <f t="shared" si="58"/>
        <v>505.94745257858148</v>
      </c>
      <c r="AM95" s="62">
        <f t="shared" si="59"/>
        <v>780.9577546216932</v>
      </c>
      <c r="AN95" s="62">
        <f ca="1">AVERAGE(OFFSET($AM$3,0,0,'Données projet'!$E$10+1,1))-AVERAGE(OFFSET($H$3,0,0,'Données projet'!$E$10+1,1))</f>
        <v>348.76787471354476</v>
      </c>
      <c r="AO95" s="62">
        <f t="shared" si="90"/>
        <v>258.31503417978615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59.385225562404884</v>
      </c>
      <c r="BJ95" s="62">
        <f t="shared" si="92"/>
        <v>285.5244298970598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14.599017620656692</v>
      </c>
      <c r="BQ95" s="23">
        <f>EXP(-LN(2)/25)*BQ94+(1-EXP(-LN(2)/25))/(LN(2)/25)*Calculateur!BL95*Calculateur!BN95*VLOOKUP('Données projet'!$B$11,Paramètres!$A$1:$I$89,3,0)*0.475*44/12</f>
        <v>2.0551598228023717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16.654177443459062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</v>
      </c>
      <c r="BY95" s="13">
        <f>IF('Données projet'!$A$114&gt;35,BY94+BX95-CG94,IF(A95&lt;'Données projet'!$A$114,$BV$205^A95,IF(A95='Données projet'!$A$114,'Données projet'!$B$114,BY94+BX95-CG94)))</f>
        <v>313.99999999999994</v>
      </c>
      <c r="BZ95" s="14">
        <f>BY95*VLOOKUP('Données projet'!$B$12,Paramètres!$A$1:$I$89,3,0)*VLOOKUP('Données projet'!$B$12,Paramètres!$A$1:$I$89,5,0)</f>
        <v>318.39599999999996</v>
      </c>
      <c r="CA95" s="14">
        <f t="shared" si="93"/>
        <v>75.019512724334945</v>
      </c>
      <c r="CB95" s="22">
        <f t="shared" si="64"/>
        <v>685.19868466154992</v>
      </c>
      <c r="CC95" s="62">
        <f t="shared" si="65"/>
        <v>960.20898670466158</v>
      </c>
      <c r="CD95" s="62">
        <f ca="1">AVERAGE(OFFSET($CC$3,0,0,'Données projet'!$E$12+1,1))-AVERAGE(OFFSET($H$3,0,0,'Données projet'!$E$12+1,1))</f>
        <v>520.80494930257237</v>
      </c>
      <c r="CE95" s="62">
        <f t="shared" si="94"/>
        <v>325.72635759450861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0.17902930939293432</v>
      </c>
      <c r="CL95" s="23">
        <f>EXP(-LN(2)/25)*CL94+(1-EXP(-LN(2)/25))/(LN(2)/25)*Calculateur!CG95*Calculateur!CI95*VLOOKUP('Données projet'!$B$12,Paramètres!$A$1:$I$89,3,0)*0.475*44/12</f>
        <v>0.52441827116291739</v>
      </c>
      <c r="CM95" s="23">
        <f>EXP(-LN(2)/2)*CM94+(1-EXP(-LN(2)/2))/(LN(2)/2)*CG95*CJ95*VLOOKUP('Données projet'!$B$12,Paramètres!$A$1:$I$89,3,0)*0.475*44/12</f>
        <v>1.6271649766755057E-9</v>
      </c>
      <c r="CN95" s="24">
        <f t="shared" si="66"/>
        <v>0.70344758218301673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</v>
      </c>
      <c r="N96" s="14">
        <f>IF('Données projet'!$A$36&gt;35,N95+M96-V95,IF(A96&lt;'Données projet'!$A$36,$K$205^A96,IF(A96='Données projet'!$A$36,'Données projet'!$B$36,N95+M96-V95)))</f>
        <v>319.99999999999994</v>
      </c>
      <c r="O96" s="14">
        <f>N96*VLOOKUP('Données projet'!$B$9,Paramètres!$A$1:$I$89,3,0)*VLOOKUP('Données projet'!$B$9,Paramètres!$A$1:$I$89,5,0)</f>
        <v>289.53599999999994</v>
      </c>
      <c r="P96" s="14">
        <f t="shared" si="87"/>
        <v>68.97829509904436</v>
      </c>
      <c r="Q96" s="22">
        <f t="shared" si="54"/>
        <v>624.41239729750214</v>
      </c>
      <c r="R96" s="62">
        <f t="shared" si="55"/>
        <v>899.74056296933804</v>
      </c>
      <c r="S96" s="62">
        <f ca="1">AVERAGE(OFFSET($R$3,0,0,'Données projet'!$E$9+1,1))-AVERAGE(OFFSET($H$3,0,0,'Données projet'!$E$9+1,1))</f>
        <v>472.83070477639035</v>
      </c>
      <c r="T96" s="62">
        <f t="shared" si="88"/>
        <v>297.32483725004136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0.15661664495852992</v>
      </c>
      <c r="AA96" s="23">
        <f>EXP(-LN(2)/25)*AA95+(1-EXP(-LN(2)/25))/(LN(2)/25)*Calculateur!V96*Calculateur!X96*VLOOKUP('Données projet'!$B$9,Paramètres!$A$1:$I$89,3,0)*0.475*44/12</f>
        <v>0.45514654624123874</v>
      </c>
      <c r="AB96" s="23">
        <f>EXP(-LN(2)/2)*AB95+(1-EXP(-LN(2)/2))/(LN(2)/2)*V96*Y96*VLOOKUP('Données projet'!$B$9,Paramètres!$A$1:$I$89,3,0)*0.475*44/12</f>
        <v>1.0266708395193392E-9</v>
      </c>
      <c r="AC96" s="24">
        <f t="shared" si="57"/>
        <v>0.61176319222643949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13.046666666666672</v>
      </c>
      <c r="AI96" s="14">
        <f>IF('Données projet'!$A$62&gt;35,AI95+AH96-AQ95,IF(A96&lt;'Données projet'!$A$62,$AF$205^A96,IF(A96='Données projet'!$A$62,'Données projet'!$B$62,AI95+AH96-AQ95)))</f>
        <v>511.90333333333314</v>
      </c>
      <c r="AJ96" s="14">
        <f>AI96*VLOOKUP('Données projet'!$B$10,Paramètres!$A$1:$I$89,3,0)*VLOOKUP('Données projet'!$B$10,Paramètres!$A$1:$I$89,5,0)</f>
        <v>239.57075999999989</v>
      </c>
      <c r="AK96" s="14">
        <f t="shared" si="89"/>
        <v>58.347167785717573</v>
      </c>
      <c r="AL96" s="22">
        <f t="shared" si="58"/>
        <v>518.87372422679118</v>
      </c>
      <c r="AM96" s="62">
        <f t="shared" si="59"/>
        <v>794.20188989862709</v>
      </c>
      <c r="AN96" s="62">
        <f ca="1">AVERAGE(OFFSET($AM$3,0,0,'Données projet'!$E$10+1,1))-AVERAGE(OFFSET($H$3,0,0,'Données projet'!$E$10+1,1))</f>
        <v>348.76787471354476</v>
      </c>
      <c r="AO96" s="62">
        <f t="shared" si="90"/>
        <v>258.31503417978615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59.385225562404884</v>
      </c>
      <c r="BJ96" s="62">
        <f t="shared" si="92"/>
        <v>285.5244298970598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14.312739789637115</v>
      </c>
      <c r="BQ96" s="23">
        <f>EXP(-LN(2)/25)*BQ95+(1-EXP(-LN(2)/25))/(LN(2)/25)*Calculateur!BL96*Calculateur!BN96*VLOOKUP('Données projet'!$B$11,Paramètres!$A$1:$I$89,3,0)*0.475*44/12</f>
        <v>1.998961369371683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16.311701159008798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</v>
      </c>
      <c r="BY96" s="13">
        <f>IF('Données projet'!$A$114&gt;35,BY95+BX96-CG95,IF(A96&lt;'Données projet'!$A$114,$BV$205^A96,IF(A96='Données projet'!$A$114,'Données projet'!$B$114,BY95+BX96-CG95)))</f>
        <v>319.99999999999994</v>
      </c>
      <c r="BZ96" s="14">
        <f>BY96*VLOOKUP('Données projet'!$B$12,Paramètres!$A$1:$I$89,3,0)*VLOOKUP('Données projet'!$B$12,Paramètres!$A$1:$I$89,5,0)</f>
        <v>324.47999999999996</v>
      </c>
      <c r="CA96" s="14">
        <f t="shared" si="93"/>
        <v>76.284749200165507</v>
      </c>
      <c r="CB96" s="22">
        <f t="shared" si="64"/>
        <v>697.99860485695478</v>
      </c>
      <c r="CC96" s="62">
        <f t="shared" si="65"/>
        <v>973.3267705287908</v>
      </c>
      <c r="CD96" s="62">
        <f ca="1">AVERAGE(OFFSET($CC$3,0,0,'Données projet'!$E$12+1,1))-AVERAGE(OFFSET($H$3,0,0,'Données projet'!$E$12+1,1))</f>
        <v>520.80494930257237</v>
      </c>
      <c r="CE96" s="62">
        <f t="shared" si="94"/>
        <v>325.72635759450861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0.1755186538328353</v>
      </c>
      <c r="CL96" s="23">
        <f>EXP(-LN(2)/25)*CL95+(1-EXP(-LN(2)/25))/(LN(2)/25)*Calculateur!CG96*Calculateur!CI96*VLOOKUP('Données projet'!$B$12,Paramètres!$A$1:$I$89,3,0)*0.475*44/12</f>
        <v>0.51007802596000906</v>
      </c>
      <c r="CM96" s="23">
        <f>EXP(-LN(2)/2)*CM95+(1-EXP(-LN(2)/2))/(LN(2)/2)*CG96*CJ96*VLOOKUP('Données projet'!$B$12,Paramètres!$A$1:$I$89,3,0)*0.475*44/12</f>
        <v>1.1505793891165005E-9</v>
      </c>
      <c r="CN96" s="24">
        <f t="shared" si="66"/>
        <v>0.68559668094342374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</v>
      </c>
      <c r="N97" s="14">
        <f>IF('Données projet'!$A$36&gt;35,N96+M97-V96,IF(A97&lt;'Données projet'!$A$36,$K$205^A97,IF(A97='Données projet'!$A$36,'Données projet'!$B$36,N96+M97-V96)))</f>
        <v>325.99999999999994</v>
      </c>
      <c r="O97" s="14">
        <f>N97*VLOOKUP('Données projet'!$B$9,Paramètres!$A$1:$I$89,3,0)*VLOOKUP('Données projet'!$B$9,Paramètres!$A$1:$I$89,5,0)</f>
        <v>294.96479999999997</v>
      </c>
      <c r="P97" s="14">
        <f t="shared" si="87"/>
        <v>70.119854541045001</v>
      </c>
      <c r="Q97" s="22">
        <f t="shared" si="54"/>
        <v>635.85577332565333</v>
      </c>
      <c r="R97" s="62">
        <f t="shared" si="55"/>
        <v>911.49628840289188</v>
      </c>
      <c r="S97" s="62">
        <f ca="1">AVERAGE(OFFSET($R$3,0,0,'Données projet'!$E$9+1,1))-AVERAGE(OFFSET($H$3,0,0,'Données projet'!$E$9+1,1))</f>
        <v>472.83070477639035</v>
      </c>
      <c r="T97" s="62">
        <f t="shared" si="88"/>
        <v>297.32483725004136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0.15354548807761409</v>
      </c>
      <c r="AA97" s="23">
        <f>EXP(-LN(2)/25)*AA96+(1-EXP(-LN(2)/25))/(LN(2)/25)*Calculateur!V97*Calculateur!X97*VLOOKUP('Données projet'!$B$9,Paramètres!$A$1:$I$89,3,0)*0.475*44/12</f>
        <v>0.44270053999915543</v>
      </c>
      <c r="AB97" s="23">
        <f>EXP(-LN(2)/2)*AB96+(1-EXP(-LN(2)/2))/(LN(2)/2)*V97*Y97*VLOOKUP('Données projet'!$B$9,Paramètres!$A$1:$I$89,3,0)*0.475*44/12</f>
        <v>7.2596591267061041E-10</v>
      </c>
      <c r="AC97" s="24">
        <f t="shared" si="57"/>
        <v>0.59624602880273547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>
        <f>VLOOKUP(A97,'Données projet'!$A$61:$I$81,2,0)</f>
        <v>524.95000000000005</v>
      </c>
      <c r="AG97" s="13">
        <f>VLOOKUP(A97,'Données projet'!$A$61:$I$81,9,0)</f>
        <v>13.046666666666672</v>
      </c>
      <c r="AH97" s="13">
        <f t="array" ref="AH97">INDEX(AG:AG,MIN(IF(ISNUMBER(AG97:AG293),ROW(AG97:AG293),"")))</f>
        <v>13.046666666666672</v>
      </c>
      <c r="AI97" s="14">
        <f>IF('Données projet'!$A$62&gt;35,AI96+AH97-AQ96,IF(A97&lt;'Données projet'!$A$62,$AF$205^A97,IF(A97='Données projet'!$A$62,'Données projet'!$B$62,AI96+AH97-AQ96)))</f>
        <v>524.94999999999982</v>
      </c>
      <c r="AJ97" s="14">
        <f>AI97*VLOOKUP('Données projet'!$B$10,Paramètres!$A$1:$I$89,3,0)*VLOOKUP('Données projet'!$B$10,Paramètres!$A$1:$I$89,5,0)</f>
        <v>245.67659999999989</v>
      </c>
      <c r="AK97" s="14">
        <f t="shared" si="89"/>
        <v>59.659211963131973</v>
      </c>
      <c r="AL97" s="22">
        <f t="shared" si="58"/>
        <v>531.79320583578794</v>
      </c>
      <c r="AM97" s="62">
        <f t="shared" si="59"/>
        <v>807.43372091302649</v>
      </c>
      <c r="AN97" s="62">
        <f ca="1">AVERAGE(OFFSET($AM$3,0,0,'Données projet'!$E$10+1,1))-AVERAGE(OFFSET($H$3,0,0,'Données projet'!$E$10+1,1))</f>
        <v>348.76787471354476</v>
      </c>
      <c r="AO97" s="62">
        <f t="shared" si="90"/>
        <v>258.31503417978615</v>
      </c>
      <c r="AP97" s="16">
        <f>IF(ISNA(VLOOKUP(A97,'Données projet'!$A$61:$I$81,3,0)),0,VLOOKUP(A97,'Données projet'!$A$61:$I$81,3,0))</f>
        <v>17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59.385225562404884</v>
      </c>
      <c r="BJ97" s="62">
        <f t="shared" si="92"/>
        <v>285.5244298970598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14.032075692271595</v>
      </c>
      <c r="BQ97" s="23">
        <f>EXP(-LN(2)/25)*BQ96+(1-EXP(-LN(2)/25))/(LN(2)/25)*Calculateur!BL97*Calculateur!BN97*VLOOKUP('Données projet'!$B$11,Paramètres!$A$1:$I$89,3,0)*0.475*44/12</f>
        <v>1.9442996656054046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15.976375357877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6</v>
      </c>
      <c r="BY97" s="13">
        <f>IF('Données projet'!$A$114&gt;35,BY96+BX97-CG96,IF(A97&lt;'Données projet'!$A$114,$BV$205^A97,IF(A97='Données projet'!$A$114,'Données projet'!$B$114,BY96+BX97-CG96)))</f>
        <v>325.99999999999994</v>
      </c>
      <c r="BZ97" s="14">
        <f>BY97*VLOOKUP('Données projet'!$B$12,Paramètres!$A$1:$I$89,3,0)*VLOOKUP('Données projet'!$B$12,Paramètres!$A$1:$I$89,5,0)</f>
        <v>330.56399999999996</v>
      </c>
      <c r="CA97" s="14">
        <f t="shared" si="93"/>
        <v>77.547227137682853</v>
      </c>
      <c r="CB97" s="22">
        <f t="shared" si="64"/>
        <v>710.79372059813079</v>
      </c>
      <c r="CC97" s="62">
        <f t="shared" si="65"/>
        <v>986.43423567536934</v>
      </c>
      <c r="CD97" s="62">
        <f ca="1">AVERAGE(OFFSET($CC$3,0,0,'Données projet'!$E$12+1,1))-AVERAGE(OFFSET($H$3,0,0,'Données projet'!$E$12+1,1))</f>
        <v>520.80494930257237</v>
      </c>
      <c r="CE97" s="62">
        <f t="shared" si="94"/>
        <v>325.72635759450861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0.17207684008698135</v>
      </c>
      <c r="CL97" s="23">
        <f>EXP(-LN(2)/25)*CL96+(1-EXP(-LN(2)/25))/(LN(2)/25)*Calculateur!CG97*Calculateur!CI97*VLOOKUP('Données projet'!$B$12,Paramètres!$A$1:$I$89,3,0)*0.475*44/12</f>
        <v>0.49612991551629504</v>
      </c>
      <c r="CM97" s="23">
        <f>EXP(-LN(2)/2)*CM96+(1-EXP(-LN(2)/2))/(LN(2)/2)*CG97*CJ97*VLOOKUP('Données projet'!$B$12,Paramètres!$A$1:$I$89,3,0)*0.475*44/12</f>
        <v>8.1358248833775287E-10</v>
      </c>
      <c r="CN97" s="24">
        <f t="shared" si="66"/>
        <v>0.66820675641685889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332</v>
      </c>
      <c r="L98" s="13">
        <f>VLOOKUP(A98,'Données projet'!$A$35:$I$55,9,0)</f>
        <v>6</v>
      </c>
      <c r="M98" s="13">
        <f t="array" ref="M98">INDEX(L:L,MIN(IF(ISNUMBER(L98:L294),ROW(L98:L294),"")))</f>
        <v>6</v>
      </c>
      <c r="N98" s="14">
        <f>IF('Données projet'!$A$36&gt;35,N97+M98-V97,IF(A98&lt;'Données projet'!$A$36,$K$205^A98,IF(A98='Données projet'!$A$36,'Données projet'!$B$36,N97+M98-V97)))</f>
        <v>331.99999999999994</v>
      </c>
      <c r="O98" s="14">
        <f>N98*VLOOKUP('Données projet'!$B$9,Paramètres!$A$1:$I$89,3,0)*VLOOKUP('Données projet'!$B$9,Paramètres!$A$1:$I$89,5,0)</f>
        <v>300.39359999999994</v>
      </c>
      <c r="P98" s="14">
        <f t="shared" si="87"/>
        <v>71.258970856492667</v>
      </c>
      <c r="Q98" s="22">
        <f t="shared" si="54"/>
        <v>647.29489424172459</v>
      </c>
      <c r="R98" s="62">
        <f t="shared" si="55"/>
        <v>923.24234016049058</v>
      </c>
      <c r="S98" s="62">
        <f ca="1">AVERAGE(OFFSET($R$3,0,0,'Données projet'!$E$9+1,1))-AVERAGE(OFFSET($H$3,0,0,'Données projet'!$E$9+1,1))</f>
        <v>472.83070477639035</v>
      </c>
      <c r="T98" s="62">
        <f t="shared" si="88"/>
        <v>297.32483725004136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0.15053455470991228</v>
      </c>
      <c r="AA98" s="23">
        <f>EXP(-LN(2)/25)*AA97+(1-EXP(-LN(2)/25))/(LN(2)/25)*Calculateur!V98*Calculateur!X98*VLOOKUP('Données projet'!$B$9,Paramètres!$A$1:$I$89,3,0)*0.475*44/12</f>
        <v>0.43059487045226891</v>
      </c>
      <c r="AB98" s="23">
        <f>EXP(-LN(2)/2)*AB97+(1-EXP(-LN(2)/2))/(LN(2)/2)*V98*Y98*VLOOKUP('Données projet'!$B$9,Paramètres!$A$1:$I$89,3,0)*0.475*44/12</f>
        <v>5.1333541975966958E-10</v>
      </c>
      <c r="AC98" s="24">
        <f t="shared" si="57"/>
        <v>0.58112942567551662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538.28</v>
      </c>
      <c r="AG98" s="13">
        <f>VLOOKUP(A98,'Données projet'!$A$61:$I$81,9,0)</f>
        <v>13.329999999999927</v>
      </c>
      <c r="AH98" s="13">
        <f t="array" ref="AH98">INDEX(AG:AG,MIN(IF(ISNUMBER(AG98:AG294),ROW(AG98:AG294),"")))</f>
        <v>13.329999999999927</v>
      </c>
      <c r="AI98" s="14">
        <f>IF('Données projet'!$A$62&gt;35,AI97+AH98-AQ97,IF(A98&lt;'Données projet'!$A$62,$AF$205^A98,IF(A98='Données projet'!$A$62,'Données projet'!$B$62,AI97+AH98-AQ97)))</f>
        <v>538.27999999999975</v>
      </c>
      <c r="AJ98" s="14">
        <f>AI98*VLOOKUP('Données projet'!$B$10,Paramètres!$A$1:$I$89,3,0)*VLOOKUP('Données projet'!$B$10,Paramètres!$A$1:$I$89,5,0)</f>
        <v>251.91503999999989</v>
      </c>
      <c r="AK98" s="14">
        <f t="shared" si="89"/>
        <v>60.995835543729605</v>
      </c>
      <c r="AL98" s="22">
        <f t="shared" si="58"/>
        <v>544.98644157199544</v>
      </c>
      <c r="AM98" s="62">
        <f t="shared" si="59"/>
        <v>820.93388749076144</v>
      </c>
      <c r="AN98" s="62">
        <f ca="1">AVERAGE(OFFSET($AM$3,0,0,'Données projet'!$E$10+1,1))-AVERAGE(OFFSET($H$3,0,0,'Données projet'!$E$10+1,1))</f>
        <v>348.76787471354476</v>
      </c>
      <c r="AO98" s="62">
        <f t="shared" si="90"/>
        <v>258.31503417978615</v>
      </c>
      <c r="AP98" s="16">
        <f>IF(ISNA(VLOOKUP(A98,'Données projet'!$A$61:$I$81,3,0)),0,VLOOKUP(A98,'Données projet'!$A$61:$I$81,3,0))</f>
        <v>18</v>
      </c>
      <c r="AQ98" s="16">
        <f>IF(ISNA(VLOOKUP(A98,'Données projet'!$A$61:$I$81,4,0)),0,VLOOKUP(A98,'Données projet'!$A$61:$I$81,4,0))</f>
        <v>268.81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59.385225562404884</v>
      </c>
      <c r="BJ98" s="62">
        <f t="shared" si="92"/>
        <v>285.5244298970598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13.756915246667218</v>
      </c>
      <c r="BQ98" s="23">
        <f>EXP(-LN(2)/25)*BQ97+(1-EXP(-LN(2)/25))/(LN(2)/25)*Calculateur!BL98*Calculateur!BN98*VLOOKUP('Données projet'!$B$11,Paramètres!$A$1:$I$89,3,0)*0.475*44/12</f>
        <v>1.891132689003149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15.648047935670366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332</v>
      </c>
      <c r="BW98" s="13">
        <f>VLOOKUP(A98,'Données projet'!$A$113:$I$133,9,0)</f>
        <v>6</v>
      </c>
      <c r="BX98" s="13">
        <f t="array" ref="BX98">INDEX(BW:BW,MIN(IF(ISNUMBER(BW98:BW294),ROW(BW98:BW294),"")))</f>
        <v>6</v>
      </c>
      <c r="BY98" s="13">
        <f>IF('Données projet'!$A$114&gt;35,BY97+BX98-CG97,IF(A98&lt;'Données projet'!$A$114,$BV$205^A98,IF(A98='Données projet'!$A$114,'Données projet'!$B$114,BY97+BX98-CG97)))</f>
        <v>331.99999999999994</v>
      </c>
      <c r="BZ98" s="14">
        <f>BY98*VLOOKUP('Données projet'!$B$12,Paramètres!$A$1:$I$89,3,0)*VLOOKUP('Données projet'!$B$12,Paramètres!$A$1:$I$89,5,0)</f>
        <v>336.64799999999997</v>
      </c>
      <c r="CA98" s="14">
        <f t="shared" si="93"/>
        <v>78.807003163010378</v>
      </c>
      <c r="CB98" s="22">
        <f t="shared" si="64"/>
        <v>723.58413050890977</v>
      </c>
      <c r="CC98" s="62">
        <f t="shared" si="65"/>
        <v>999.53157642767565</v>
      </c>
      <c r="CD98" s="62">
        <f ca="1">AVERAGE(OFFSET($CC$3,0,0,'Données projet'!$E$12+1,1))-AVERAGE(OFFSET($H$3,0,0,'Données projet'!$E$12+1,1))</f>
        <v>520.80494930257237</v>
      </c>
      <c r="CE98" s="62">
        <f t="shared" si="94"/>
        <v>325.72635759450861</v>
      </c>
      <c r="CF98" s="16">
        <f>IF(ISNA(VLOOKUP(A98,'Données projet'!$A$113:$I$133,3,0)),0,VLOOKUP(A98,'Données projet'!$A$113:$I$133,3,0))</f>
        <v>16</v>
      </c>
      <c r="CG98" s="16">
        <f>IF(ISNA(VLOOKUP(A98,'Données projet'!$A$113:$I$133,4,0)),0,VLOOKUP(A98,'Données projet'!$A$113:$I$133,4,0))</f>
        <v>28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0.16870251820938451</v>
      </c>
      <c r="CL98" s="23">
        <f>EXP(-LN(2)/25)*CL97+(1-EXP(-LN(2)/25))/(LN(2)/25)*Calculateur!CG98*Calculateur!CI98*VLOOKUP('Données projet'!$B$12,Paramètres!$A$1:$I$89,3,0)*0.475*44/12</f>
        <v>0.4825632168861636</v>
      </c>
      <c r="CM98" s="23">
        <f>EXP(-LN(2)/2)*CM97+(1-EXP(-LN(2)/2))/(LN(2)/2)*CG98*CJ98*VLOOKUP('Données projet'!$B$12,Paramètres!$A$1:$I$89,3,0)*0.475*44/12</f>
        <v>5.7528969455825026E-10</v>
      </c>
      <c r="CN98" s="24">
        <f t="shared" si="66"/>
        <v>0.65126573567083779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5.8</v>
      </c>
      <c r="N99" s="14">
        <f>IF('Données projet'!$A$36&gt;35,N98+M99-V98,IF(A99&lt;'Données projet'!$A$36,$K$205^A99,IF(A99='Données projet'!$A$36,'Données projet'!$B$36,N98+M99-V98)))</f>
        <v>309.79999999999995</v>
      </c>
      <c r="O99" s="14">
        <f>N99*VLOOKUP('Données projet'!$B$9,Paramètres!$A$1:$I$89,3,0)*VLOOKUP('Données projet'!$B$9,Paramètres!$A$1:$I$89,5,0)</f>
        <v>280.30703999999997</v>
      </c>
      <c r="P99" s="14">
        <f t="shared" si="87"/>
        <v>67.03189112007388</v>
      </c>
      <c r="Q99" s="22">
        <f t="shared" ref="Q99:Q130" si="107">(O99+P99)*0.475*44/12</f>
        <v>604.94863836746197</v>
      </c>
      <c r="R99" s="62">
        <f t="shared" si="55"/>
        <v>881.19769056384939</v>
      </c>
      <c r="S99" s="62">
        <f ca="1">AVERAGE(OFFSET($R$3,0,0,'Données projet'!$E$9+1,1))-AVERAGE(OFFSET($H$3,0,0,'Données projet'!$E$9+1,1))</f>
        <v>472.83070477639035</v>
      </c>
      <c r="T99" s="62">
        <f t="shared" si="88"/>
        <v>297.32483725004136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0.14758266390906311</v>
      </c>
      <c r="AA99" s="23">
        <f>EXP(-LN(2)/25)*AA98+(1-EXP(-LN(2)/25))/(LN(2)/25)*Calculateur!V99*Calculateur!X99*VLOOKUP('Données projet'!$B$9,Paramètres!$A$1:$I$89,3,0)*0.475*44/12</f>
        <v>0.4188202310757515</v>
      </c>
      <c r="AB99" s="23">
        <f>EXP(-LN(2)/2)*AB98+(1-EXP(-LN(2)/2))/(LN(2)/2)*V99*Y99*VLOOKUP('Données projet'!$B$9,Paramètres!$A$1:$I$89,3,0)*0.475*44/12</f>
        <v>3.6298295633530521E-10</v>
      </c>
      <c r="AC99" s="24">
        <f t="shared" si="57"/>
        <v>0.56640289534779753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>
        <f>VLOOKUP(A99,'Données projet'!$A$61:$I$81,2,0)</f>
        <v>280.02999999999997</v>
      </c>
      <c r="AG99" s="13">
        <f>VLOOKUP(A99,'Données projet'!$A$61:$I$81,9,0)</f>
        <v>10.560000000000002</v>
      </c>
      <c r="AH99" s="13">
        <f t="array" ref="AH99">INDEX(AG:AG,MIN(IF(ISNUMBER(AG99:AG295),ROW(AG99:AG295),"")))</f>
        <v>10.560000000000002</v>
      </c>
      <c r="AI99" s="14">
        <f>IF('Données projet'!$A$62&gt;35,AI98+AH99-AQ98,IF(A99&lt;'Données projet'!$A$62,$AF$205^A99,IF(A99='Données projet'!$A$62,'Données projet'!$B$62,AI98+AH99-AQ98)))</f>
        <v>280.02999999999969</v>
      </c>
      <c r="AJ99" s="14">
        <f>AI99*VLOOKUP('Données projet'!$B$10,Paramètres!$A$1:$I$89,3,0)*VLOOKUP('Données projet'!$B$10,Paramètres!$A$1:$I$89,5,0)</f>
        <v>131.05403999999984</v>
      </c>
      <c r="AK99" s="14">
        <f t="shared" si="89"/>
        <v>34.239802442901187</v>
      </c>
      <c r="AL99" s="22">
        <f t="shared" si="58"/>
        <v>287.88677558805261</v>
      </c>
      <c r="AM99" s="62">
        <f t="shared" si="59"/>
        <v>564.13582778444004</v>
      </c>
      <c r="AN99" s="62">
        <f ca="1">AVERAGE(OFFSET($AM$3,0,0,'Données projet'!$E$10+1,1))-AVERAGE(OFFSET($H$3,0,0,'Données projet'!$E$10+1,1))</f>
        <v>348.76787471354476</v>
      </c>
      <c r="AO99" s="62">
        <f t="shared" si="90"/>
        <v>258.31503417978615</v>
      </c>
      <c r="AP99" s="16">
        <f>IF(ISNA(VLOOKUP(A99,'Données projet'!$A$61:$I$81,3,0)),0,VLOOKUP(A99,'Données projet'!$A$61:$I$81,3,0))</f>
        <v>19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59.385225562404884</v>
      </c>
      <c r="BJ99" s="62">
        <f t="shared" si="92"/>
        <v>285.5244298970598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13.487150529569842</v>
      </c>
      <c r="BQ99" s="23">
        <f>EXP(-LN(2)/25)*BQ98+(1-EXP(-LN(2)/25))/(LN(2)/25)*Calculateur!BL99*Calculateur!BN99*VLOOKUP('Données projet'!$B$11,Paramètres!$A$1:$I$89,3,0)*0.475*44/12</f>
        <v>1.8394195661720121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15.326570095741854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5.8</v>
      </c>
      <c r="BY99" s="13">
        <f>IF('Données projet'!$A$114&gt;35,BY98+BX99-CG98,IF(A99&lt;'Données projet'!$A$114,$BV$205^A99,IF(A99='Données projet'!$A$114,'Données projet'!$B$114,BY98+BX99-CG98)))</f>
        <v>309.79999999999995</v>
      </c>
      <c r="BZ99" s="14">
        <f>BY99*VLOOKUP('Données projet'!$B$12,Paramètres!$A$1:$I$89,3,0)*VLOOKUP('Données projet'!$B$12,Paramètres!$A$1:$I$89,5,0)</f>
        <v>314.13719999999995</v>
      </c>
      <c r="CA99" s="14">
        <f t="shared" si="93"/>
        <v>74.132174405952824</v>
      </c>
      <c r="CB99" s="22">
        <f t="shared" si="64"/>
        <v>676.23582709036771</v>
      </c>
      <c r="CC99" s="62">
        <f t="shared" si="65"/>
        <v>952.48487928675513</v>
      </c>
      <c r="CD99" s="62">
        <f ca="1">AVERAGE(OFFSET($CC$3,0,0,'Données projet'!$E$12+1,1))-AVERAGE(OFFSET($H$3,0,0,'Données projet'!$E$12+1,1))</f>
        <v>520.80494930257237</v>
      </c>
      <c r="CE99" s="62">
        <f t="shared" si="94"/>
        <v>325.72635759450861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0.1653943647256742</v>
      </c>
      <c r="CL99" s="23">
        <f>EXP(-LN(2)/25)*CL98+(1-EXP(-LN(2)/25))/(LN(2)/25)*Calculateur!CG99*Calculateur!CI99*VLOOKUP('Données projet'!$B$12,Paramètres!$A$1:$I$89,3,0)*0.475*44/12</f>
        <v>0.46936750034351482</v>
      </c>
      <c r="CM99" s="23">
        <f>EXP(-LN(2)/2)*CM98+(1-EXP(-LN(2)/2))/(LN(2)/2)*CG99*CJ99*VLOOKUP('Données projet'!$B$12,Paramètres!$A$1:$I$89,3,0)*0.475*44/12</f>
        <v>4.0679124416887644E-10</v>
      </c>
      <c r="CN99" s="24">
        <f t="shared" si="66"/>
        <v>0.63476186547598035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5.8</v>
      </c>
      <c r="N100" s="14">
        <f>IF('Données projet'!$A$36&gt;35,N99+M100-V99,IF(A100&lt;'Données projet'!$A$36,$K$205^A100,IF(A100='Données projet'!$A$36,'Données projet'!$B$36,N99+M100-V99)))</f>
        <v>315.59999999999997</v>
      </c>
      <c r="O100" s="14">
        <f>N100*VLOOKUP('Données projet'!$B$9,Paramètres!$A$1:$I$89,3,0)*VLOOKUP('Données projet'!$B$9,Paramètres!$A$1:$I$89,5,0)</f>
        <v>285.55487999999997</v>
      </c>
      <c r="P100" s="14">
        <f t="shared" si="87"/>
        <v>68.139569194998018</v>
      </c>
      <c r="Q100" s="22">
        <f t="shared" si="107"/>
        <v>616.01783234795482</v>
      </c>
      <c r="R100" s="62">
        <f t="shared" si="55"/>
        <v>892.56325862733763</v>
      </c>
      <c r="S100" s="62">
        <f ca="1">AVERAGE(OFFSET($R$3,0,0,'Données projet'!$E$9+1,1))-AVERAGE(OFFSET($H$3,0,0,'Données projet'!$E$9+1,1))</f>
        <v>472.83070477639035</v>
      </c>
      <c r="T100" s="62">
        <f t="shared" si="88"/>
        <v>297.32483725004136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0.14468865788634297</v>
      </c>
      <c r="AA100" s="23">
        <f>EXP(-LN(2)/25)*AA99+(1-EXP(-LN(2)/25))/(LN(2)/25)*Calculateur!V100*Calculateur!X100*VLOOKUP('Données projet'!$B$9,Paramètres!$A$1:$I$89,3,0)*0.475*44/12</f>
        <v>0.40736756983218636</v>
      </c>
      <c r="AB100" s="23">
        <f>EXP(-LN(2)/2)*AB99+(1-EXP(-LN(2)/2))/(LN(2)/2)*V100*Y100*VLOOKUP('Données projet'!$B$9,Paramètres!$A$1:$I$89,3,0)*0.475*44/12</f>
        <v>2.5666770987983479E-10</v>
      </c>
      <c r="AC100" s="24">
        <f t="shared" si="57"/>
        <v>0.55205622797519704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8.516666666666671</v>
      </c>
      <c r="AI100" s="14">
        <f>IF('Données projet'!$A$62&gt;35,AI99+AH100-AQ99,IF(A100&lt;'Données projet'!$A$62,$AF$205^A100,IF(A100='Données projet'!$A$62,'Données projet'!$B$62,AI99+AH100-AQ99)))</f>
        <v>288.54666666666634</v>
      </c>
      <c r="AJ100" s="14">
        <f>AI100*VLOOKUP('Données projet'!$B$10,Paramètres!$A$1:$I$89,3,0)*VLOOKUP('Données projet'!$B$10,Paramètres!$A$1:$I$89,5,0)</f>
        <v>135.03983999999986</v>
      </c>
      <c r="AK100" s="14">
        <f t="shared" si="89"/>
        <v>35.158327939856818</v>
      </c>
      <c r="AL100" s="22">
        <f t="shared" si="58"/>
        <v>296.42847582858366</v>
      </c>
      <c r="AM100" s="62">
        <f t="shared" si="59"/>
        <v>572.97390210796652</v>
      </c>
      <c r="AN100" s="62">
        <f ca="1">AVERAGE(OFFSET($AM$3,0,0,'Données projet'!$E$10+1,1))-AVERAGE(OFFSET($H$3,0,0,'Données projet'!$E$10+1,1))</f>
        <v>348.76787471354476</v>
      </c>
      <c r="AO100" s="62">
        <f t="shared" si="90"/>
        <v>258.31503417978615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59.385225562404884</v>
      </c>
      <c r="BJ100" s="62">
        <f t="shared" si="92"/>
        <v>285.5244298970598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13.222675734034516</v>
      </c>
      <c r="BQ100" s="23">
        <f>EXP(-LN(2)/25)*BQ99+(1-EXP(-LN(2)/25))/(LN(2)/25)*Calculateur!BL100*Calculateur!BN100*VLOOKUP('Données projet'!$B$11,Paramètres!$A$1:$I$89,3,0)*0.475*44/12</f>
        <v>1.7891205414041675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15.011796275438684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5.8</v>
      </c>
      <c r="BY100" s="13">
        <f>IF('Données projet'!$A$114&gt;35,BY99+BX100-CG99,IF(A100&lt;'Données projet'!$A$114,$BV$205^A100,IF(A100='Données projet'!$A$114,'Données projet'!$B$114,BY99+BX100-CG99)))</f>
        <v>315.59999999999997</v>
      </c>
      <c r="BZ100" s="14">
        <f>BY100*VLOOKUP('Données projet'!$B$12,Paramètres!$A$1:$I$89,3,0)*VLOOKUP('Données projet'!$B$12,Paramètres!$A$1:$I$89,5,0)</f>
        <v>320.01839999999999</v>
      </c>
      <c r="CA100" s="14">
        <f t="shared" si="93"/>
        <v>75.357182127856944</v>
      </c>
      <c r="CB100" s="22">
        <f t="shared" si="64"/>
        <v>688.61247220601751</v>
      </c>
      <c r="CC100" s="62">
        <f t="shared" si="65"/>
        <v>965.15789848540032</v>
      </c>
      <c r="CD100" s="62">
        <f ca="1">AVERAGE(OFFSET($CC$3,0,0,'Données projet'!$E$12+1,1))-AVERAGE(OFFSET($H$3,0,0,'Données projet'!$E$12+1,1))</f>
        <v>520.80494930257237</v>
      </c>
      <c r="CE100" s="62">
        <f t="shared" si="94"/>
        <v>325.72635759450861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0.16215108211400509</v>
      </c>
      <c r="CL100" s="23">
        <f>EXP(-LN(2)/25)*CL99+(1-EXP(-LN(2)/25))/(LN(2)/25)*Calculateur!CG100*Calculateur!CI100*VLOOKUP('Données projet'!$B$12,Paramètres!$A$1:$I$89,3,0)*0.475*44/12</f>
        <v>0.4565326213636573</v>
      </c>
      <c r="CM100" s="23">
        <f>EXP(-LN(2)/2)*CM99+(1-EXP(-LN(2)/2))/(LN(2)/2)*CG100*CJ100*VLOOKUP('Données projet'!$B$12,Paramètres!$A$1:$I$89,3,0)*0.475*44/12</f>
        <v>2.8764484727912513E-10</v>
      </c>
      <c r="CN100" s="24">
        <f t="shared" si="66"/>
        <v>0.61868370376530724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5.8</v>
      </c>
      <c r="N101" s="14">
        <f>IF('Données projet'!$A$36&gt;35,N100+M101-V100,IF(A101&lt;'Données projet'!$A$36,$K$205^A101,IF(A101='Données projet'!$A$36,'Données projet'!$B$36,N100+M101-V100)))</f>
        <v>321.39999999999998</v>
      </c>
      <c r="O101" s="14">
        <f>N101*VLOOKUP('Données projet'!$B$9,Paramètres!$A$1:$I$89,3,0)*VLOOKUP('Données projet'!$B$9,Paramètres!$A$1:$I$89,5,0)</f>
        <v>290.80271999999997</v>
      </c>
      <c r="P101" s="14">
        <f t="shared" si="87"/>
        <v>69.244880157128961</v>
      </c>
      <c r="Q101" s="22">
        <f t="shared" si="107"/>
        <v>627.08290360699959</v>
      </c>
      <c r="R101" s="62">
        <f t="shared" si="55"/>
        <v>903.91956254163097</v>
      </c>
      <c r="S101" s="62">
        <f ca="1">AVERAGE(OFFSET($R$3,0,0,'Données projet'!$E$9+1,1))-AVERAGE(OFFSET($H$3,0,0,'Données projet'!$E$9+1,1))</f>
        <v>472.83070477639035</v>
      </c>
      <c r="T101" s="62">
        <f t="shared" si="88"/>
        <v>297.32483725004136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0.14185140155655901</v>
      </c>
      <c r="AA101" s="23">
        <f>EXP(-LN(2)/25)*AA100+(1-EXP(-LN(2)/25))/(LN(2)/25)*Calculateur!V101*Calculateur!X101*VLOOKUP('Données projet'!$B$9,Paramètres!$A$1:$I$89,3,0)*0.475*44/12</f>
        <v>0.39622808221259576</v>
      </c>
      <c r="AB101" s="23">
        <f>EXP(-LN(2)/2)*AB100+(1-EXP(-LN(2)/2))/(LN(2)/2)*V101*Y101*VLOOKUP('Données projet'!$B$9,Paramètres!$A$1:$I$89,3,0)*0.475*44/12</f>
        <v>1.814914781676526E-10</v>
      </c>
      <c r="AC101" s="24">
        <f t="shared" si="57"/>
        <v>0.5380794839506462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8.516666666666671</v>
      </c>
      <c r="AI101" s="14">
        <f>IF('Données projet'!$A$62&gt;35,AI100+AH101-AQ100,IF(A101&lt;'Données projet'!$A$62,$AF$205^A101,IF(A101='Données projet'!$A$62,'Données projet'!$B$62,AI100+AH101-AQ100)))</f>
        <v>297.06333333333299</v>
      </c>
      <c r="AJ101" s="14">
        <f>AI101*VLOOKUP('Données projet'!$B$10,Paramètres!$A$1:$I$89,3,0)*VLOOKUP('Données projet'!$B$10,Paramètres!$A$1:$I$89,5,0)</f>
        <v>139.02563999999984</v>
      </c>
      <c r="AK101" s="14">
        <f t="shared" si="89"/>
        <v>36.073702653091566</v>
      </c>
      <c r="AL101" s="22">
        <f t="shared" si="58"/>
        <v>304.9646884541342</v>
      </c>
      <c r="AM101" s="62">
        <f t="shared" si="59"/>
        <v>581.80134738876563</v>
      </c>
      <c r="AN101" s="62">
        <f ca="1">AVERAGE(OFFSET($AM$3,0,0,'Données projet'!$E$10+1,1))-AVERAGE(OFFSET($H$3,0,0,'Données projet'!$E$10+1,1))</f>
        <v>348.76787471354476</v>
      </c>
      <c r="AO101" s="62">
        <f t="shared" si="90"/>
        <v>258.31503417978615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59.385225562404884</v>
      </c>
      <c r="BJ101" s="62">
        <f t="shared" si="92"/>
        <v>285.5244298970598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12.963387127925941</v>
      </c>
      <c r="BQ101" s="23">
        <f>EXP(-LN(2)/25)*BQ100+(1-EXP(-LN(2)/25))/(LN(2)/25)*Calculateur!BL101*Calculateur!BN101*VLOOKUP('Données projet'!$B$11,Paramètres!$A$1:$I$89,3,0)*0.475*44/12</f>
        <v>1.7401969461137103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14.703584074039652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5.8</v>
      </c>
      <c r="BY101" s="13">
        <f>IF('Données projet'!$A$114&gt;35,BY100+BX101-CG100,IF(A101&lt;'Données projet'!$A$114,$BV$205^A101,IF(A101='Données projet'!$A$114,'Données projet'!$B$114,BY100+BX101-CG100)))</f>
        <v>321.39999999999998</v>
      </c>
      <c r="BZ101" s="14">
        <f>BY101*VLOOKUP('Données projet'!$B$12,Paramètres!$A$1:$I$89,3,0)*VLOOKUP('Données projet'!$B$12,Paramètres!$A$1:$I$89,5,0)</f>
        <v>325.89960000000002</v>
      </c>
      <c r="CA101" s="14">
        <f t="shared" si="93"/>
        <v>76.579572003009503</v>
      </c>
      <c r="CB101" s="22">
        <f t="shared" si="64"/>
        <v>700.98455790524156</v>
      </c>
      <c r="CC101" s="62">
        <f t="shared" si="65"/>
        <v>977.82121683987293</v>
      </c>
      <c r="CD101" s="62">
        <f ca="1">AVERAGE(OFFSET($CC$3,0,0,'Données projet'!$E$12+1,1))-AVERAGE(OFFSET($H$3,0,0,'Données projet'!$E$12+1,1))</f>
        <v>520.80494930257237</v>
      </c>
      <c r="CE101" s="62">
        <f t="shared" si="94"/>
        <v>325.72635759450861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0.15897139829614373</v>
      </c>
      <c r="CL101" s="23">
        <f>EXP(-LN(2)/25)*CL100+(1-EXP(-LN(2)/25))/(LN(2)/25)*Calculateur!CG101*Calculateur!CI101*VLOOKUP('Données projet'!$B$12,Paramètres!$A$1:$I$89,3,0)*0.475*44/12</f>
        <v>0.44404871282446096</v>
      </c>
      <c r="CM101" s="23">
        <f>EXP(-LN(2)/2)*CM100+(1-EXP(-LN(2)/2))/(LN(2)/2)*CG101*CJ101*VLOOKUP('Données projet'!$B$12,Paramètres!$A$1:$I$89,3,0)*0.475*44/12</f>
        <v>2.0339562208443822E-10</v>
      </c>
      <c r="CN101" s="24">
        <f t="shared" si="66"/>
        <v>0.60302011132400035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5.8</v>
      </c>
      <c r="N102" s="14">
        <f>IF('Données projet'!$A$36&gt;35,N101+M102-V101,IF(A102&lt;'Données projet'!$A$36,$K$205^A102,IF(A102='Données projet'!$A$36,'Données projet'!$B$36,N101+M102-V101)))</f>
        <v>327.2</v>
      </c>
      <c r="O102" s="14">
        <f>N102*VLOOKUP('Données projet'!$B$9,Paramètres!$A$1:$I$89,3,0)*VLOOKUP('Données projet'!$B$9,Paramètres!$A$1:$I$89,5,0)</f>
        <v>296.05055999999996</v>
      </c>
      <c r="P102" s="14">
        <f t="shared" si="87"/>
        <v>70.34787165092402</v>
      </c>
      <c r="Q102" s="22">
        <f t="shared" si="107"/>
        <v>638.14393512535923</v>
      </c>
      <c r="R102" s="62">
        <f t="shared" si="55"/>
        <v>915.26677447976931</v>
      </c>
      <c r="S102" s="62">
        <f ca="1">AVERAGE(OFFSET($R$3,0,0,'Données projet'!$E$9+1,1))-AVERAGE(OFFSET($H$3,0,0,'Données projet'!$E$9+1,1))</f>
        <v>472.83070477639035</v>
      </c>
      <c r="T102" s="62">
        <f t="shared" si="88"/>
        <v>297.32483725004136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0.13906978209284662</v>
      </c>
      <c r="AA102" s="23">
        <f>EXP(-LN(2)/25)*AA101+(1-EXP(-LN(2)/25))/(LN(2)/25)*Calculateur!V102*Calculateur!X102*VLOOKUP('Données projet'!$B$9,Paramètres!$A$1:$I$89,3,0)*0.475*44/12</f>
        <v>0.3853932044677631</v>
      </c>
      <c r="AB102" s="23">
        <f>EXP(-LN(2)/2)*AB101+(1-EXP(-LN(2)/2))/(LN(2)/2)*V102*Y102*VLOOKUP('Données projet'!$B$9,Paramètres!$A$1:$I$89,3,0)*0.475*44/12</f>
        <v>1.2833385493991739E-10</v>
      </c>
      <c r="AC102" s="24">
        <f t="shared" si="57"/>
        <v>0.52446298668894364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8.516666666666671</v>
      </c>
      <c r="AI102" s="14">
        <f>IF('Données projet'!$A$62&gt;35,AI101+AH102-AQ101,IF(A102&lt;'Données projet'!$A$62,$AF$205^A102,IF(A102='Données projet'!$A$62,'Données projet'!$B$62,AI101+AH102-AQ101)))</f>
        <v>305.57999999999964</v>
      </c>
      <c r="AJ102" s="14">
        <f>AI102*VLOOKUP('Données projet'!$B$10,Paramètres!$A$1:$I$89,3,0)*VLOOKUP('Données projet'!$B$10,Paramètres!$A$1:$I$89,5,0)</f>
        <v>143.01143999999982</v>
      </c>
      <c r="AK102" s="14">
        <f t="shared" si="89"/>
        <v>36.986027288561935</v>
      </c>
      <c r="AL102" s="22">
        <f t="shared" si="58"/>
        <v>313.49558886091171</v>
      </c>
      <c r="AM102" s="62">
        <f t="shared" si="59"/>
        <v>590.61842821532184</v>
      </c>
      <c r="AN102" s="62">
        <f ca="1">AVERAGE(OFFSET($AM$3,0,0,'Données projet'!$E$10+1,1))-AVERAGE(OFFSET($H$3,0,0,'Données projet'!$E$10+1,1))</f>
        <v>348.76787471354476</v>
      </c>
      <c r="AO102" s="62">
        <f t="shared" si="90"/>
        <v>258.31503417978615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59.385225562404884</v>
      </c>
      <c r="BJ102" s="62">
        <f t="shared" si="92"/>
        <v>285.5244298970598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12.709183013232721</v>
      </c>
      <c r="BQ102" s="23">
        <f>EXP(-LN(2)/25)*BQ101+(1-EXP(-LN(2)/25))/(LN(2)/25)*Calculateur!BL102*Calculateur!BN102*VLOOKUP('Données projet'!$B$11,Paramètres!$A$1:$I$89,3,0)*0.475*44/12</f>
        <v>1.6926111691092509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14.401794182341972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5.8</v>
      </c>
      <c r="BY102" s="13">
        <f>IF('Données projet'!$A$114&gt;35,BY101+BX102-CG101,IF(A102&lt;'Données projet'!$A$114,$BV$205^A102,IF(A102='Données projet'!$A$114,'Données projet'!$B$114,BY101+BX102-CG101)))</f>
        <v>327.2</v>
      </c>
      <c r="BZ102" s="14">
        <f>BY102*VLOOKUP('Données projet'!$B$12,Paramètres!$A$1:$I$89,3,0)*VLOOKUP('Données projet'!$B$12,Paramètres!$A$1:$I$89,5,0)</f>
        <v>331.7808</v>
      </c>
      <c r="CA102" s="14">
        <f t="shared" si="93"/>
        <v>77.799396722557162</v>
      </c>
      <c r="CB102" s="22">
        <f t="shared" si="64"/>
        <v>713.3521759584537</v>
      </c>
      <c r="CC102" s="62">
        <f t="shared" si="65"/>
        <v>990.47501531286389</v>
      </c>
      <c r="CD102" s="62">
        <f ca="1">AVERAGE(OFFSET($CC$3,0,0,'Données projet'!$E$12+1,1))-AVERAGE(OFFSET($H$3,0,0,'Données projet'!$E$12+1,1))</f>
        <v>520.80494930257237</v>
      </c>
      <c r="CE102" s="62">
        <f t="shared" si="94"/>
        <v>325.72635759450861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0.15585406613853503</v>
      </c>
      <c r="CL102" s="23">
        <f>EXP(-LN(2)/25)*CL101+(1-EXP(-LN(2)/25))/(LN(2)/25)*Calculateur!CG102*Calculateur!CI102*VLOOKUP('Données projet'!$B$12,Paramètres!$A$1:$I$89,3,0)*0.475*44/12</f>
        <v>0.43190617742076914</v>
      </c>
      <c r="CM102" s="23">
        <f>EXP(-LN(2)/2)*CM101+(1-EXP(-LN(2)/2))/(LN(2)/2)*CG102*CJ102*VLOOKUP('Données projet'!$B$12,Paramètres!$A$1:$I$89,3,0)*0.475*44/12</f>
        <v>1.4382242363956257E-10</v>
      </c>
      <c r="CN102" s="24">
        <f t="shared" si="66"/>
        <v>0.58776024370312652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5.8</v>
      </c>
      <c r="M103" s="13">
        <f t="array" ref="M103">INDEX(L:L,MIN(IF(ISNUMBER(L103:L299),ROW(L103:L299),"")))</f>
        <v>5.8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926.60506195715107</v>
      </c>
      <c r="S103" s="62">
        <f ca="1">AVERAGE(OFFSET($R$3,0,0,'Données projet'!$E$9+1,1))-AVERAGE(OFFSET($H$3,0,0,'Données projet'!$E$9+1,1))</f>
        <v>472.83070477639035</v>
      </c>
      <c r="T103" s="62">
        <f t="shared" si="88"/>
        <v>297.32483725004136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0.13634270849019728</v>
      </c>
      <c r="AA103" s="23">
        <f>EXP(-LN(2)/25)*AA102+(1-EXP(-LN(2)/25))/(LN(2)/25)*Calculateur!V103*Calculateur!X103*VLOOKUP('Données projet'!$B$9,Paramètres!$A$1:$I$89,3,0)*0.475*44/12</f>
        <v>0.37485460702464429</v>
      </c>
      <c r="AB103" s="23">
        <f>EXP(-LN(2)/2)*AB102+(1-EXP(-LN(2)/2))/(LN(2)/2)*V103*Y103*VLOOKUP('Données projet'!$B$9,Paramètres!$A$1:$I$89,3,0)*0.475*44/12</f>
        <v>9.0745739083826302E-11</v>
      </c>
      <c r="AC103" s="24">
        <f t="shared" si="57"/>
        <v>0.51119731560558734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8.516666666666671</v>
      </c>
      <c r="AI103" s="14">
        <f>IF('Données projet'!$A$62&gt;35,AI102+AH103-AQ102,IF(A103&lt;'Données projet'!$A$62,$AF$205^A103,IF(A103='Données projet'!$A$62,'Données projet'!$B$62,AI102+AH103-AQ102)))</f>
        <v>314.09666666666629</v>
      </c>
      <c r="AJ103" s="14">
        <f>AI103*VLOOKUP('Données projet'!$B$10,Paramètres!$A$1:$I$89,3,0)*VLOOKUP('Données projet'!$B$10,Paramètres!$A$1:$I$89,5,0)</f>
        <v>146.99723999999983</v>
      </c>
      <c r="AK103" s="14">
        <f t="shared" si="89"/>
        <v>37.895396619373926</v>
      </c>
      <c r="AL103" s="22">
        <f t="shared" si="58"/>
        <v>322.02134211207596</v>
      </c>
      <c r="AM103" s="62">
        <f t="shared" si="59"/>
        <v>599.42539729578516</v>
      </c>
      <c r="AN103" s="62">
        <f ca="1">AVERAGE(OFFSET($AM$3,0,0,'Données projet'!$E$10+1,1))-AVERAGE(OFFSET($H$3,0,0,'Données projet'!$E$10+1,1))</f>
        <v>348.76787471354476</v>
      </c>
      <c r="AO103" s="62">
        <f t="shared" si="90"/>
        <v>258.31503417978615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59.385225562404884</v>
      </c>
      <c r="BJ103" s="62">
        <f t="shared" si="92"/>
        <v>285.5244298970598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12.459963686179435</v>
      </c>
      <c r="BQ103" s="23">
        <f>EXP(-LN(2)/25)*BQ102+(1-EXP(-LN(2)/25))/(LN(2)/25)*Calculateur!BL103*Calculateur!BN103*VLOOKUP('Données projet'!$B$11,Paramètres!$A$1:$I$89,3,0)*0.475*44/12</f>
        <v>1.6463266276794055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14.106290313858841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333</v>
      </c>
      <c r="BW103" s="13">
        <f>VLOOKUP(A103,'Données projet'!$A$113:$I$133,9,0)</f>
        <v>5.8</v>
      </c>
      <c r="BX103" s="13">
        <f t="array" ref="BX103">INDEX(BW:BW,MIN(IF(ISNUMBER(BW103:BW299),ROW(BW103:BW299),"")))</f>
        <v>5.8</v>
      </c>
      <c r="BY103" s="13">
        <f>IF('Données projet'!$A$114&gt;35,BY102+BX103-CG102,IF(A103&lt;'Données projet'!$A$114,$BV$205^A103,IF(A103='Données projet'!$A$114,'Données projet'!$B$114,BY102+BX103-CG102)))</f>
        <v>333</v>
      </c>
      <c r="BZ103" s="14">
        <f>BY103*VLOOKUP('Données projet'!$B$12,Paramètres!$A$1:$I$89,3,0)*VLOOKUP('Données projet'!$B$12,Paramètres!$A$1:$I$89,5,0)</f>
        <v>337.66200000000003</v>
      </c>
      <c r="CA103" s="14">
        <f t="shared" si="93"/>
        <v>79.016707002632685</v>
      </c>
      <c r="CB103" s="22">
        <f t="shared" si="64"/>
        <v>725.71541469625208</v>
      </c>
      <c r="CC103" s="62">
        <f t="shared" si="65"/>
        <v>1003.1194698799613</v>
      </c>
      <c r="CD103" s="62">
        <f ca="1">AVERAGE(OFFSET($CC$3,0,0,'Données projet'!$E$12+1,1))-AVERAGE(OFFSET($H$3,0,0,'Données projet'!$E$12+1,1))</f>
        <v>520.80494930257237</v>
      </c>
      <c r="CE103" s="62">
        <f t="shared" si="94"/>
        <v>325.72635759450861</v>
      </c>
      <c r="CF103" s="16">
        <f>IF(ISNA(VLOOKUP(A103,'Données projet'!$A$113:$I$133,3,0)),0,VLOOKUP(A103,'Données projet'!$A$113:$I$133,3,0))</f>
        <v>17</v>
      </c>
      <c r="CG103" s="16">
        <f>IF(ISNA(VLOOKUP(A103,'Données projet'!$A$113:$I$133,4,0)),0,VLOOKUP(A103,'Données projet'!$A$113:$I$133,4,0))</f>
        <v>27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0.15279786296315215</v>
      </c>
      <c r="CL103" s="23">
        <f>EXP(-LN(2)/25)*CL102+(1-EXP(-LN(2)/25))/(LN(2)/25)*Calculateur!CG103*Calculateur!CI103*VLOOKUP('Données projet'!$B$12,Paramètres!$A$1:$I$89,3,0)*0.475*44/12</f>
        <v>0.4200956802862395</v>
      </c>
      <c r="CM103" s="23">
        <f>EXP(-LN(2)/2)*CM102+(1-EXP(-LN(2)/2))/(LN(2)/2)*CG103*CJ103*VLOOKUP('Données projet'!$B$12,Paramètres!$A$1:$I$89,3,0)*0.475*44/12</f>
        <v>1.0169781104221911E-10</v>
      </c>
      <c r="CN103" s="24">
        <f t="shared" si="66"/>
        <v>0.57289354335108944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885.68301833984219</v>
      </c>
      <c r="S104" s="62">
        <f ca="1">AVERAGE(OFFSET($R$3,0,0,'Données projet'!$E$9+1,1))-AVERAGE(OFFSET($H$3,0,0,'Données projet'!$E$9+1,1))</f>
        <v>472.83070477639035</v>
      </c>
      <c r="T104" s="62">
        <f t="shared" si="88"/>
        <v>297.32483725004136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0.13366911113754523</v>
      </c>
      <c r="AA104" s="23">
        <f>EXP(-LN(2)/25)*AA103+(1-EXP(-LN(2)/25))/(LN(2)/25)*Calculateur!V104*Calculateur!X104*VLOOKUP('Données projet'!$B$9,Paramètres!$A$1:$I$89,3,0)*0.475*44/12</f>
        <v>0.36460418808280837</v>
      </c>
      <c r="AB104" s="23">
        <f>EXP(-LN(2)/2)*AB103+(1-EXP(-LN(2)/2))/(LN(2)/2)*V104*Y104*VLOOKUP('Données projet'!$B$9,Paramètres!$A$1:$I$89,3,0)*0.475*44/12</f>
        <v>6.4166927469958697E-11</v>
      </c>
      <c r="AC104" s="24">
        <f t="shared" si="57"/>
        <v>0.49827329928452052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8.516666666666671</v>
      </c>
      <c r="AI104" s="14">
        <f>IF('Données projet'!$A$62&gt;35,AI103+AH104-AQ103,IF(A104&lt;'Données projet'!$A$62,$AF$205^A104,IF(A104='Données projet'!$A$62,'Données projet'!$B$62,AI103+AH104-AQ103)))</f>
        <v>322.61333333333295</v>
      </c>
      <c r="AJ104" s="14">
        <f>AI104*VLOOKUP('Données projet'!$B$10,Paramètres!$A$1:$I$89,3,0)*VLOOKUP('Données projet'!$B$10,Paramètres!$A$1:$I$89,5,0)</f>
        <v>150.98303999999982</v>
      </c>
      <c r="AK104" s="14">
        <f t="shared" si="89"/>
        <v>38.801899986570255</v>
      </c>
      <c r="AL104" s="22">
        <f t="shared" si="58"/>
        <v>330.54210380994283</v>
      </c>
      <c r="AM104" s="62">
        <f t="shared" si="59"/>
        <v>608.22249635701723</v>
      </c>
      <c r="AN104" s="62">
        <f ca="1">AVERAGE(OFFSET($AM$3,0,0,'Données projet'!$E$10+1,1))-AVERAGE(OFFSET($H$3,0,0,'Données projet'!$E$10+1,1))</f>
        <v>348.76787471354476</v>
      </c>
      <c r="AO104" s="62">
        <f t="shared" si="90"/>
        <v>258.31503417978615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59.385225562404884</v>
      </c>
      <c r="BJ104" s="62">
        <f t="shared" si="92"/>
        <v>285.5244298970598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12.215631398120884</v>
      </c>
      <c r="BQ104" s="23">
        <f>EXP(-LN(2)/25)*BQ103+(1-EXP(-LN(2)/25))/(LN(2)/25)*Calculateur!BL104*Calculateur!BN104*VLOOKUP('Données projet'!$B$11,Paramètres!$A$1:$I$89,3,0)*0.475*44/12</f>
        <v>1.6013077394689577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13.816939137589841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5.4</v>
      </c>
      <c r="BY104" s="13">
        <f>IF('Données projet'!$A$114&gt;35,BY103+BX104-CG103,IF(A104&lt;'Données projet'!$A$114,$BV$205^A104,IF(A104='Données projet'!$A$114,'Données projet'!$B$114,BY103+BX104-CG103)))</f>
        <v>311.39999999999998</v>
      </c>
      <c r="BZ104" s="14">
        <f>BY104*VLOOKUP('Données projet'!$B$12,Paramètres!$A$1:$I$89,3,0)*VLOOKUP('Données projet'!$B$12,Paramètres!$A$1:$I$89,5,0)</f>
        <v>315.75959999999998</v>
      </c>
      <c r="CA104" s="14">
        <f t="shared" si="93"/>
        <v>74.470372149154613</v>
      </c>
      <c r="CB104" s="22">
        <f t="shared" si="64"/>
        <v>679.6505348264443</v>
      </c>
      <c r="CC104" s="62">
        <f t="shared" si="65"/>
        <v>957.33092737351876</v>
      </c>
      <c r="CD104" s="62">
        <f ca="1">AVERAGE(OFFSET($CC$3,0,0,'Données projet'!$E$12+1,1))-AVERAGE(OFFSET($H$3,0,0,'Données projet'!$E$12+1,1))</f>
        <v>520.80494930257237</v>
      </c>
      <c r="CE104" s="62">
        <f t="shared" si="94"/>
        <v>325.72635759450861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0.14980159006793867</v>
      </c>
      <c r="CL104" s="23">
        <f>EXP(-LN(2)/25)*CL103+(1-EXP(-LN(2)/25))/(LN(2)/25)*Calculateur!CG104*Calculateur!CI104*VLOOKUP('Données projet'!$B$12,Paramètres!$A$1:$I$89,3,0)*0.475*44/12</f>
        <v>0.40860814181694061</v>
      </c>
      <c r="CM104" s="23">
        <f>EXP(-LN(2)/2)*CM103+(1-EXP(-LN(2)/2))/(LN(2)/2)*CG104*CJ104*VLOOKUP('Données projet'!$B$12,Paramètres!$A$1:$I$89,3,0)*0.475*44/12</f>
        <v>7.1911211819781283E-11</v>
      </c>
      <c r="CN104" s="24">
        <f t="shared" si="66"/>
        <v>0.55840973195679056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896.25942897405571</v>
      </c>
      <c r="S105" s="62">
        <f ca="1">AVERAGE(OFFSET($R$3,0,0,'Données projet'!$E$9+1,1))-AVERAGE(OFFSET($H$3,0,0,'Données projet'!$E$9+1,1))</f>
        <v>472.83070477639035</v>
      </c>
      <c r="T105" s="62">
        <f t="shared" si="88"/>
        <v>297.32483725004136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0.13104794139824533</v>
      </c>
      <c r="AA105" s="23">
        <f>EXP(-LN(2)/25)*AA104+(1-EXP(-LN(2)/25))/(LN(2)/25)*Calculateur!V105*Calculateur!X105*VLOOKUP('Données projet'!$B$9,Paramètres!$A$1:$I$89,3,0)*0.475*44/12</f>
        <v>0.35463406738598302</v>
      </c>
      <c r="AB105" s="23">
        <f>EXP(-LN(2)/2)*AB104+(1-EXP(-LN(2)/2))/(LN(2)/2)*V105*Y105*VLOOKUP('Données projet'!$B$9,Paramètres!$A$1:$I$89,3,0)*0.475*44/12</f>
        <v>4.5372869541913151E-11</v>
      </c>
      <c r="AC105" s="24">
        <f t="shared" si="57"/>
        <v>0.48568200882960122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8.516666666666671</v>
      </c>
      <c r="AI105" s="14">
        <f>IF('Données projet'!$A$62&gt;35,AI104+AH105-AQ104,IF(A105&lt;'Données projet'!$A$62,$AF$205^A105,IF(A105='Données projet'!$A$62,'Données projet'!$B$62,AI104+AH105-AQ104)))</f>
        <v>331.1299999999996</v>
      </c>
      <c r="AJ105" s="14">
        <f>AI105*VLOOKUP('Données projet'!$B$10,Paramètres!$A$1:$I$89,3,0)*VLOOKUP('Données projet'!$B$10,Paramètres!$A$1:$I$89,5,0)</f>
        <v>154.9688399999998</v>
      </c>
      <c r="AK105" s="14">
        <f t="shared" si="89"/>
        <v>39.70562174554874</v>
      </c>
      <c r="AL105" s="22">
        <f t="shared" si="58"/>
        <v>339.05802087349701</v>
      </c>
      <c r="AM105" s="62">
        <f t="shared" si="59"/>
        <v>617.00995694847995</v>
      </c>
      <c r="AN105" s="62">
        <f ca="1">AVERAGE(OFFSET($AM$3,0,0,'Données projet'!$E$10+1,1))-AVERAGE(OFFSET($H$3,0,0,'Données projet'!$E$10+1,1))</f>
        <v>348.76787471354476</v>
      </c>
      <c r="AO105" s="62">
        <f t="shared" si="90"/>
        <v>258.31503417978615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59.385225562404884</v>
      </c>
      <c r="BJ105" s="62">
        <f t="shared" si="92"/>
        <v>285.5244298970598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11.97609031720318</v>
      </c>
      <c r="BQ105" s="23">
        <f>EXP(-LN(2)/25)*BQ104+(1-EXP(-LN(2)/25))/(LN(2)/25)*Calculateur!BL105*Calculateur!BN105*VLOOKUP('Données projet'!$B$11,Paramètres!$A$1:$I$89,3,0)*0.475*44/12</f>
        <v>1.5575198951240647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13.533610212327245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5.4</v>
      </c>
      <c r="BY105" s="13">
        <f>IF('Données projet'!$A$114&gt;35,BY104+BX105-CG104,IF(A105&lt;'Données projet'!$A$114,$BV$205^A105,IF(A105='Données projet'!$A$114,'Données projet'!$B$114,BY104+BX105-CG104)))</f>
        <v>316.79999999999995</v>
      </c>
      <c r="BZ105" s="14">
        <f>BY105*VLOOKUP('Données projet'!$B$12,Paramètres!$A$1:$I$89,3,0)*VLOOKUP('Données projet'!$B$12,Paramètres!$A$1:$I$89,5,0)</f>
        <v>321.23519999999996</v>
      </c>
      <c r="CA105" s="14">
        <f t="shared" si="93"/>
        <v>75.610303390297929</v>
      </c>
      <c r="CB105" s="22">
        <f t="shared" si="64"/>
        <v>691.17258507143549</v>
      </c>
      <c r="CC105" s="62">
        <f t="shared" si="65"/>
        <v>969.12452114641837</v>
      </c>
      <c r="CD105" s="62">
        <f ca="1">AVERAGE(OFFSET($CC$3,0,0,'Données projet'!$E$12+1,1))-AVERAGE(OFFSET($H$3,0,0,'Données projet'!$E$12+1,1))</f>
        <v>520.80494930257237</v>
      </c>
      <c r="CE105" s="62">
        <f t="shared" si="94"/>
        <v>325.72635759450861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0.14686407225665429</v>
      </c>
      <c r="CL105" s="23">
        <f>EXP(-LN(2)/25)*CL104+(1-EXP(-LN(2)/25))/(LN(2)/25)*Calculateur!CG105*Calculateur!CI105*VLOOKUP('Données projet'!$B$12,Paramètres!$A$1:$I$89,3,0)*0.475*44/12</f>
        <v>0.39743473069118807</v>
      </c>
      <c r="CM105" s="23">
        <f>EXP(-LN(2)/2)*CM104+(1-EXP(-LN(2)/2))/(LN(2)/2)*CG105*CJ105*VLOOKUP('Données projet'!$B$12,Paramètres!$A$1:$I$89,3,0)*0.475*44/12</f>
        <v>5.0848905521109555E-11</v>
      </c>
      <c r="CN105" s="24">
        <f t="shared" si="66"/>
        <v>0.54429880299869127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906.82757039833041</v>
      </c>
      <c r="S106" s="62">
        <f ca="1">AVERAGE(OFFSET($R$3,0,0,'Données projet'!$E$9+1,1))-AVERAGE(OFFSET($H$3,0,0,'Données projet'!$E$9+1,1))</f>
        <v>472.83070477639035</v>
      </c>
      <c r="T106" s="62">
        <f t="shared" si="88"/>
        <v>297.32483725004136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0.12847817119877741</v>
      </c>
      <c r="AA106" s="23">
        <f>EXP(-LN(2)/25)*AA105+(1-EXP(-LN(2)/25))/(LN(2)/25)*Calculateur!V106*Calculateur!X106*VLOOKUP('Données projet'!$B$9,Paramètres!$A$1:$I$89,3,0)*0.475*44/12</f>
        <v>0.34493658016391826</v>
      </c>
      <c r="AB106" s="23">
        <f>EXP(-LN(2)/2)*AB105+(1-EXP(-LN(2)/2))/(LN(2)/2)*V106*Y106*VLOOKUP('Données projet'!$B$9,Paramètres!$A$1:$I$89,3,0)*0.475*44/12</f>
        <v>3.2083463734979348E-11</v>
      </c>
      <c r="AC106" s="24">
        <f t="shared" si="57"/>
        <v>0.47341475139477912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8.516666666666671</v>
      </c>
      <c r="AI106" s="14">
        <f>IF('Données projet'!$A$62&gt;35,AI105+AH106-AQ105,IF(A106&lt;'Données projet'!$A$62,$AF$205^A106,IF(A106='Données projet'!$A$62,'Données projet'!$B$62,AI105+AH106-AQ105)))</f>
        <v>339.64666666666625</v>
      </c>
      <c r="AJ106" s="14">
        <f>AI106*VLOOKUP('Données projet'!$B$10,Paramètres!$A$1:$I$89,3,0)*VLOOKUP('Données projet'!$B$10,Paramètres!$A$1:$I$89,5,0)</f>
        <v>158.95463999999981</v>
      </c>
      <c r="AK106" s="14">
        <f t="shared" si="89"/>
        <v>40.606641665261066</v>
      </c>
      <c r="AL106" s="22">
        <f t="shared" si="58"/>
        <v>347.56923223366266</v>
      </c>
      <c r="AM106" s="62">
        <f t="shared" si="59"/>
        <v>625.78800116342541</v>
      </c>
      <c r="AN106" s="62">
        <f ca="1">AVERAGE(OFFSET($AM$3,0,0,'Données projet'!$E$10+1,1))-AVERAGE(OFFSET($H$3,0,0,'Données projet'!$E$10+1,1))</f>
        <v>348.76787471354476</v>
      </c>
      <c r="AO106" s="62">
        <f t="shared" si="90"/>
        <v>258.31503417978615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59.385225562404884</v>
      </c>
      <c r="BJ106" s="62">
        <f t="shared" si="92"/>
        <v>285.5244298970598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11.741246490776641</v>
      </c>
      <c r="BQ106" s="23">
        <f>EXP(-LN(2)/25)*BQ105+(1-EXP(-LN(2)/25))/(LN(2)/25)*Calculateur!BL106*Calculateur!BN106*VLOOKUP('Données projet'!$B$11,Paramètres!$A$1:$I$89,3,0)*0.475*44/12</f>
        <v>1.5149294316854858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13.256175922462127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5.4</v>
      </c>
      <c r="BY106" s="13">
        <f>IF('Données projet'!$A$114&gt;35,BY105+BX106-CG105,IF(A106&lt;'Données projet'!$A$114,$BV$205^A106,IF(A106='Données projet'!$A$114,'Données projet'!$B$114,BY105+BX106-CG105)))</f>
        <v>322.19999999999993</v>
      </c>
      <c r="BZ106" s="14">
        <f>BY106*VLOOKUP('Données projet'!$B$12,Paramètres!$A$1:$I$89,3,0)*VLOOKUP('Données projet'!$B$12,Paramètres!$A$1:$I$89,5,0)</f>
        <v>326.71079999999995</v>
      </c>
      <c r="CA106" s="14">
        <f t="shared" si="93"/>
        <v>76.747975030799893</v>
      </c>
      <c r="CB106" s="22">
        <f t="shared" si="64"/>
        <v>702.69069984530972</v>
      </c>
      <c r="CC106" s="62">
        <f t="shared" si="65"/>
        <v>980.90946877507236</v>
      </c>
      <c r="CD106" s="62">
        <f ca="1">AVERAGE(OFFSET($CC$3,0,0,'Données projet'!$E$12+1,1))-AVERAGE(OFFSET($H$3,0,0,'Données projet'!$E$12+1,1))</f>
        <v>520.80494930257237</v>
      </c>
      <c r="CE106" s="62">
        <f t="shared" si="94"/>
        <v>325.72635759450861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0.14398415737794026</v>
      </c>
      <c r="CL106" s="23">
        <f>EXP(-LN(2)/25)*CL105+(1-EXP(-LN(2)/25))/(LN(2)/25)*Calculateur!CG106*Calculateur!CI106*VLOOKUP('Données projet'!$B$12,Paramètres!$A$1:$I$89,3,0)*0.475*44/12</f>
        <v>0.3865668570802534</v>
      </c>
      <c r="CM106" s="23">
        <f>EXP(-LN(2)/2)*CM105+(1-EXP(-LN(2)/2))/(LN(2)/2)*CG106*CJ106*VLOOKUP('Données projet'!$B$12,Paramètres!$A$1:$I$89,3,0)*0.475*44/12</f>
        <v>3.5955605909890642E-11</v>
      </c>
      <c r="CN106" s="24">
        <f t="shared" si="66"/>
        <v>0.53055101449414921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917.38759085609695</v>
      </c>
      <c r="S107" s="62">
        <f ca="1">AVERAGE(OFFSET($R$3,0,0,'Données projet'!$E$9+1,1))-AVERAGE(OFFSET($H$3,0,0,'Données projet'!$E$9+1,1))</f>
        <v>472.83070477639035</v>
      </c>
      <c r="T107" s="62">
        <f t="shared" si="88"/>
        <v>297.32483725004136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0.12595879262551601</v>
      </c>
      <c r="AA107" s="23">
        <f>EXP(-LN(2)/25)*AA106+(1-EXP(-LN(2)/25))/(LN(2)/25)*Calculateur!V107*Calculateur!X107*VLOOKUP('Données projet'!$B$9,Paramètres!$A$1:$I$89,3,0)*0.475*44/12</f>
        <v>0.3355042712399095</v>
      </c>
      <c r="AB107" s="23">
        <f>EXP(-LN(2)/2)*AB106+(1-EXP(-LN(2)/2))/(LN(2)/2)*V107*Y107*VLOOKUP('Données projet'!$B$9,Paramètres!$A$1:$I$89,3,0)*0.475*44/12</f>
        <v>2.2686434770956575E-11</v>
      </c>
      <c r="AC107" s="24">
        <f t="shared" si="57"/>
        <v>0.46146306388811192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8.516666666666671</v>
      </c>
      <c r="AI107" s="14">
        <f>IF('Données projet'!$A$62&gt;35,AI106+AH107-AQ106,IF(A107&lt;'Données projet'!$A$62,$AF$205^A107,IF(A107='Données projet'!$A$62,'Données projet'!$B$62,AI106+AH107-AQ106)))</f>
        <v>348.1633333333329</v>
      </c>
      <c r="AJ107" s="14">
        <f>AI107*VLOOKUP('Données projet'!$B$10,Paramètres!$A$1:$I$89,3,0)*VLOOKUP('Données projet'!$B$10,Paramètres!$A$1:$I$89,5,0)</f>
        <v>162.9404399999998</v>
      </c>
      <c r="AK107" s="14">
        <f t="shared" si="89"/>
        <v>41.505035286244862</v>
      </c>
      <c r="AL107" s="22">
        <f t="shared" si="58"/>
        <v>356.07586945687609</v>
      </c>
      <c r="AM107" s="62">
        <f t="shared" si="59"/>
        <v>634.556842287937</v>
      </c>
      <c r="AN107" s="62">
        <f ca="1">AVERAGE(OFFSET($AM$3,0,0,'Données projet'!$E$10+1,1))-AVERAGE(OFFSET($H$3,0,0,'Données projet'!$E$10+1,1))</f>
        <v>348.76787471354476</v>
      </c>
      <c r="AO107" s="62">
        <f t="shared" si="90"/>
        <v>258.31503417978615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59.385225562404884</v>
      </c>
      <c r="BJ107" s="62">
        <f t="shared" si="92"/>
        <v>285.5244298970598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11.511007808545736</v>
      </c>
      <c r="BQ107" s="23">
        <f>EXP(-LN(2)/25)*BQ106+(1-EXP(-LN(2)/25))/(LN(2)/25)*Calculateur!BL107*Calculateur!BN107*VLOOKUP('Données projet'!$B$11,Paramètres!$A$1:$I$89,3,0)*0.475*44/12</f>
        <v>1.4735036067093699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12.984511415255106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5.4</v>
      </c>
      <c r="BY107" s="13">
        <f>IF('Données projet'!$A$114&gt;35,BY106+BX107-CG106,IF(A107&lt;'Données projet'!$A$114,$BV$205^A107,IF(A107='Données projet'!$A$114,'Données projet'!$B$114,BY106+BX107-CG106)))</f>
        <v>327.59999999999991</v>
      </c>
      <c r="BZ107" s="14">
        <f>BY107*VLOOKUP('Données projet'!$B$12,Paramètres!$A$1:$I$89,3,0)*VLOOKUP('Données projet'!$B$12,Paramètres!$A$1:$I$89,5,0)</f>
        <v>332.18639999999994</v>
      </c>
      <c r="CA107" s="14">
        <f t="shared" si="93"/>
        <v>77.88342931194974</v>
      </c>
      <c r="CB107" s="22">
        <f t="shared" si="64"/>
        <v>714.20495271831226</v>
      </c>
      <c r="CC107" s="62">
        <f t="shared" si="65"/>
        <v>992.68592554937322</v>
      </c>
      <c r="CD107" s="62">
        <f ca="1">AVERAGE(OFFSET($CC$3,0,0,'Données projet'!$E$12+1,1))-AVERAGE(OFFSET($H$3,0,0,'Données projet'!$E$12+1,1))</f>
        <v>520.80494930257237</v>
      </c>
      <c r="CE107" s="62">
        <f t="shared" si="94"/>
        <v>325.72635759450861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0.14116071587342319</v>
      </c>
      <c r="CL107" s="23">
        <f>EXP(-LN(2)/25)*CL106+(1-EXP(-LN(2)/25))/(LN(2)/25)*Calculateur!CG107*Calculateur!CI107*VLOOKUP('Données projet'!$B$12,Paramètres!$A$1:$I$89,3,0)*0.475*44/12</f>
        <v>0.37599616604472635</v>
      </c>
      <c r="CM107" s="23">
        <f>EXP(-LN(2)/2)*CM106+(1-EXP(-LN(2)/2))/(LN(2)/2)*CG107*CJ107*VLOOKUP('Données projet'!$B$12,Paramètres!$A$1:$I$89,3,0)*0.475*44/12</f>
        <v>2.5424452760554777E-11</v>
      </c>
      <c r="CN107" s="24">
        <f t="shared" si="66"/>
        <v>0.51715688194357401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927.93963485431334</v>
      </c>
      <c r="S108" s="62">
        <f ca="1">AVERAGE(OFFSET($R$3,0,0,'Données projet'!$E$9+1,1))-AVERAGE(OFFSET($H$3,0,0,'Données projet'!$E$9+1,1))</f>
        <v>472.83070477639035</v>
      </c>
      <c r="T108" s="62">
        <f t="shared" si="88"/>
        <v>297.32483725004136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0.12348881752940709</v>
      </c>
      <c r="AA108" s="23">
        <f>EXP(-LN(2)/25)*AA107+(1-EXP(-LN(2)/25))/(LN(2)/25)*Calculateur!V108*Calculateur!X108*VLOOKUP('Données projet'!$B$9,Paramètres!$A$1:$I$89,3,0)*0.475*44/12</f>
        <v>0.32632988929945134</v>
      </c>
      <c r="AB108" s="23">
        <f>EXP(-LN(2)/2)*AB107+(1-EXP(-LN(2)/2))/(LN(2)/2)*V108*Y108*VLOOKUP('Données projet'!$B$9,Paramètres!$A$1:$I$89,3,0)*0.475*44/12</f>
        <v>1.6041731867489674E-11</v>
      </c>
      <c r="AC108" s="24">
        <f t="shared" si="57"/>
        <v>0.44981870684490016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356.68</v>
      </c>
      <c r="AG108" s="13">
        <f>VLOOKUP(A108,'Données projet'!$A$61:$I$81,9,0)</f>
        <v>8.516666666666671</v>
      </c>
      <c r="AH108" s="13">
        <f t="array" ref="AH108">INDEX(AG:AG,MIN(IF(ISNUMBER(AG108:AG304),ROW(AG108:AG304),"")))</f>
        <v>8.516666666666671</v>
      </c>
      <c r="AI108" s="14">
        <f>IF('Données projet'!$A$62&gt;35,AI107+AH108-AQ107,IF(A108&lt;'Données projet'!$A$62,$AF$205^A108,IF(A108='Données projet'!$A$62,'Données projet'!$B$62,AI107+AH108-AQ107)))</f>
        <v>356.67999999999955</v>
      </c>
      <c r="AJ108" s="14">
        <f>AI108*VLOOKUP('Données projet'!$B$10,Paramètres!$A$1:$I$89,3,0)*VLOOKUP('Données projet'!$B$10,Paramètres!$A$1:$I$89,5,0)</f>
        <v>166.92623999999978</v>
      </c>
      <c r="AK108" s="14">
        <f t="shared" si="89"/>
        <v>42.400874242636554</v>
      </c>
      <c r="AL108" s="22">
        <f t="shared" si="58"/>
        <v>364.57805730592491</v>
      </c>
      <c r="AM108" s="62">
        <f t="shared" si="59"/>
        <v>643.31668538679673</v>
      </c>
      <c r="AN108" s="62">
        <f ca="1">AVERAGE(OFFSET($AM$3,0,0,'Données projet'!$E$10+1,1))-AVERAGE(OFFSET($H$3,0,0,'Données projet'!$E$10+1,1))</f>
        <v>348.76787471354476</v>
      </c>
      <c r="AO108" s="62">
        <f t="shared" si="90"/>
        <v>258.31503417978615</v>
      </c>
      <c r="AP108" s="16">
        <f>IF(ISNA(VLOOKUP(A108,'Données projet'!$A$61:$I$81,3,0)),0,VLOOKUP(A108,'Données projet'!$A$61:$I$81,3,0))</f>
        <v>20</v>
      </c>
      <c r="AQ108" s="16">
        <f>IF(ISNA(VLOOKUP(A108,'Données projet'!$A$61:$I$81,4,0)),0,VLOOKUP(A108,'Données projet'!$A$61:$I$81,4,0))</f>
        <v>356.68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59.385225562404884</v>
      </c>
      <c r="BJ108" s="62">
        <f t="shared" si="92"/>
        <v>285.5244298970598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11.28528396644165</v>
      </c>
      <c r="BQ108" s="23">
        <f>EXP(-LN(2)/25)*BQ107+(1-EXP(-LN(2)/25))/(LN(2)/25)*Calculateur!BL108*Calculateur!BN108*VLOOKUP('Données projet'!$B$11,Paramètres!$A$1:$I$89,3,0)*0.475*44/12</f>
        <v>1.4332105730957152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12.718494539537366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333</v>
      </c>
      <c r="BW108" s="13">
        <f>VLOOKUP(A108,'Données projet'!$A$113:$I$133,9,0)</f>
        <v>5.4</v>
      </c>
      <c r="BX108" s="13">
        <f t="array" ref="BX108">INDEX(BW:BW,MIN(IF(ISNUMBER(BW108:BW304),ROW(BW108:BW304),"")))</f>
        <v>5.4</v>
      </c>
      <c r="BY108" s="13">
        <f>IF('Données projet'!$A$114&gt;35,BY107+BX108-CG107,IF(A108&lt;'Données projet'!$A$114,$BV$205^A108,IF(A108='Données projet'!$A$114,'Données projet'!$B$114,BY107+BX108-CG107)))</f>
        <v>332.99999999999989</v>
      </c>
      <c r="BZ108" s="14">
        <f>BY108*VLOOKUP('Données projet'!$B$12,Paramètres!$A$1:$I$89,3,0)*VLOOKUP('Données projet'!$B$12,Paramètres!$A$1:$I$89,5,0)</f>
        <v>337.66199999999992</v>
      </c>
      <c r="CA108" s="14">
        <f t="shared" si="93"/>
        <v>79.016707002632685</v>
      </c>
      <c r="CB108" s="22">
        <f t="shared" si="64"/>
        <v>725.71541469625174</v>
      </c>
      <c r="CC108" s="62">
        <f t="shared" si="65"/>
        <v>1004.4540427771235</v>
      </c>
      <c r="CD108" s="62">
        <f ca="1">AVERAGE(OFFSET($CC$3,0,0,'Données projet'!$E$12+1,1))-AVERAGE(OFFSET($H$3,0,0,'Données projet'!$E$12+1,1))</f>
        <v>520.80494930257237</v>
      </c>
      <c r="CE108" s="62">
        <f t="shared" si="94"/>
        <v>325.72635759450861</v>
      </c>
      <c r="CF108" s="16">
        <f>IF(ISNA(VLOOKUP(A108,'Données projet'!$A$113:$I$133,3,0)),0,VLOOKUP(A108,'Données projet'!$A$113:$I$133,3,0))</f>
        <v>18</v>
      </c>
      <c r="CG108" s="16">
        <f>IF(ISNA(VLOOKUP(A108,'Données projet'!$A$113:$I$133,4,0)),0,VLOOKUP(A108,'Données projet'!$A$113:$I$133,4,0))</f>
        <v>26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0.13839264033468041</v>
      </c>
      <c r="CL108" s="23">
        <f>EXP(-LN(2)/25)*CL107+(1-EXP(-LN(2)/25))/(LN(2)/25)*Calculateur!CG108*Calculateur!CI108*VLOOKUP('Données projet'!$B$12,Paramètres!$A$1:$I$89,3,0)*0.475*44/12</f>
        <v>0.3657145311114543</v>
      </c>
      <c r="CM108" s="23">
        <f>EXP(-LN(2)/2)*CM107+(1-EXP(-LN(2)/2))/(LN(2)/2)*CG108*CJ108*VLOOKUP('Données projet'!$B$12,Paramètres!$A$1:$I$89,3,0)*0.475*44/12</f>
        <v>1.7977802954945321E-11</v>
      </c>
      <c r="CN108" s="24">
        <f t="shared" si="66"/>
        <v>0.50410717146411255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888.13960246778947</v>
      </c>
      <c r="S109" s="62">
        <f ca="1">AVERAGE(OFFSET($R$3,0,0,'Données projet'!$E$9+1,1))-AVERAGE(OFFSET($H$3,0,0,'Données projet'!$E$9+1,1))</f>
        <v>472.83070477639035</v>
      </c>
      <c r="T109" s="62">
        <f t="shared" si="88"/>
        <v>297.32483725004136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0.12106727713839681</v>
      </c>
      <c r="AA109" s="23">
        <f>EXP(-LN(2)/25)*AA108+(1-EXP(-LN(2)/25))/(LN(2)/25)*Calculateur!V109*Calculateur!X109*VLOOKUP('Données projet'!$B$9,Paramètres!$A$1:$I$89,3,0)*0.475*44/12</f>
        <v>0.31740638131561477</v>
      </c>
      <c r="AB109" s="23">
        <f>EXP(-LN(2)/2)*AB108+(1-EXP(-LN(2)/2))/(LN(2)/2)*V109*Y109*VLOOKUP('Données projet'!$B$9,Paramètres!$A$1:$I$89,3,0)*0.475*44/12</f>
        <v>1.1343217385478288E-11</v>
      </c>
      <c r="AC109" s="24">
        <f t="shared" si="57"/>
        <v>0.4384736584653548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-4.5474735088646412E-13</v>
      </c>
      <c r="AJ109" s="14">
        <f>AI109*VLOOKUP('Données projet'!$B$10,Paramètres!$A$1:$I$89,3,0)*VLOOKUP('Données projet'!$B$10,Paramètres!$A$1:$I$89,5,0)</f>
        <v>-2.1282176021486519E-13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348.76787471354476</v>
      </c>
      <c r="AO109" s="62">
        <f t="shared" si="90"/>
        <v>258.31503417978615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59.385225562404884</v>
      </c>
      <c r="BJ109" s="62">
        <f t="shared" si="92"/>
        <v>285.5244298970598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11.063986431203276</v>
      </c>
      <c r="BQ109" s="23">
        <f>EXP(-LN(2)/25)*BQ108+(1-EXP(-LN(2)/25))/(LN(2)/25)*Calculateur!BL109*Calculateur!BN109*VLOOKUP('Données projet'!$B$11,Paramètres!$A$1:$I$89,3,0)*0.475*44/12</f>
        <v>1.3940193546051445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12.458005785808421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</v>
      </c>
      <c r="BY109" s="13">
        <f>IF('Données projet'!$A$114&gt;35,BY108+BX109-CG108,IF(A109&lt;'Données projet'!$A$114,$BV$205^A109,IF(A109='Données projet'!$A$114,'Données projet'!$B$114,BY108+BX109-CG108)))</f>
        <v>311.99999999999989</v>
      </c>
      <c r="BZ109" s="14">
        <f>BY109*VLOOKUP('Données projet'!$B$12,Paramètres!$A$1:$I$89,3,0)*VLOOKUP('Données projet'!$B$12,Paramètres!$A$1:$I$89,5,0)</f>
        <v>316.36799999999988</v>
      </c>
      <c r="CA109" s="14">
        <f t="shared" si="93"/>
        <v>74.597144109003438</v>
      </c>
      <c r="CB109" s="22">
        <f t="shared" si="64"/>
        <v>680.93095932318067</v>
      </c>
      <c r="CC109" s="62">
        <f t="shared" si="65"/>
        <v>959.92277291130972</v>
      </c>
      <c r="CD109" s="62">
        <f ca="1">AVERAGE(OFFSET($CC$3,0,0,'Données projet'!$E$12+1,1))-AVERAGE(OFFSET($H$3,0,0,'Données projet'!$E$12+1,1))</f>
        <v>520.80494930257237</v>
      </c>
      <c r="CE109" s="62">
        <f t="shared" si="94"/>
        <v>325.72635759450861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0.13567884506889302</v>
      </c>
      <c r="CL109" s="23">
        <f>EXP(-LN(2)/25)*CL108+(1-EXP(-LN(2)/25))/(LN(2)/25)*Calculateur!CG109*Calculateur!CI109*VLOOKUP('Données projet'!$B$12,Paramètres!$A$1:$I$89,3,0)*0.475*44/12</f>
        <v>0.35571404802612022</v>
      </c>
      <c r="CM109" s="23">
        <f>EXP(-LN(2)/2)*CM108+(1-EXP(-LN(2)/2))/(LN(2)/2)*CG109*CJ109*VLOOKUP('Données projet'!$B$12,Paramètres!$A$1:$I$89,3,0)*0.475*44/12</f>
        <v>1.2712226380277389E-11</v>
      </c>
      <c r="CN109" s="24">
        <f t="shared" si="66"/>
        <v>0.49139289310772544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897.92969277978546</v>
      </c>
      <c r="S110" s="62">
        <f ca="1">AVERAGE(OFFSET($R$3,0,0,'Données projet'!$E$9+1,1))-AVERAGE(OFFSET($H$3,0,0,'Données projet'!$E$9+1,1))</f>
        <v>472.83070477639035</v>
      </c>
      <c r="T110" s="62">
        <f t="shared" si="88"/>
        <v>297.32483725004136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0.11869322167746044</v>
      </c>
      <c r="AA110" s="23">
        <f>EXP(-LN(2)/25)*AA109+(1-EXP(-LN(2)/25))/(LN(2)/25)*Calculateur!V110*Calculateur!X110*VLOOKUP('Données projet'!$B$9,Paramètres!$A$1:$I$89,3,0)*0.475*44/12</f>
        <v>0.30872688712686314</v>
      </c>
      <c r="AB110" s="23">
        <f>EXP(-LN(2)/2)*AB109+(1-EXP(-LN(2)/2))/(LN(2)/2)*V110*Y110*VLOOKUP('Données projet'!$B$9,Paramètres!$A$1:$I$89,3,0)*0.475*44/12</f>
        <v>8.0208659337448371E-12</v>
      </c>
      <c r="AC110" s="24">
        <f t="shared" si="57"/>
        <v>0.42742010881234443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-4.5474735088646412E-13</v>
      </c>
      <c r="AJ110" s="14">
        <f>AI110*VLOOKUP('Données projet'!$B$10,Paramètres!$A$1:$I$89,3,0)*VLOOKUP('Données projet'!$B$10,Paramètres!$A$1:$I$89,5,0)</f>
        <v>-2.1282176021486519E-13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348.76787471354476</v>
      </c>
      <c r="AO110" s="62">
        <f t="shared" si="90"/>
        <v>258.31503417978615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59.385225562404884</v>
      </c>
      <c r="BJ110" s="62">
        <f t="shared" si="92"/>
        <v>285.5244298970598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10.847028405652757</v>
      </c>
      <c r="BQ110" s="23">
        <f>EXP(-LN(2)/25)*BQ109+(1-EXP(-LN(2)/25))/(LN(2)/25)*Calculateur!BL110*Calculateur!BN110*VLOOKUP('Données projet'!$B$11,Paramètres!$A$1:$I$89,3,0)*0.475*44/12</f>
        <v>1.355899822045175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12.202928227697932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</v>
      </c>
      <c r="BY110" s="13">
        <f>IF('Données projet'!$A$114&gt;35,BY109+BX110-CG109,IF(A110&lt;'Données projet'!$A$114,$BV$205^A110,IF(A110='Données projet'!$A$114,'Données projet'!$B$114,BY109+BX110-CG109)))</f>
        <v>316.99999999999989</v>
      </c>
      <c r="BZ110" s="14">
        <f>BY110*VLOOKUP('Données projet'!$B$12,Paramètres!$A$1:$I$89,3,0)*VLOOKUP('Données projet'!$B$12,Paramètres!$A$1:$I$89,5,0)</f>
        <v>321.43799999999987</v>
      </c>
      <c r="CA110" s="14">
        <f t="shared" si="93"/>
        <v>75.652479406660177</v>
      </c>
      <c r="CB110" s="22">
        <f t="shared" si="64"/>
        <v>691.59925163326625</v>
      </c>
      <c r="CC110" s="62">
        <f t="shared" si="65"/>
        <v>970.83985852613989</v>
      </c>
      <c r="CD110" s="62">
        <f ca="1">AVERAGE(OFFSET($CC$3,0,0,'Données projet'!$E$12+1,1))-AVERAGE(OFFSET($H$3,0,0,'Données projet'!$E$12+1,1))</f>
        <v>520.80494930257237</v>
      </c>
      <c r="CE110" s="62">
        <f t="shared" si="94"/>
        <v>325.72635759450861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0.13301826567301606</v>
      </c>
      <c r="CL110" s="23">
        <f>EXP(-LN(2)/25)*CL109+(1-EXP(-LN(2)/25))/(LN(2)/25)*Calculateur!CG110*Calculateur!CI110*VLOOKUP('Données projet'!$B$12,Paramètres!$A$1:$I$89,3,0)*0.475*44/12</f>
        <v>0.34598702867665715</v>
      </c>
      <c r="CM110" s="23">
        <f>EXP(-LN(2)/2)*CM109+(1-EXP(-LN(2)/2))/(LN(2)/2)*CG110*CJ110*VLOOKUP('Données projet'!$B$12,Paramètres!$A$1:$I$89,3,0)*0.475*44/12</f>
        <v>8.9889014774726604E-12</v>
      </c>
      <c r="CN110" s="24">
        <f t="shared" si="66"/>
        <v>0.47900529435866213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907.71241838629953</v>
      </c>
      <c r="S111" s="62">
        <f ca="1">AVERAGE(OFFSET($R$3,0,0,'Données projet'!$E$9+1,1))-AVERAGE(OFFSET($H$3,0,0,'Données projet'!$E$9+1,1))</f>
        <v>472.83070477639035</v>
      </c>
      <c r="T111" s="62">
        <f t="shared" si="88"/>
        <v>297.32483725004136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0.11636571999608218</v>
      </c>
      <c r="AA111" s="23">
        <f>EXP(-LN(2)/25)*AA110+(1-EXP(-LN(2)/25))/(LN(2)/25)*Calculateur!V111*Calculateur!X111*VLOOKUP('Données projet'!$B$9,Paramètres!$A$1:$I$89,3,0)*0.475*44/12</f>
        <v>0.30028473416313767</v>
      </c>
      <c r="AB111" s="23">
        <f>EXP(-LN(2)/2)*AB110+(1-EXP(-LN(2)/2))/(LN(2)/2)*V111*Y111*VLOOKUP('Données projet'!$B$9,Paramètres!$A$1:$I$89,3,0)*0.475*44/12</f>
        <v>5.6716086927391438E-12</v>
      </c>
      <c r="AC111" s="24">
        <f t="shared" si="57"/>
        <v>0.41665045416489149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-4.5474735088646412E-13</v>
      </c>
      <c r="AJ111" s="14">
        <f>AI111*VLOOKUP('Données projet'!$B$10,Paramètres!$A$1:$I$89,3,0)*VLOOKUP('Données projet'!$B$10,Paramètres!$A$1:$I$89,5,0)</f>
        <v>-2.1282176021486519E-13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348.76787471354476</v>
      </c>
      <c r="AO111" s="62">
        <f t="shared" si="90"/>
        <v>258.31503417978615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59.385225562404884</v>
      </c>
      <c r="BJ111" s="62">
        <f t="shared" si="92"/>
        <v>285.5244298970598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10.634324794651956</v>
      </c>
      <c r="BQ111" s="23">
        <f>EXP(-LN(2)/25)*BQ110+(1-EXP(-LN(2)/25))/(LN(2)/25)*Calculateur!BL111*Calculateur!BN111*VLOOKUP('Données projet'!$B$11,Paramètres!$A$1:$I$89,3,0)*0.475*44/12</f>
        <v>1.3188226701076771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11.953147464759633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</v>
      </c>
      <c r="BY111" s="13">
        <f>IF('Données projet'!$A$114&gt;35,BY110+BX111-CG110,IF(A111&lt;'Données projet'!$A$114,$BV$205^A111,IF(A111='Données projet'!$A$114,'Données projet'!$B$114,BY110+BX111-CG110)))</f>
        <v>321.99999999999989</v>
      </c>
      <c r="BZ111" s="14">
        <f>BY111*VLOOKUP('Données projet'!$B$12,Paramètres!$A$1:$I$89,3,0)*VLOOKUP('Données projet'!$B$12,Paramètres!$A$1:$I$89,5,0)</f>
        <v>326.50799999999987</v>
      </c>
      <c r="CA111" s="14">
        <f t="shared" si="93"/>
        <v>76.705878841344258</v>
      </c>
      <c r="CB111" s="22">
        <f t="shared" si="64"/>
        <v>702.26417231534106</v>
      </c>
      <c r="CC111" s="62">
        <f t="shared" si="65"/>
        <v>981.74925650534033</v>
      </c>
      <c r="CD111" s="62">
        <f ca="1">AVERAGE(OFFSET($CC$3,0,0,'Données projet'!$E$12+1,1))-AVERAGE(OFFSET($H$3,0,0,'Données projet'!$E$12+1,1))</f>
        <v>520.80494930257237</v>
      </c>
      <c r="CE111" s="62">
        <f t="shared" si="94"/>
        <v>325.72635759450861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0.13040985861629903</v>
      </c>
      <c r="CL111" s="23">
        <f>EXP(-LN(2)/25)*CL110+(1-EXP(-LN(2)/25))/(LN(2)/25)*Calculateur!CG111*Calculateur!CI111*VLOOKUP('Données projet'!$B$12,Paramètres!$A$1:$I$89,3,0)*0.475*44/12</f>
        <v>0.33652599518282689</v>
      </c>
      <c r="CM111" s="23">
        <f>EXP(-LN(2)/2)*CM110+(1-EXP(-LN(2)/2))/(LN(2)/2)*CG111*CJ111*VLOOKUP('Données projet'!$B$12,Paramètres!$A$1:$I$89,3,0)*0.475*44/12</f>
        <v>6.3561131901386943E-12</v>
      </c>
      <c r="CN111" s="24">
        <f t="shared" si="66"/>
        <v>0.46693585380548208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917.48790696736285</v>
      </c>
      <c r="S112" s="62">
        <f ca="1">AVERAGE(OFFSET($R$3,0,0,'Données projet'!$E$9+1,1))-AVERAGE(OFFSET($H$3,0,0,'Données projet'!$E$9+1,1))</f>
        <v>472.83070477639035</v>
      </c>
      <c r="T112" s="62">
        <f t="shared" si="88"/>
        <v>297.32483725004136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0.1140838592030399</v>
      </c>
      <c r="AA112" s="23">
        <f>EXP(-LN(2)/25)*AA111+(1-EXP(-LN(2)/25))/(LN(2)/25)*Calculateur!V112*Calculateur!X112*VLOOKUP('Données projet'!$B$9,Paramètres!$A$1:$I$89,3,0)*0.475*44/12</f>
        <v>0.29207343231615879</v>
      </c>
      <c r="AB112" s="23">
        <f>EXP(-LN(2)/2)*AB111+(1-EXP(-LN(2)/2))/(LN(2)/2)*V112*Y112*VLOOKUP('Données projet'!$B$9,Paramètres!$A$1:$I$89,3,0)*0.475*44/12</f>
        <v>4.0104329668724186E-12</v>
      </c>
      <c r="AC112" s="24">
        <f t="shared" si="57"/>
        <v>0.40615729152320912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-4.5474735088646412E-13</v>
      </c>
      <c r="AJ112" s="14">
        <f>AI112*VLOOKUP('Données projet'!$B$10,Paramètres!$A$1:$I$89,3,0)*VLOOKUP('Données projet'!$B$10,Paramètres!$A$1:$I$89,5,0)</f>
        <v>-2.1282176021486519E-13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348.76787471354476</v>
      </c>
      <c r="AO112" s="62">
        <f t="shared" si="90"/>
        <v>258.31503417978615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59.385225562404884</v>
      </c>
      <c r="BJ112" s="62">
        <f t="shared" si="92"/>
        <v>285.5244298970598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10.425792171726487</v>
      </c>
      <c r="BQ112" s="23">
        <f>EXP(-LN(2)/25)*BQ111+(1-EXP(-LN(2)/25))/(LN(2)/25)*Calculateur!BL112*Calculateur!BN112*VLOOKUP('Données projet'!$B$11,Paramètres!$A$1:$I$89,3,0)*0.475*44/12</f>
        <v>1.2827593948397127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11.7085515665662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</v>
      </c>
      <c r="BY112" s="13">
        <f>IF('Données projet'!$A$114&gt;35,BY111+BX112-CG111,IF(A112&lt;'Données projet'!$A$114,$BV$205^A112,IF(A112='Données projet'!$A$114,'Données projet'!$B$114,BY111+BX112-CG111)))</f>
        <v>326.99999999999989</v>
      </c>
      <c r="BZ112" s="14">
        <f>BY112*VLOOKUP('Données projet'!$B$12,Paramètres!$A$1:$I$89,3,0)*VLOOKUP('Données projet'!$B$12,Paramètres!$A$1:$I$89,5,0)</f>
        <v>331.57799999999992</v>
      </c>
      <c r="CA112" s="14">
        <f t="shared" si="93"/>
        <v>77.75737594442586</v>
      </c>
      <c r="CB112" s="22">
        <f t="shared" si="64"/>
        <v>712.92577976987479</v>
      </c>
      <c r="CC112" s="62">
        <f t="shared" si="65"/>
        <v>992.65110012246407</v>
      </c>
      <c r="CD112" s="62">
        <f ca="1">AVERAGE(OFFSET($CC$3,0,0,'Données projet'!$E$12+1,1))-AVERAGE(OFFSET($H$3,0,0,'Données projet'!$E$12+1,1))</f>
        <v>520.80494930257237</v>
      </c>
      <c r="CE112" s="62">
        <f t="shared" si="94"/>
        <v>325.72635759450861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0.12785260083099304</v>
      </c>
      <c r="CL112" s="23">
        <f>EXP(-LN(2)/25)*CL111+(1-EXP(-LN(2)/25))/(LN(2)/25)*Calculateur!CG112*Calculateur!CI112*VLOOKUP('Données projet'!$B$12,Paramètres!$A$1:$I$89,3,0)*0.475*44/12</f>
        <v>0.32732367414741953</v>
      </c>
      <c r="CM112" s="23">
        <f>EXP(-LN(2)/2)*CM111+(1-EXP(-LN(2)/2))/(LN(2)/2)*CG112*CJ112*VLOOKUP('Données projet'!$B$12,Paramètres!$A$1:$I$89,3,0)*0.475*44/12</f>
        <v>4.4944507387363302E-12</v>
      </c>
      <c r="CN112" s="24">
        <f t="shared" si="66"/>
        <v>0.45517627498290703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927.25628319657039</v>
      </c>
      <c r="S113" s="62">
        <f ca="1">AVERAGE(OFFSET($R$3,0,0,'Données projet'!$E$9+1,1))-AVERAGE(OFFSET($H$3,0,0,'Données projet'!$E$9+1,1))</f>
        <v>472.83070477639035</v>
      </c>
      <c r="T113" s="62">
        <f t="shared" si="88"/>
        <v>297.32483725004136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0.11184674430835152</v>
      </c>
      <c r="AA113" s="23">
        <f>EXP(-LN(2)/25)*AA112+(1-EXP(-LN(2)/25))/(LN(2)/25)*Calculateur!V113*Calculateur!X113*VLOOKUP('Données projet'!$B$9,Paramètres!$A$1:$I$89,3,0)*0.475*44/12</f>
        <v>0.28408666894999918</v>
      </c>
      <c r="AB113" s="23">
        <f>EXP(-LN(2)/2)*AB112+(1-EXP(-LN(2)/2))/(LN(2)/2)*V113*Y113*VLOOKUP('Données projet'!$B$9,Paramètres!$A$1:$I$89,3,0)*0.475*44/12</f>
        <v>2.8358043463695719E-12</v>
      </c>
      <c r="AC113" s="24">
        <f t="shared" si="57"/>
        <v>0.39593341326118647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-4.5474735088646412E-13</v>
      </c>
      <c r="AJ113" s="14">
        <f>AI113*VLOOKUP('Données projet'!$B$10,Paramètres!$A$1:$I$89,3,0)*VLOOKUP('Données projet'!$B$10,Paramètres!$A$1:$I$89,5,0)</f>
        <v>-2.1282176021486519E-13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348.76787471354476</v>
      </c>
      <c r="AO113" s="62">
        <f t="shared" si="90"/>
        <v>258.31503417978615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59.385225562404884</v>
      </c>
      <c r="BJ113" s="62">
        <f t="shared" si="92"/>
        <v>285.5244298970598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10.221348746344246</v>
      </c>
      <c r="BQ113" s="23">
        <f>EXP(-LN(2)/25)*BQ112+(1-EXP(-LN(2)/25))/(LN(2)/25)*Calculateur!BL113*Calculateur!BN113*VLOOKUP('Données projet'!$B$11,Paramètres!$A$1:$I$89,3,0)*0.475*44/12</f>
        <v>1.2476822717304359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11.469031018074682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332</v>
      </c>
      <c r="BW113" s="13">
        <f>VLOOKUP(A113,'Données projet'!$A$113:$I$133,9,0)</f>
        <v>5</v>
      </c>
      <c r="BX113" s="13">
        <f t="array" ref="BX113">INDEX(BW:BW,MIN(IF(ISNUMBER(BW113:BW309),ROW(BW113:BW309),"")))</f>
        <v>5</v>
      </c>
      <c r="BY113" s="13">
        <f>IF('Données projet'!$A$114&gt;35,BY112+BX113-CG112,IF(A113&lt;'Données projet'!$A$114,$BV$205^A113,IF(A113='Données projet'!$A$114,'Données projet'!$B$114,BY112+BX113-CG112)))</f>
        <v>331.99999999999989</v>
      </c>
      <c r="BZ113" s="14">
        <f>BY113*VLOOKUP('Données projet'!$B$12,Paramètres!$A$1:$I$89,3,0)*VLOOKUP('Données projet'!$B$12,Paramètres!$A$1:$I$89,5,0)</f>
        <v>336.64799999999991</v>
      </c>
      <c r="CA113" s="14">
        <f t="shared" si="93"/>
        <v>78.807003163010307</v>
      </c>
      <c r="CB113" s="22">
        <f t="shared" si="64"/>
        <v>723.58413050890942</v>
      </c>
      <c r="CC113" s="62">
        <f t="shared" si="65"/>
        <v>1003.5455194637552</v>
      </c>
      <c r="CD113" s="62">
        <f ca="1">AVERAGE(OFFSET($CC$3,0,0,'Données projet'!$E$12+1,1))-AVERAGE(OFFSET($H$3,0,0,'Données projet'!$E$12+1,1))</f>
        <v>520.80494930257237</v>
      </c>
      <c r="CE113" s="62">
        <f t="shared" si="94"/>
        <v>325.72635759450861</v>
      </c>
      <c r="CF113" s="16">
        <f>IF(ISNA(VLOOKUP(A113,'Données projet'!$A$113:$I$133,3,0)),0,VLOOKUP(A113,'Données projet'!$A$113:$I$133,3,0))</f>
        <v>19</v>
      </c>
      <c r="CG113" s="16">
        <f>IF(ISNA(VLOOKUP(A113,'Données projet'!$A$113:$I$133,4,0)),0,VLOOKUP(A113,'Données projet'!$A$113:$I$133,4,0))</f>
        <v>25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0.12534548931108364</v>
      </c>
      <c r="CL113" s="23">
        <f>EXP(-LN(2)/25)*CL112+(1-EXP(-LN(2)/25))/(LN(2)/25)*Calculateur!CG113*Calculateur!CI113*VLOOKUP('Données projet'!$B$12,Paramètres!$A$1:$I$89,3,0)*0.475*44/12</f>
        <v>0.31837299106465444</v>
      </c>
      <c r="CM113" s="23">
        <f>EXP(-LN(2)/2)*CM112+(1-EXP(-LN(2)/2))/(LN(2)/2)*CG113*CJ113*VLOOKUP('Données projet'!$B$12,Paramètres!$A$1:$I$89,3,0)*0.475*44/12</f>
        <v>3.1780565950693472E-12</v>
      </c>
      <c r="CN113" s="24">
        <f t="shared" si="66"/>
        <v>0.44371848037891615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4.5999999999999996</v>
      </c>
      <c r="N114" s="14">
        <f>IF('Données projet'!$A$36&gt;35,N113+M114-V113,IF(A114&lt;'Données projet'!$A$36,$K$205^A114,IF(A114='Données projet'!$A$36,'Données projet'!$B$36,N113+M114-V113)))</f>
        <v>311.59999999999991</v>
      </c>
      <c r="O114" s="14">
        <f>N114*VLOOKUP('Données projet'!$B$9,Paramètres!$A$1:$I$89,3,0)*VLOOKUP('Données projet'!$B$9,Paramètres!$A$1:$I$89,5,0)</f>
        <v>281.93567999999988</v>
      </c>
      <c r="P114" s="14">
        <f t="shared" si="87"/>
        <v>67.375909546040361</v>
      </c>
      <c r="Q114" s="22">
        <f t="shared" si="107"/>
        <v>608.38435179268674</v>
      </c>
      <c r="R114" s="62">
        <f t="shared" si="55"/>
        <v>888.57771408731037</v>
      </c>
      <c r="S114" s="62">
        <f ca="1">AVERAGE(OFFSET($R$3,0,0,'Données projet'!$E$9+1,1))-AVERAGE(OFFSET($H$3,0,0,'Données projet'!$E$9+1,1))</f>
        <v>472.83070477639035</v>
      </c>
      <c r="T114" s="62">
        <f t="shared" si="88"/>
        <v>297.32483725004136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0.10965349787224263</v>
      </c>
      <c r="AA114" s="23">
        <f>EXP(-LN(2)/25)*AA113+(1-EXP(-LN(2)/25))/(LN(2)/25)*Calculateur!V114*Calculateur!X114*VLOOKUP('Données projet'!$B$9,Paramètres!$A$1:$I$89,3,0)*0.475*44/12</f>
        <v>0.27631830404809282</v>
      </c>
      <c r="AB114" s="23">
        <f>EXP(-LN(2)/2)*AB113+(1-EXP(-LN(2)/2))/(LN(2)/2)*V114*Y114*VLOOKUP('Données projet'!$B$9,Paramètres!$A$1:$I$89,3,0)*0.475*44/12</f>
        <v>2.0052164834362093E-12</v>
      </c>
      <c r="AC114" s="24">
        <f t="shared" si="57"/>
        <v>0.38597180192234065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-4.5474735088646412E-13</v>
      </c>
      <c r="AJ114" s="14">
        <f>AI114*VLOOKUP('Données projet'!$B$10,Paramètres!$A$1:$I$89,3,0)*VLOOKUP('Données projet'!$B$10,Paramètres!$A$1:$I$89,5,0)</f>
        <v>-2.1282176021486519E-13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348.76787471354476</v>
      </c>
      <c r="AO114" s="62">
        <f t="shared" si="90"/>
        <v>258.31503417978615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59.385225562404884</v>
      </c>
      <c r="BJ114" s="62">
        <f t="shared" si="92"/>
        <v>285.5244298970598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10.020914331835574</v>
      </c>
      <c r="BQ114" s="23">
        <f>EXP(-LN(2)/25)*BQ113+(1-EXP(-LN(2)/25))/(LN(2)/25)*Calculateur!BL114*Calculateur!BN114*VLOOKUP('Données projet'!$B$11,Paramètres!$A$1:$I$89,3,0)*0.475*44/12</f>
        <v>1.213564334397208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11.234478666232782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4.5999999999999996</v>
      </c>
      <c r="BY114" s="13">
        <f>IF('Données projet'!$A$114&gt;35,BY113+BX114-CG113,IF(A114&lt;'Données projet'!$A$114,$BV$205^A114,IF(A114='Données projet'!$A$114,'Données projet'!$B$114,BY113+BX114-CG113)))</f>
        <v>311.59999999999991</v>
      </c>
      <c r="BZ114" s="14">
        <f>BY114*VLOOKUP('Données projet'!$B$12,Paramètres!$A$1:$I$89,3,0)*VLOOKUP('Données projet'!$B$12,Paramètres!$A$1:$I$89,5,0)</f>
        <v>315.96239999999989</v>
      </c>
      <c r="CA114" s="14">
        <f t="shared" si="93"/>
        <v>74.512632625562503</v>
      </c>
      <c r="CB114" s="22">
        <f t="shared" si="64"/>
        <v>680.07734848952111</v>
      </c>
      <c r="CC114" s="62">
        <f t="shared" si="65"/>
        <v>960.27071078414474</v>
      </c>
      <c r="CD114" s="62">
        <f ca="1">AVERAGE(OFFSET($CC$3,0,0,'Données projet'!$E$12+1,1))-AVERAGE(OFFSET($H$3,0,0,'Données projet'!$E$12+1,1))</f>
        <v>520.80494930257237</v>
      </c>
      <c r="CE114" s="62">
        <f t="shared" si="94"/>
        <v>325.72635759450861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0.12288754071889264</v>
      </c>
      <c r="CL114" s="23">
        <f>EXP(-LN(2)/25)*CL113+(1-EXP(-LN(2)/25))/(LN(2)/25)*Calculateur!CG114*Calculateur!CI114*VLOOKUP('Données projet'!$B$12,Paramètres!$A$1:$I$89,3,0)*0.475*44/12</f>
        <v>0.30966706488148354</v>
      </c>
      <c r="CM114" s="23">
        <f>EXP(-LN(2)/2)*CM113+(1-EXP(-LN(2)/2))/(LN(2)/2)*CG114*CJ114*VLOOKUP('Données projet'!$B$12,Paramètres!$A$1:$I$89,3,0)*0.475*44/12</f>
        <v>2.2472253693681651E-12</v>
      </c>
      <c r="CN114" s="24">
        <f t="shared" si="66"/>
        <v>0.43255460560262338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4.5999999999999996</v>
      </c>
      <c r="N115" s="14">
        <f>IF('Données projet'!$A$36&gt;35,N114+M115-V114,IF(A115&lt;'Données projet'!$A$36,$K$205^A115,IF(A115='Données projet'!$A$36,'Données projet'!$B$36,N114+M115-V114)))</f>
        <v>316.19999999999993</v>
      </c>
      <c r="O115" s="14">
        <f>N115*VLOOKUP('Données projet'!$B$9,Paramètres!$A$1:$I$89,3,0)*VLOOKUP('Données projet'!$B$9,Paramètres!$A$1:$I$89,5,0)</f>
        <v>286.09775999999994</v>
      </c>
      <c r="P115" s="14">
        <f t="shared" si="87"/>
        <v>68.254020651723678</v>
      </c>
      <c r="Q115" s="22">
        <f t="shared" si="107"/>
        <v>617.16268463508527</v>
      </c>
      <c r="R115" s="62">
        <f t="shared" si="55"/>
        <v>897.5839960506562</v>
      </c>
      <c r="S115" s="62">
        <f ca="1">AVERAGE(OFFSET($R$3,0,0,'Données projet'!$E$9+1,1))-AVERAGE(OFFSET($H$3,0,0,'Données projet'!$E$9+1,1))</f>
        <v>472.83070477639035</v>
      </c>
      <c r="T115" s="62">
        <f t="shared" si="88"/>
        <v>297.32483725004136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0.10750325966099759</v>
      </c>
      <c r="AA115" s="23">
        <f>EXP(-LN(2)/25)*AA114+(1-EXP(-LN(2)/25))/(LN(2)/25)*Calculateur!V115*Calculateur!X115*VLOOKUP('Données projet'!$B$9,Paramètres!$A$1:$I$89,3,0)*0.475*44/12</f>
        <v>0.26876236549294963</v>
      </c>
      <c r="AB115" s="23">
        <f>EXP(-LN(2)/2)*AB114+(1-EXP(-LN(2)/2))/(LN(2)/2)*V115*Y115*VLOOKUP('Données projet'!$B$9,Paramètres!$A$1:$I$89,3,0)*0.475*44/12</f>
        <v>1.417902173184786E-12</v>
      </c>
      <c r="AC115" s="24">
        <f t="shared" si="57"/>
        <v>0.37626562515536516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-4.5474735088646412E-13</v>
      </c>
      <c r="AJ115" s="14">
        <f>AI115*VLOOKUP('Données projet'!$B$10,Paramètres!$A$1:$I$89,3,0)*VLOOKUP('Données projet'!$B$10,Paramètres!$A$1:$I$89,5,0)</f>
        <v>-2.1282176021486519E-13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348.76787471354476</v>
      </c>
      <c r="AO115" s="62">
        <f t="shared" si="90"/>
        <v>258.31503417978615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59.385225562404884</v>
      </c>
      <c r="BJ115" s="62">
        <f t="shared" si="92"/>
        <v>285.5244298970598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9.8244103139424954</v>
      </c>
      <c r="BQ115" s="23">
        <f>EXP(-LN(2)/25)*BQ114+(1-EXP(-LN(2)/25))/(LN(2)/25)*Calculateur!BL115*Calculateur!BN115*VLOOKUP('Données projet'!$B$11,Paramètres!$A$1:$I$89,3,0)*0.475*44/12</f>
        <v>1.1803793538545417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11.004789667797038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4.5999999999999996</v>
      </c>
      <c r="BY115" s="13">
        <f>IF('Données projet'!$A$114&gt;35,BY114+BX115-CG114,IF(A115&lt;'Données projet'!$A$114,$BV$205^A115,IF(A115='Données projet'!$A$114,'Données projet'!$B$114,BY114+BX115-CG114)))</f>
        <v>316.19999999999993</v>
      </c>
      <c r="BZ115" s="14">
        <f>BY115*VLOOKUP('Données projet'!$B$12,Paramètres!$A$1:$I$89,3,0)*VLOOKUP('Données projet'!$B$12,Paramètres!$A$1:$I$89,5,0)</f>
        <v>320.62679999999995</v>
      </c>
      <c r="CA115" s="14">
        <f t="shared" si="93"/>
        <v>75.483756735990909</v>
      </c>
      <c r="CB115" s="22">
        <f t="shared" si="64"/>
        <v>689.89255298185071</v>
      </c>
      <c r="CC115" s="62">
        <f t="shared" si="65"/>
        <v>970.31386439742164</v>
      </c>
      <c r="CD115" s="62">
        <f ca="1">AVERAGE(OFFSET($CC$3,0,0,'Données projet'!$E$12+1,1))-AVERAGE(OFFSET($H$3,0,0,'Données projet'!$E$12+1,1))</f>
        <v>520.80494930257237</v>
      </c>
      <c r="CE115" s="62">
        <f t="shared" si="94"/>
        <v>325.72635759450861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0.1204777909993939</v>
      </c>
      <c r="CL115" s="23">
        <f>EXP(-LN(2)/25)*CL114+(1-EXP(-LN(2)/25))/(LN(2)/25)*Calculateur!CG115*Calculateur!CI115*VLOOKUP('Données projet'!$B$12,Paramètres!$A$1:$I$89,3,0)*0.475*44/12</f>
        <v>0.30119920270761619</v>
      </c>
      <c r="CM115" s="23">
        <f>EXP(-LN(2)/2)*CM114+(1-EXP(-LN(2)/2))/(LN(2)/2)*CG115*CJ115*VLOOKUP('Données projet'!$B$12,Paramètres!$A$1:$I$89,3,0)*0.475*44/12</f>
        <v>1.5890282975346736E-12</v>
      </c>
      <c r="CN115" s="24">
        <f t="shared" si="66"/>
        <v>0.42167699370859907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4.5999999999999996</v>
      </c>
      <c r="N116" s="14">
        <f>IF('Données projet'!$A$36&gt;35,N115+M116-V115,IF(A116&lt;'Données projet'!$A$36,$K$205^A116,IF(A116='Données projet'!$A$36,'Données projet'!$B$36,N115+M116-V115)))</f>
        <v>320.79999999999995</v>
      </c>
      <c r="O116" s="14">
        <f>N116*VLOOKUP('Données projet'!$B$9,Paramètres!$A$1:$I$89,3,0)*VLOOKUP('Données projet'!$B$9,Paramètres!$A$1:$I$89,5,0)</f>
        <v>290.25983999999994</v>
      </c>
      <c r="P116" s="14">
        <f t="shared" si="87"/>
        <v>69.130646003237317</v>
      </c>
      <c r="Q116" s="22">
        <f t="shared" si="107"/>
        <v>625.93842978897146</v>
      </c>
      <c r="R116" s="62">
        <f t="shared" si="55"/>
        <v>906.58373591785903</v>
      </c>
      <c r="S116" s="62">
        <f ca="1">AVERAGE(OFFSET($R$3,0,0,'Données projet'!$E$9+1,1))-AVERAGE(OFFSET($H$3,0,0,'Données projet'!$E$9+1,1))</f>
        <v>472.83070477639035</v>
      </c>
      <c r="T116" s="62">
        <f t="shared" si="88"/>
        <v>297.32483725004136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0.10539518630955927</v>
      </c>
      <c r="AA116" s="23">
        <f>EXP(-LN(2)/25)*AA115+(1-EXP(-LN(2)/25))/(LN(2)/25)*Calculateur!V116*Calculateur!X116*VLOOKUP('Données projet'!$B$9,Paramètres!$A$1:$I$89,3,0)*0.475*44/12</f>
        <v>0.2614130444749464</v>
      </c>
      <c r="AB116" s="23">
        <f>EXP(-LN(2)/2)*AB115+(1-EXP(-LN(2)/2))/(LN(2)/2)*V116*Y116*VLOOKUP('Données projet'!$B$9,Paramètres!$A$1:$I$89,3,0)*0.475*44/12</f>
        <v>1.0026082417181046E-12</v>
      </c>
      <c r="AC116" s="24">
        <f t="shared" si="57"/>
        <v>0.36680823078550823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-4.5474735088646412E-13</v>
      </c>
      <c r="AJ116" s="14">
        <f>AI116*VLOOKUP('Données projet'!$B$10,Paramètres!$A$1:$I$89,3,0)*VLOOKUP('Données projet'!$B$10,Paramètres!$A$1:$I$89,5,0)</f>
        <v>-2.1282176021486519E-13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348.76787471354476</v>
      </c>
      <c r="AO116" s="62">
        <f t="shared" si="90"/>
        <v>258.31503417978615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59.385225562404884</v>
      </c>
      <c r="BJ116" s="62">
        <f t="shared" si="92"/>
        <v>285.5244298970598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9.6317596199846847</v>
      </c>
      <c r="BQ116" s="23">
        <f>EXP(-LN(2)/25)*BQ115+(1-EXP(-LN(2)/25))/(LN(2)/25)*Calculateur!BL116*Calculateur!BN116*VLOOKUP('Données projet'!$B$11,Paramètres!$A$1:$I$89,3,0)*0.475*44/12</f>
        <v>1.148101818349937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10.779861438334622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4.5999999999999996</v>
      </c>
      <c r="BY116" s="13">
        <f>IF('Données projet'!$A$114&gt;35,BY115+BX116-CG115,IF(A116&lt;'Données projet'!$A$114,$BV$205^A116,IF(A116='Données projet'!$A$114,'Données projet'!$B$114,BY115+BX116-CG115)))</f>
        <v>320.79999999999995</v>
      </c>
      <c r="BZ116" s="14">
        <f>BY116*VLOOKUP('Données projet'!$B$12,Paramètres!$A$1:$I$89,3,0)*VLOOKUP('Données projet'!$B$12,Paramètres!$A$1:$I$89,5,0)</f>
        <v>325.2912</v>
      </c>
      <c r="CA116" s="14">
        <f t="shared" si="93"/>
        <v>76.453237715285965</v>
      </c>
      <c r="CB116" s="22">
        <f t="shared" si="64"/>
        <v>699.70489568745631</v>
      </c>
      <c r="CC116" s="62">
        <f t="shared" si="65"/>
        <v>980.350201816344</v>
      </c>
      <c r="CD116" s="62">
        <f ca="1">AVERAGE(OFFSET($CC$3,0,0,'Données projet'!$E$12+1,1))-AVERAGE(OFFSET($H$3,0,0,'Données projet'!$E$12+1,1))</f>
        <v>520.80494930257237</v>
      </c>
      <c r="CE116" s="62">
        <f t="shared" si="94"/>
        <v>325.72635759450861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0.11811529500209234</v>
      </c>
      <c r="CL116" s="23">
        <f>EXP(-LN(2)/25)*CL115+(1-EXP(-LN(2)/25))/(LN(2)/25)*Calculateur!CG116*Calculateur!CI116*VLOOKUP('Données projet'!$B$12,Paramètres!$A$1:$I$89,3,0)*0.475*44/12</f>
        <v>0.29296289467019876</v>
      </c>
      <c r="CM116" s="23">
        <f>EXP(-LN(2)/2)*CM115+(1-EXP(-LN(2)/2))/(LN(2)/2)*CG116*CJ116*VLOOKUP('Données projet'!$B$12,Paramètres!$A$1:$I$89,3,0)*0.475*44/12</f>
        <v>1.1236126846840825E-12</v>
      </c>
      <c r="CN116" s="24">
        <f t="shared" si="66"/>
        <v>0.4110781896734147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4.5999999999999996</v>
      </c>
      <c r="N117" s="14">
        <f>IF('Données projet'!$A$36&gt;35,N116+M117-V116,IF(A117&lt;'Données projet'!$A$36,$K$205^A117,IF(A117='Données projet'!$A$36,'Données projet'!$B$36,N116+M117-V116)))</f>
        <v>325.39999999999998</v>
      </c>
      <c r="O117" s="14">
        <f>N117*VLOOKUP('Données projet'!$B$9,Paramètres!$A$1:$I$89,3,0)*VLOOKUP('Données projet'!$B$9,Paramètres!$A$1:$I$89,5,0)</f>
        <v>294.42191999999994</v>
      </c>
      <c r="P117" s="14">
        <f t="shared" si="87"/>
        <v>70.005809366676559</v>
      </c>
      <c r="Q117" s="22">
        <f t="shared" si="107"/>
        <v>634.71162864696146</v>
      </c>
      <c r="R117" s="62">
        <f t="shared" si="55"/>
        <v>915.57704368166696</v>
      </c>
      <c r="S117" s="62">
        <f ca="1">AVERAGE(OFFSET($R$3,0,0,'Données projet'!$E$9+1,1))-AVERAGE(OFFSET($H$3,0,0,'Données projet'!$E$9+1,1))</f>
        <v>472.83070477639035</v>
      </c>
      <c r="T117" s="62">
        <f t="shared" si="88"/>
        <v>297.32483725004136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0.10332845099074488</v>
      </c>
      <c r="AA117" s="23">
        <f>EXP(-LN(2)/25)*AA116+(1-EXP(-LN(2)/25))/(LN(2)/25)*Calculateur!V117*Calculateur!X117*VLOOKUP('Données projet'!$B$9,Paramètres!$A$1:$I$89,3,0)*0.475*44/12</f>
        <v>0.25426469102666444</v>
      </c>
      <c r="AB117" s="23">
        <f>EXP(-LN(2)/2)*AB116+(1-EXP(-LN(2)/2))/(LN(2)/2)*V117*Y117*VLOOKUP('Données projet'!$B$9,Paramètres!$A$1:$I$89,3,0)*0.475*44/12</f>
        <v>7.0895108659239298E-13</v>
      </c>
      <c r="AC117" s="24">
        <f t="shared" si="57"/>
        <v>0.35759314201811826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-4.5474735088646412E-13</v>
      </c>
      <c r="AJ117" s="14">
        <f>AI117*VLOOKUP('Données projet'!$B$10,Paramètres!$A$1:$I$89,3,0)*VLOOKUP('Données projet'!$B$10,Paramètres!$A$1:$I$89,5,0)</f>
        <v>-2.1282176021486519E-13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348.76787471354476</v>
      </c>
      <c r="AO117" s="62">
        <f t="shared" si="90"/>
        <v>258.31503417978615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59.385225562404884</v>
      </c>
      <c r="BJ117" s="62">
        <f t="shared" si="92"/>
        <v>285.5244298970598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9.4428866886300664</v>
      </c>
      <c r="BQ117" s="23">
        <f>EXP(-LN(2)/25)*BQ116+(1-EXP(-LN(2)/25))/(LN(2)/25)*Calculateur!BL117*Calculateur!BN117*VLOOKUP('Données projet'!$B$11,Paramètres!$A$1:$I$89,3,0)*0.475*44/12</f>
        <v>1.1167069137511074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10.559593602381174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4.5999999999999996</v>
      </c>
      <c r="BY117" s="13">
        <f>IF('Données projet'!$A$114&gt;35,BY116+BX117-CG116,IF(A117&lt;'Données projet'!$A$114,$BV$205^A117,IF(A117='Données projet'!$A$114,'Données projet'!$B$114,BY116+BX117-CG116)))</f>
        <v>325.39999999999998</v>
      </c>
      <c r="BZ117" s="14">
        <f>BY117*VLOOKUP('Données projet'!$B$12,Paramètres!$A$1:$I$89,3,0)*VLOOKUP('Données projet'!$B$12,Paramètres!$A$1:$I$89,5,0)</f>
        <v>329.9556</v>
      </c>
      <c r="CA117" s="14">
        <f t="shared" si="93"/>
        <v>77.421101846941795</v>
      </c>
      <c r="CB117" s="22">
        <f t="shared" si="64"/>
        <v>709.51442238342361</v>
      </c>
      <c r="CC117" s="62">
        <f t="shared" si="65"/>
        <v>990.379837418129</v>
      </c>
      <c r="CD117" s="62">
        <f ca="1">AVERAGE(OFFSET($CC$3,0,0,'Données projet'!$E$12+1,1))-AVERAGE(OFFSET($H$3,0,0,'Données projet'!$E$12+1,1))</f>
        <v>520.80494930257237</v>
      </c>
      <c r="CE117" s="62">
        <f t="shared" si="94"/>
        <v>325.72635759450861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0.11579912611031758</v>
      </c>
      <c r="CL117" s="23">
        <f>EXP(-LN(2)/25)*CL116+(1-EXP(-LN(2)/25))/(LN(2)/25)*Calculateur!CG117*Calculateur!CI117*VLOOKUP('Données projet'!$B$12,Paramètres!$A$1:$I$89,3,0)*0.475*44/12</f>
        <v>0.28495180890919314</v>
      </c>
      <c r="CM117" s="23">
        <f>EXP(-LN(2)/2)*CM116+(1-EXP(-LN(2)/2))/(LN(2)/2)*CG117*CJ117*VLOOKUP('Données projet'!$B$12,Paramètres!$A$1:$I$89,3,0)*0.475*44/12</f>
        <v>7.9451414876733679E-13</v>
      </c>
      <c r="CN117" s="24">
        <f t="shared" si="66"/>
        <v>0.40075093502030523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330</v>
      </c>
      <c r="L118" s="13">
        <f>VLOOKUP(A118,'Données projet'!$A$35:$I$55,9,0)</f>
        <v>4.5999999999999996</v>
      </c>
      <c r="M118" s="13">
        <f t="array" ref="M118">INDEX(L:L,MIN(IF(ISNUMBER(L118:L314),ROW(L118:L314),"")))</f>
        <v>4.5999999999999996</v>
      </c>
      <c r="N118" s="14">
        <f>IF('Données projet'!$A$36&gt;35,N117+M118-V117,IF(A118&lt;'Données projet'!$A$36,$K$205^A118,IF(A118='Données projet'!$A$36,'Données projet'!$B$36,N117+M118-V117)))</f>
        <v>330</v>
      </c>
      <c r="O118" s="14">
        <f>N118*VLOOKUP('Données projet'!$B$9,Paramètres!$A$1:$I$89,3,0)*VLOOKUP('Données projet'!$B$9,Paramètres!$A$1:$I$89,5,0)</f>
        <v>298.58399999999995</v>
      </c>
      <c r="P118" s="14">
        <f t="shared" si="87"/>
        <v>70.879533797607607</v>
      </c>
      <c r="Q118" s="22">
        <f t="shared" si="107"/>
        <v>643.48232136416652</v>
      </c>
      <c r="R118" s="62">
        <f t="shared" si="55"/>
        <v>924.56402690726372</v>
      </c>
      <c r="S118" s="62">
        <f ca="1">AVERAGE(OFFSET($R$3,0,0,'Données projet'!$E$9+1,1))-AVERAGE(OFFSET($H$3,0,0,'Données projet'!$E$9+1,1))</f>
        <v>472.83070477639035</v>
      </c>
      <c r="T118" s="62">
        <f t="shared" si="88"/>
        <v>297.32483725004136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0.10130224309094836</v>
      </c>
      <c r="AA118" s="23">
        <f>EXP(-LN(2)/25)*AA117+(1-EXP(-LN(2)/25))/(LN(2)/25)*Calculateur!V118*Calculateur!X118*VLOOKUP('Données projet'!$B$9,Paramètres!$A$1:$I$89,3,0)*0.475*44/12</f>
        <v>0.24731180967934133</v>
      </c>
      <c r="AB118" s="23">
        <f>EXP(-LN(2)/2)*AB117+(1-EXP(-LN(2)/2))/(LN(2)/2)*V118*Y118*VLOOKUP('Données projet'!$B$9,Paramètres!$A$1:$I$89,3,0)*0.475*44/12</f>
        <v>5.0130412085905232E-13</v>
      </c>
      <c r="AC118" s="24">
        <f t="shared" si="57"/>
        <v>0.34861405277079099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-4.5474735088646412E-13</v>
      </c>
      <c r="AJ118" s="14">
        <f>AI118*VLOOKUP('Données projet'!$B$10,Paramètres!$A$1:$I$89,3,0)*VLOOKUP('Données projet'!$B$10,Paramètres!$A$1:$I$89,5,0)</f>
        <v>-2.1282176021486519E-13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348.76787471354476</v>
      </c>
      <c r="AO118" s="62">
        <f t="shared" si="90"/>
        <v>258.31503417978615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59.385225562404884</v>
      </c>
      <c r="BJ118" s="62">
        <f t="shared" si="92"/>
        <v>285.5244298970598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9.2577174402581992</v>
      </c>
      <c r="BQ118" s="23">
        <f>EXP(-LN(2)/25)*BQ117+(1-EXP(-LN(2)/25))/(LN(2)/25)*Calculateur!BL118*Calculateur!BN118*VLOOKUP('Données projet'!$B$11,Paramètres!$A$1:$I$89,3,0)*0.475*44/12</f>
        <v>1.0861705044695191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10.343887944727719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330</v>
      </c>
      <c r="BW118" s="13">
        <f>VLOOKUP(A118,'Données projet'!$A$113:$I$133,9,0)</f>
        <v>4.5999999999999996</v>
      </c>
      <c r="BX118" s="13">
        <f t="array" ref="BX118">INDEX(BW:BW,MIN(IF(ISNUMBER(BW118:BW314),ROW(BW118:BW314),"")))</f>
        <v>4.5999999999999996</v>
      </c>
      <c r="BY118" s="13">
        <f>IF('Données projet'!$A$114&gt;35,BY117+BX118-CG117,IF(A118&lt;'Données projet'!$A$114,$BV$205^A118,IF(A118='Données projet'!$A$114,'Données projet'!$B$114,BY117+BX118-CG117)))</f>
        <v>330</v>
      </c>
      <c r="BZ118" s="14">
        <f>BY118*VLOOKUP('Données projet'!$B$12,Paramètres!$A$1:$I$89,3,0)*VLOOKUP('Données projet'!$B$12,Paramètres!$A$1:$I$89,5,0)</f>
        <v>334.62</v>
      </c>
      <c r="CA118" s="14">
        <f t="shared" si="93"/>
        <v>78.387374628661505</v>
      </c>
      <c r="CB118" s="22">
        <f t="shared" si="64"/>
        <v>719.32117747825214</v>
      </c>
      <c r="CC118" s="62">
        <f t="shared" si="65"/>
        <v>1000.4028830213495</v>
      </c>
      <c r="CD118" s="62">
        <f ca="1">AVERAGE(OFFSET($CC$3,0,0,'Données projet'!$E$12+1,1))-AVERAGE(OFFSET($H$3,0,0,'Données projet'!$E$12+1,1))</f>
        <v>520.80494930257237</v>
      </c>
      <c r="CE118" s="62">
        <f t="shared" si="94"/>
        <v>325.72635759450861</v>
      </c>
      <c r="CF118" s="16">
        <f>IF(ISNA(VLOOKUP(A118,'Données projet'!$A$113:$I$133,3,0)),0,VLOOKUP(A118,'Données projet'!$A$113:$I$133,3,0))</f>
        <v>20</v>
      </c>
      <c r="CG118" s="16">
        <f>IF(ISNA(VLOOKUP(A118,'Données projet'!$A$113:$I$133,4,0)),0,VLOOKUP(A118,'Données projet'!$A$113:$I$133,4,0))</f>
        <v>330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0.113528375877787</v>
      </c>
      <c r="CL118" s="23">
        <f>EXP(-LN(2)/25)*CL117+(1-EXP(-LN(2)/25))/(LN(2)/25)*Calculateur!CG118*Calculateur!CI118*VLOOKUP('Données projet'!$B$12,Paramètres!$A$1:$I$89,3,0)*0.475*44/12</f>
        <v>0.27715978670960689</v>
      </c>
      <c r="CM118" s="23">
        <f>EXP(-LN(2)/2)*CM117+(1-EXP(-LN(2)/2))/(LN(2)/2)*CG118*CJ118*VLOOKUP('Données projet'!$B$12,Paramètres!$A$1:$I$89,3,0)*0.475*44/12</f>
        <v>5.6180634234204127E-13</v>
      </c>
      <c r="CN118" s="24">
        <f t="shared" si="66"/>
        <v>0.39068816258795575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472.83070477639035</v>
      </c>
      <c r="T119" s="62">
        <f t="shared" si="88"/>
        <v>297.32483725004136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9.9315767892202061E-2</v>
      </c>
      <c r="AA119" s="23">
        <f>EXP(-LN(2)/25)*AA118+(1-EXP(-LN(2)/25))/(LN(2)/25)*Calculateur!V119*Calculateur!X119*VLOOKUP('Données projet'!$B$9,Paramètres!$A$1:$I$89,3,0)*0.475*44/12</f>
        <v>0.24054905523809691</v>
      </c>
      <c r="AB119" s="23">
        <f>EXP(-LN(2)/2)*AB118+(1-EXP(-LN(2)/2))/(LN(2)/2)*V119*Y119*VLOOKUP('Données projet'!$B$9,Paramètres!$A$1:$I$89,3,0)*0.475*44/12</f>
        <v>3.5447554329619649E-13</v>
      </c>
      <c r="AC119" s="24">
        <f t="shared" si="57"/>
        <v>0.33986482313065347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-4.5474735088646412E-13</v>
      </c>
      <c r="AJ119" s="14">
        <f>AI119*VLOOKUP('Données projet'!$B$10,Paramètres!$A$1:$I$89,3,0)*VLOOKUP('Données projet'!$B$10,Paramètres!$A$1:$I$89,5,0)</f>
        <v>-2.1282176021486519E-13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348.76787471354476</v>
      </c>
      <c r="AO119" s="62">
        <f t="shared" si="90"/>
        <v>258.31503417978615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59.385225562404884</v>
      </c>
      <c r="BJ119" s="62">
        <f t="shared" si="92"/>
        <v>285.5244298970598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9.0761792479048147</v>
      </c>
      <c r="BQ119" s="23">
        <f>EXP(-LN(2)/25)*BQ118+(1-EXP(-LN(2)/25))/(LN(2)/25)*Calculateur!BL119*Calculateur!BN119*VLOOKUP('Données projet'!$B$11,Paramètres!$A$1:$I$89,3,0)*0.475*44/12</f>
        <v>1.0564691149055758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10.132648362810391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520.80494930257237</v>
      </c>
      <c r="CE119" s="62">
        <f t="shared" si="94"/>
        <v>325.72635759450861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0.11130215367229546</v>
      </c>
      <c r="CL119" s="23">
        <f>EXP(-LN(2)/25)*CL118+(1-EXP(-LN(2)/25))/(LN(2)/25)*Calculateur!CG119*Calculateur!CI119*VLOOKUP('Données projet'!$B$12,Paramètres!$A$1:$I$89,3,0)*0.475*44/12</f>
        <v>0.26958083776683295</v>
      </c>
      <c r="CM119" s="23">
        <f>EXP(-LN(2)/2)*CM118+(1-EXP(-LN(2)/2))/(LN(2)/2)*CG119*CJ119*VLOOKUP('Données projet'!$B$12,Paramètres!$A$1:$I$89,3,0)*0.475*44/12</f>
        <v>3.972570743836684E-13</v>
      </c>
      <c r="CN119" s="24">
        <f t="shared" si="66"/>
        <v>0.38088299143952564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472.83070477639035</v>
      </c>
      <c r="T120" s="62">
        <f t="shared" si="88"/>
        <v>297.32483725004136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9.736824626047294E-2</v>
      </c>
      <c r="AA120" s="23">
        <f>EXP(-LN(2)/25)*AA119+(1-EXP(-LN(2)/25))/(LN(2)/25)*Calculateur!V120*Calculateur!X120*VLOOKUP('Données projet'!$B$9,Paramètres!$A$1:$I$89,3,0)*0.475*44/12</f>
        <v>0.23397122867268613</v>
      </c>
      <c r="AB120" s="23">
        <f>EXP(-LN(2)/2)*AB119+(1-EXP(-LN(2)/2))/(LN(2)/2)*V120*Y120*VLOOKUP('Données projet'!$B$9,Paramètres!$A$1:$I$89,3,0)*0.475*44/12</f>
        <v>2.5065206042952616E-13</v>
      </c>
      <c r="AC120" s="24">
        <f t="shared" si="57"/>
        <v>0.33133947493340971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-4.5474735088646412E-13</v>
      </c>
      <c r="AJ120" s="14">
        <f>AI120*VLOOKUP('Données projet'!$B$10,Paramètres!$A$1:$I$89,3,0)*VLOOKUP('Données projet'!$B$10,Paramètres!$A$1:$I$89,5,0)</f>
        <v>-2.1282176021486519E-13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348.76787471354476</v>
      </c>
      <c r="AO120" s="62">
        <f t="shared" si="90"/>
        <v>258.31503417978615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59.385225562404884</v>
      </c>
      <c r="BJ120" s="62">
        <f t="shared" si="92"/>
        <v>285.5244298970598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8.8982009087761149</v>
      </c>
      <c r="BQ120" s="23">
        <f>EXP(-LN(2)/25)*BQ119+(1-EXP(-LN(2)/25))/(LN(2)/25)*Calculateur!BL120*Calculateur!BN120*VLOOKUP('Données projet'!$B$11,Paramètres!$A$1:$I$89,3,0)*0.475*44/12</f>
        <v>1.0275799114011868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9.9257808201773017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520.80494930257237</v>
      </c>
      <c r="CE120" s="62">
        <f t="shared" si="94"/>
        <v>325.72635759450861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0.10911958632639214</v>
      </c>
      <c r="CL120" s="23">
        <f>EXP(-LN(2)/25)*CL119+(1-EXP(-LN(2)/25))/(LN(2)/25)*Calculateur!CG120*Calculateur!CI120*VLOOKUP('Données projet'!$B$12,Paramètres!$A$1:$I$89,3,0)*0.475*44/12</f>
        <v>0.26220913558145875</v>
      </c>
      <c r="CM120" s="23">
        <f>EXP(-LN(2)/2)*CM119+(1-EXP(-LN(2)/2))/(LN(2)/2)*CG120*CJ120*VLOOKUP('Données projet'!$B$12,Paramètres!$A$1:$I$89,3,0)*0.475*44/12</f>
        <v>2.8090317117102064E-13</v>
      </c>
      <c r="CN120" s="24">
        <f t="shared" si="66"/>
        <v>0.37132872190813176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472.83070477639035</v>
      </c>
      <c r="T121" s="62">
        <f t="shared" si="88"/>
        <v>297.32483725004136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9.545891434007113E-2</v>
      </c>
      <c r="AA121" s="23">
        <f>EXP(-LN(2)/25)*AA120+(1-EXP(-LN(2)/25))/(LN(2)/25)*Calculateur!V121*Calculateur!X121*VLOOKUP('Données projet'!$B$9,Paramètres!$A$1:$I$89,3,0)*0.475*44/12</f>
        <v>0.22757327312061937</v>
      </c>
      <c r="AB121" s="23">
        <f>EXP(-LN(2)/2)*AB120+(1-EXP(-LN(2)/2))/(LN(2)/2)*V121*Y121*VLOOKUP('Données projet'!$B$9,Paramètres!$A$1:$I$89,3,0)*0.475*44/12</f>
        <v>1.7723777164809825E-13</v>
      </c>
      <c r="AC121" s="24">
        <f t="shared" si="57"/>
        <v>0.32303218746086776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-4.5474735088646412E-13</v>
      </c>
      <c r="AJ121" s="14">
        <f>AI121*VLOOKUP('Données projet'!$B$10,Paramètres!$A$1:$I$89,3,0)*VLOOKUP('Données projet'!$B$10,Paramètres!$A$1:$I$89,5,0)</f>
        <v>-2.1282176021486519E-13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348.76787471354476</v>
      </c>
      <c r="AO121" s="62">
        <f t="shared" si="90"/>
        <v>258.31503417978615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59.385225562404884</v>
      </c>
      <c r="BJ121" s="62">
        <f t="shared" si="92"/>
        <v>285.5244298970598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8.7237126163216612</v>
      </c>
      <c r="BQ121" s="23">
        <f>EXP(-LN(2)/25)*BQ120+(1-EXP(-LN(2)/25))/(LN(2)/25)*Calculateur!BL121*Calculateur!BN121*VLOOKUP('Données projet'!$B$11,Paramètres!$A$1:$I$89,3,0)*0.475*44/12</f>
        <v>0.99948068468584239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9.7231933010075036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520.80494930257237</v>
      </c>
      <c r="CE121" s="62">
        <f t="shared" si="94"/>
        <v>325.72635759450861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0.10697981779490735</v>
      </c>
      <c r="CL121" s="23">
        <f>EXP(-LN(2)/25)*CL120+(1-EXP(-LN(2)/25))/(LN(2)/25)*Calculateur!CG121*Calculateur!CI121*VLOOKUP('Données projet'!$B$12,Paramètres!$A$1:$I$89,3,0)*0.475*44/12</f>
        <v>0.25503901298000459</v>
      </c>
      <c r="CM121" s="23">
        <f>EXP(-LN(2)/2)*CM120+(1-EXP(-LN(2)/2))/(LN(2)/2)*CG121*CJ121*VLOOKUP('Données projet'!$B$12,Paramètres!$A$1:$I$89,3,0)*0.475*44/12</f>
        <v>1.986285371918342E-13</v>
      </c>
      <c r="CN121" s="24">
        <f t="shared" si="66"/>
        <v>0.36201883077511054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472.83070477639035</v>
      </c>
      <c r="T122" s="62">
        <f t="shared" si="88"/>
        <v>297.32483725004136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9.3587023254050924E-2</v>
      </c>
      <c r="AA122" s="23">
        <f>EXP(-LN(2)/25)*AA121+(1-EXP(-LN(2)/25))/(LN(2)/25)*Calculateur!V122*Calculateur!X122*VLOOKUP('Données projet'!$B$9,Paramètres!$A$1:$I$89,3,0)*0.475*44/12</f>
        <v>0.22135026999957771</v>
      </c>
      <c r="AB122" s="23">
        <f>EXP(-LN(2)/2)*AB121+(1-EXP(-LN(2)/2))/(LN(2)/2)*V122*Y122*VLOOKUP('Données projet'!$B$9,Paramètres!$A$1:$I$89,3,0)*0.475*44/12</f>
        <v>1.2532603021476308E-13</v>
      </c>
      <c r="AC122" s="24">
        <f t="shared" si="57"/>
        <v>0.31493729325375397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-4.5474735088646412E-13</v>
      </c>
      <c r="AJ122" s="14">
        <f>AI122*VLOOKUP('Données projet'!$B$10,Paramètres!$A$1:$I$89,3,0)*VLOOKUP('Données projet'!$B$10,Paramètres!$A$1:$I$89,5,0)</f>
        <v>-2.1282176021486519E-13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348.76787471354476</v>
      </c>
      <c r="AO122" s="62">
        <f t="shared" si="90"/>
        <v>258.31503417978615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59.385225562404884</v>
      </c>
      <c r="BJ122" s="62">
        <f t="shared" si="92"/>
        <v>285.5244298970598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8.5526459328548903</v>
      </c>
      <c r="BQ122" s="23">
        <f>EXP(-LN(2)/25)*BQ121+(1-EXP(-LN(2)/25))/(LN(2)/25)*Calculateur!BL122*Calculateur!BN122*VLOOKUP('Données projet'!$B$11,Paramètres!$A$1:$I$89,3,0)*0.475*44/12</f>
        <v>0.97214983280270317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9.5247957656575934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520.80494930257237</v>
      </c>
      <c r="CE122" s="62">
        <f t="shared" si="94"/>
        <v>325.72635759450861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0.10488200881919504</v>
      </c>
      <c r="CL122" s="23">
        <f>EXP(-LN(2)/25)*CL121+(1-EXP(-LN(2)/25))/(LN(2)/25)*Calculateur!CG122*Calculateur!CI122*VLOOKUP('Données projet'!$B$12,Paramètres!$A$1:$I$89,3,0)*0.475*44/12</f>
        <v>0.24806495775814758</v>
      </c>
      <c r="CM122" s="23">
        <f>EXP(-LN(2)/2)*CM121+(1-EXP(-LN(2)/2))/(LN(2)/2)*CG122*CJ122*VLOOKUP('Données projet'!$B$12,Paramètres!$A$1:$I$89,3,0)*0.475*44/12</f>
        <v>1.4045158558551032E-13</v>
      </c>
      <c r="CN122" s="24">
        <f t="shared" si="66"/>
        <v>0.35294696657748303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472.83070477639035</v>
      </c>
      <c r="T123" s="62">
        <f t="shared" si="88"/>
        <v>297.32483725004136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9.1751838810486749E-2</v>
      </c>
      <c r="AA123" s="23">
        <f>EXP(-LN(2)/25)*AA122+(1-EXP(-LN(2)/25))/(LN(2)/25)*Calculateur!V123*Calculateur!X123*VLOOKUP('Données projet'!$B$9,Paramètres!$A$1:$I$89,3,0)*0.475*44/12</f>
        <v>0.21529743522613445</v>
      </c>
      <c r="AB123" s="23">
        <f>EXP(-LN(2)/2)*AB122+(1-EXP(-LN(2)/2))/(LN(2)/2)*V123*Y123*VLOOKUP('Données projet'!$B$9,Paramètres!$A$1:$I$89,3,0)*0.475*44/12</f>
        <v>8.8618885824049123E-14</v>
      </c>
      <c r="AC123" s="24">
        <f t="shared" si="57"/>
        <v>0.30704927403670979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-4.5474735088646412E-13</v>
      </c>
      <c r="AJ123" s="14">
        <f>AI123*VLOOKUP('Données projet'!$B$10,Paramètres!$A$1:$I$89,3,0)*VLOOKUP('Données projet'!$B$10,Paramètres!$A$1:$I$89,5,0)</f>
        <v>-2.1282176021486519E-13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348.76787471354476</v>
      </c>
      <c r="AO123" s="62">
        <f t="shared" si="90"/>
        <v>258.31503417978615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59.385225562404884</v>
      </c>
      <c r="BJ123" s="62">
        <f t="shared" si="92"/>
        <v>285.5244298970598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8.3849337627105278</v>
      </c>
      <c r="BQ123" s="23">
        <f>EXP(-LN(2)/25)*BQ122+(1-EXP(-LN(2)/25))/(LN(2)/25)*Calculateur!BL123*Calculateur!BN123*VLOOKUP('Données projet'!$B$11,Paramètres!$A$1:$I$89,3,0)*0.475*44/12</f>
        <v>0.9455663445015754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9.330500107212103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520.80494930257237</v>
      </c>
      <c r="CE123" s="62">
        <f t="shared" si="94"/>
        <v>325.72635759450861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0.10282533659795932</v>
      </c>
      <c r="CL123" s="23">
        <f>EXP(-LN(2)/25)*CL122+(1-EXP(-LN(2)/25))/(LN(2)/25)*Calculateur!CG123*Calculateur!CI123*VLOOKUP('Données projet'!$B$12,Paramètres!$A$1:$I$89,3,0)*0.475*44/12</f>
        <v>0.24128160844308186</v>
      </c>
      <c r="CM123" s="23">
        <f>EXP(-LN(2)/2)*CM122+(1-EXP(-LN(2)/2))/(LN(2)/2)*CG123*CJ123*VLOOKUP('Données projet'!$B$12,Paramètres!$A$1:$I$89,3,0)*0.475*44/12</f>
        <v>9.9314268595917099E-14</v>
      </c>
      <c r="CN123" s="24">
        <f t="shared" si="66"/>
        <v>0.34410694504114048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472.83070477639035</v>
      </c>
      <c r="T124" s="62">
        <f t="shared" si="88"/>
        <v>297.32483725004136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8.9952641214508883E-2</v>
      </c>
      <c r="AA124" s="23">
        <f>EXP(-LN(2)/25)*AA123+(1-EXP(-LN(2)/25))/(LN(2)/25)*Calculateur!V124*Calculateur!X124*VLOOKUP('Données projet'!$B$9,Paramètres!$A$1:$I$89,3,0)*0.475*44/12</f>
        <v>0.20941011553787575</v>
      </c>
      <c r="AB124" s="23">
        <f>EXP(-LN(2)/2)*AB123+(1-EXP(-LN(2)/2))/(LN(2)/2)*V124*Y124*VLOOKUP('Données projet'!$B$9,Paramètres!$A$1:$I$89,3,0)*0.475*44/12</f>
        <v>6.266301510738154E-14</v>
      </c>
      <c r="AC124" s="24">
        <f t="shared" si="57"/>
        <v>0.29936275675244733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-4.5474735088646412E-13</v>
      </c>
      <c r="AJ124" s="14">
        <f>AI124*VLOOKUP('Données projet'!$B$10,Paramètres!$A$1:$I$89,3,0)*VLOOKUP('Données projet'!$B$10,Paramètres!$A$1:$I$89,5,0)</f>
        <v>-2.1282176021486519E-13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348.76787471354476</v>
      </c>
      <c r="AO124" s="62">
        <f t="shared" si="90"/>
        <v>258.31503417978615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59.385225562404884</v>
      </c>
      <c r="BJ124" s="62">
        <f t="shared" si="92"/>
        <v>285.5244298970598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8.2205103259283732</v>
      </c>
      <c r="BQ124" s="23">
        <f>EXP(-LN(2)/25)*BQ123+(1-EXP(-LN(2)/25))/(LN(2)/25)*Calculateur!BL124*Calculateur!BN124*VLOOKUP('Données projet'!$B$11,Paramètres!$A$1:$I$89,3,0)*0.475*44/12</f>
        <v>0.91970978308600693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9.1402201090143809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520.80494930257237</v>
      </c>
      <c r="CE124" s="62">
        <f t="shared" si="94"/>
        <v>325.72635759450861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0.10080899446453585</v>
      </c>
      <c r="CL124" s="23">
        <f>EXP(-LN(2)/25)*CL123+(1-EXP(-LN(2)/25))/(LN(2)/25)*Calculateur!CG124*Calculateur!CI124*VLOOKUP('Données projet'!$B$12,Paramètres!$A$1:$I$89,3,0)*0.475*44/12</f>
        <v>0.23468375017175747</v>
      </c>
      <c r="CM124" s="23">
        <f>EXP(-LN(2)/2)*CM123+(1-EXP(-LN(2)/2))/(LN(2)/2)*CG124*CJ124*VLOOKUP('Données projet'!$B$12,Paramètres!$A$1:$I$89,3,0)*0.475*44/12</f>
        <v>7.0225792792755159E-14</v>
      </c>
      <c r="CN124" s="24">
        <f t="shared" si="66"/>
        <v>0.33549274463636353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472.83070477639035</v>
      </c>
      <c r="T125" s="62">
        <f t="shared" si="88"/>
        <v>297.32483725004136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8.8188724785985967E-2</v>
      </c>
      <c r="AA125" s="23">
        <f>EXP(-LN(2)/25)*AA124+(1-EXP(-LN(2)/25))/(LN(2)/25)*Calculateur!V125*Calculateur!X125*VLOOKUP('Données projet'!$B$9,Paramètres!$A$1:$I$89,3,0)*0.475*44/12</f>
        <v>0.20368378491609318</v>
      </c>
      <c r="AB125" s="23">
        <f>EXP(-LN(2)/2)*AB124+(1-EXP(-LN(2)/2))/(LN(2)/2)*V125*Y125*VLOOKUP('Données projet'!$B$9,Paramètres!$A$1:$I$89,3,0)*0.475*44/12</f>
        <v>4.4309442912024561E-14</v>
      </c>
      <c r="AC125" s="24">
        <f t="shared" si="57"/>
        <v>0.29187250970212342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-4.5474735088646412E-13</v>
      </c>
      <c r="AJ125" s="14">
        <f>AI125*VLOOKUP('Données projet'!$B$10,Paramètres!$A$1:$I$89,3,0)*VLOOKUP('Données projet'!$B$10,Paramètres!$A$1:$I$89,5,0)</f>
        <v>-2.1282176021486519E-13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348.76787471354476</v>
      </c>
      <c r="AO125" s="62">
        <f t="shared" si="90"/>
        <v>258.31503417978615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59.385225562404884</v>
      </c>
      <c r="BJ125" s="62">
        <f t="shared" si="92"/>
        <v>285.5244298970598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8.0593111324531232</v>
      </c>
      <c r="BQ125" s="23">
        <f>EXP(-LN(2)/25)*BQ124+(1-EXP(-LN(2)/25))/(LN(2)/25)*Calculateur!BL125*Calculateur!BN125*VLOOKUP('Données projet'!$B$11,Paramètres!$A$1:$I$89,3,0)*0.475*44/12</f>
        <v>0.89456027070208455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8.9538714031552082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520.80494930257237</v>
      </c>
      <c r="CE125" s="62">
        <f t="shared" si="94"/>
        <v>325.72635759450861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9.8832191570501549E-2</v>
      </c>
      <c r="CL125" s="23">
        <f>EXP(-LN(2)/25)*CL124+(1-EXP(-LN(2)/25))/(LN(2)/25)*Calculateur!CG125*Calculateur!CI125*VLOOKUP('Données projet'!$B$12,Paramètres!$A$1:$I$89,3,0)*0.475*44/12</f>
        <v>0.2282663106818287</v>
      </c>
      <c r="CM125" s="23">
        <f>EXP(-LN(2)/2)*CM124+(1-EXP(-LN(2)/2))/(LN(2)/2)*CG125*CJ125*VLOOKUP('Données projet'!$B$12,Paramètres!$A$1:$I$89,3,0)*0.475*44/12</f>
        <v>4.9657134297958549E-14</v>
      </c>
      <c r="CN125" s="24">
        <f t="shared" si="66"/>
        <v>0.32709850225237996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472.83070477639035</v>
      </c>
      <c r="T126" s="62">
        <f t="shared" si="88"/>
        <v>297.32483725004136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8.6459397682743605E-2</v>
      </c>
      <c r="AA126" s="23">
        <f>EXP(-LN(2)/25)*AA125+(1-EXP(-LN(2)/25))/(LN(2)/25)*Calculateur!V126*Calculateur!X126*VLOOKUP('Données projet'!$B$9,Paramètres!$A$1:$I$89,3,0)*0.475*44/12</f>
        <v>0.19811404110629788</v>
      </c>
      <c r="AB126" s="23">
        <f>EXP(-LN(2)/2)*AB125+(1-EXP(-LN(2)/2))/(LN(2)/2)*V126*Y126*VLOOKUP('Données projet'!$B$9,Paramètres!$A$1:$I$89,3,0)*0.475*44/12</f>
        <v>3.133150755369077E-14</v>
      </c>
      <c r="AC126" s="24">
        <f t="shared" si="57"/>
        <v>0.28457343878907282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-4.5474735088646412E-13</v>
      </c>
      <c r="AJ126" s="14">
        <f>AI126*VLOOKUP('Données projet'!$B$10,Paramètres!$A$1:$I$89,3,0)*VLOOKUP('Données projet'!$B$10,Paramètres!$A$1:$I$89,5,0)</f>
        <v>-2.1282176021486519E-13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348.76787471354476</v>
      </c>
      <c r="AO126" s="62">
        <f t="shared" si="90"/>
        <v>258.31503417978615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59.385225562404884</v>
      </c>
      <c r="BJ126" s="62">
        <f t="shared" si="92"/>
        <v>285.5244298970598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7.9012729568401241</v>
      </c>
      <c r="BQ126" s="23">
        <f>EXP(-LN(2)/25)*BQ125+(1-EXP(-LN(2)/25))/(LN(2)/25)*Calculateur!BL126*Calculateur!BN126*VLOOKUP('Données projet'!$B$11,Paramètres!$A$1:$I$89,3,0)*0.475*44/12</f>
        <v>0.87009847305685595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8.7713714298969805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520.80494930257237</v>
      </c>
      <c r="CE126" s="62">
        <f t="shared" si="94"/>
        <v>325.72635759450861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9.6894152575488543E-2</v>
      </c>
      <c r="CL126" s="23">
        <f>EXP(-LN(2)/25)*CL125+(1-EXP(-LN(2)/25))/(LN(2)/25)*Calculateur!CG126*Calculateur!CI126*VLOOKUP('Données projet'!$B$12,Paramètres!$A$1:$I$89,3,0)*0.475*44/12</f>
        <v>0.22202435641223053</v>
      </c>
      <c r="CM126" s="23">
        <f>EXP(-LN(2)/2)*CM125+(1-EXP(-LN(2)/2))/(LN(2)/2)*CG126*CJ126*VLOOKUP('Données projet'!$B$12,Paramètres!$A$1:$I$89,3,0)*0.475*44/12</f>
        <v>3.511289639637758E-14</v>
      </c>
      <c r="CN126" s="24">
        <f t="shared" si="66"/>
        <v>0.3189185089877542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472.83070477639035</v>
      </c>
      <c r="T127" s="62">
        <f t="shared" si="88"/>
        <v>297.32483725004136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8.4763981629210436E-2</v>
      </c>
      <c r="AA127" s="23">
        <f>EXP(-LN(2)/25)*AA126+(1-EXP(-LN(2)/25))/(LN(2)/25)*Calculateur!V127*Calculateur!X127*VLOOKUP('Données projet'!$B$9,Paramètres!$A$1:$I$89,3,0)*0.475*44/12</f>
        <v>0.19269660223388155</v>
      </c>
      <c r="AB127" s="23">
        <f>EXP(-LN(2)/2)*AB126+(1-EXP(-LN(2)/2))/(LN(2)/2)*V127*Y127*VLOOKUP('Données projet'!$B$9,Paramètres!$A$1:$I$89,3,0)*0.475*44/12</f>
        <v>2.2154721456012281E-14</v>
      </c>
      <c r="AC127" s="24">
        <f t="shared" si="57"/>
        <v>0.27746058386311412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-4.5474735088646412E-13</v>
      </c>
      <c r="AJ127" s="14">
        <f>AI127*VLOOKUP('Données projet'!$B$10,Paramètres!$A$1:$I$89,3,0)*VLOOKUP('Données projet'!$B$10,Paramètres!$A$1:$I$89,5,0)</f>
        <v>-2.1282176021486519E-13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348.76787471354476</v>
      </c>
      <c r="AO127" s="62">
        <f t="shared" si="90"/>
        <v>258.31503417978615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59.385225562404884</v>
      </c>
      <c r="BJ127" s="62">
        <f t="shared" si="92"/>
        <v>285.5244298970598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7.7463338134571265</v>
      </c>
      <c r="BQ127" s="23">
        <f>EXP(-LN(2)/25)*BQ126+(1-EXP(-LN(2)/25))/(LN(2)/25)*Calculateur!BL127*Calculateur!BN127*VLOOKUP('Données projet'!$B$11,Paramètres!$A$1:$I$89,3,0)*0.475*44/12</f>
        <v>0.84630558455462612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8.5926393980117517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520.80494930257237</v>
      </c>
      <c r="CE127" s="62">
        <f t="shared" si="94"/>
        <v>325.72635759450861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9.4994117343080678E-2</v>
      </c>
      <c r="CL127" s="23">
        <f>EXP(-LN(2)/25)*CL126+(1-EXP(-LN(2)/25))/(LN(2)/25)*Calculateur!CG127*Calculateur!CI127*VLOOKUP('Données projet'!$B$12,Paramètres!$A$1:$I$89,3,0)*0.475*44/12</f>
        <v>0.21595308871038463</v>
      </c>
      <c r="CM127" s="23">
        <f>EXP(-LN(2)/2)*CM126+(1-EXP(-LN(2)/2))/(LN(2)/2)*CG127*CJ127*VLOOKUP('Données projet'!$B$12,Paramètres!$A$1:$I$89,3,0)*0.475*44/12</f>
        <v>2.4828567148979275E-14</v>
      </c>
      <c r="CN127" s="24">
        <f t="shared" si="66"/>
        <v>0.31094720605349013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472.83070477639035</v>
      </c>
      <c r="T128" s="62">
        <f t="shared" si="88"/>
        <v>297.32483725004136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8.3101811650385368E-2</v>
      </c>
      <c r="AA128" s="23">
        <f>EXP(-LN(2)/25)*AA127+(1-EXP(-LN(2)/25))/(LN(2)/25)*Calculateur!V128*Calculateur!X128*VLOOKUP('Données projet'!$B$9,Paramètres!$A$1:$I$89,3,0)*0.475*44/12</f>
        <v>0.18742730351232215</v>
      </c>
      <c r="AB128" s="23">
        <f>EXP(-LN(2)/2)*AB127+(1-EXP(-LN(2)/2))/(LN(2)/2)*V128*Y128*VLOOKUP('Données projet'!$B$9,Paramètres!$A$1:$I$89,3,0)*0.475*44/12</f>
        <v>1.5665753776845385E-14</v>
      </c>
      <c r="AC128" s="24">
        <f t="shared" si="57"/>
        <v>0.27052911516272315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-4.5474735088646412E-13</v>
      </c>
      <c r="AJ128" s="14">
        <f>AI128*VLOOKUP('Données projet'!$B$10,Paramètres!$A$1:$I$89,3,0)*VLOOKUP('Données projet'!$B$10,Paramètres!$A$1:$I$89,5,0)</f>
        <v>-2.1282176021486519E-13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348.76787471354476</v>
      </c>
      <c r="AO128" s="62">
        <f t="shared" si="90"/>
        <v>258.31503417978615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59.385225562404884</v>
      </c>
      <c r="BJ128" s="62">
        <f t="shared" si="92"/>
        <v>285.5244298970598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7.5944329321723236</v>
      </c>
      <c r="BQ128" s="23">
        <f>EXP(-LN(2)/25)*BQ127+(1-EXP(-LN(2)/25))/(LN(2)/25)*Calculateur!BL128*Calculateur!BN128*VLOOKUP('Données projet'!$B$11,Paramètres!$A$1:$I$89,3,0)*0.475*44/12</f>
        <v>0.82316331383970343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8.4175962460120264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520.80494930257237</v>
      </c>
      <c r="CE128" s="62">
        <f t="shared" si="94"/>
        <v>325.72635759450861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9.3131340642673283E-2</v>
      </c>
      <c r="CL128" s="23">
        <f>EXP(-LN(2)/25)*CL127+(1-EXP(-LN(2)/25))/(LN(2)/25)*Calculateur!CG128*Calculateur!CI128*VLOOKUP('Données projet'!$B$12,Paramètres!$A$1:$I$89,3,0)*0.475*44/12</f>
        <v>0.21004784014311978</v>
      </c>
      <c r="CM128" s="23">
        <f>EXP(-LN(2)/2)*CM127+(1-EXP(-LN(2)/2))/(LN(2)/2)*CG128*CJ128*VLOOKUP('Données projet'!$B$12,Paramètres!$A$1:$I$89,3,0)*0.475*44/12</f>
        <v>1.755644819818879E-14</v>
      </c>
      <c r="CN128" s="24">
        <f t="shared" si="66"/>
        <v>0.30317918078581063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472.83070477639035</v>
      </c>
      <c r="T129" s="62">
        <f t="shared" si="88"/>
        <v>297.32483725004136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8.1472235811021476E-2</v>
      </c>
      <c r="AA129" s="23">
        <f>EXP(-LN(2)/25)*AA128+(1-EXP(-LN(2)/25))/(LN(2)/25)*Calculateur!V129*Calculateur!X129*VLOOKUP('Données projet'!$B$9,Paramètres!$A$1:$I$89,3,0)*0.475*44/12</f>
        <v>0.18230209404140418</v>
      </c>
      <c r="AB129" s="23">
        <f>EXP(-LN(2)/2)*AB128+(1-EXP(-LN(2)/2))/(LN(2)/2)*V129*Y129*VLOOKUP('Données projet'!$B$9,Paramètres!$A$1:$I$89,3,0)*0.475*44/12</f>
        <v>1.107736072800614E-14</v>
      </c>
      <c r="AC129" s="24">
        <f t="shared" si="57"/>
        <v>0.26377432985243676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-4.5474735088646412E-13</v>
      </c>
      <c r="AJ129" s="14">
        <f>AI129*VLOOKUP('Données projet'!$B$10,Paramètres!$A$1:$I$89,3,0)*VLOOKUP('Données projet'!$B$10,Paramètres!$A$1:$I$89,5,0)</f>
        <v>-2.1282176021486519E-13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348.76787471354476</v>
      </c>
      <c r="AO129" s="62">
        <f t="shared" si="90"/>
        <v>258.31503417978615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59.385225562404884</v>
      </c>
      <c r="BJ129" s="62">
        <f t="shared" si="92"/>
        <v>285.5244298970598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7.4455107345191269</v>
      </c>
      <c r="BQ129" s="23">
        <f>EXP(-LN(2)/25)*BQ128+(1-EXP(-LN(2)/25))/(LN(2)/25)*Calculateur!BL129*Calculateur!BN129*VLOOKUP('Données projet'!$B$11,Paramètres!$A$1:$I$89,3,0)*0.475*44/12</f>
        <v>0.80065386973447938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8.2461646042536056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520.80494930257237</v>
      </c>
      <c r="CE129" s="62">
        <f t="shared" si="94"/>
        <v>325.72635759450861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9.1305091857179277E-2</v>
      </c>
      <c r="CL129" s="23">
        <f>EXP(-LN(2)/25)*CL128+(1-EXP(-LN(2)/25))/(LN(2)/25)*Calculateur!CG129*Calculateur!CI129*VLOOKUP('Données projet'!$B$12,Paramètres!$A$1:$I$89,3,0)*0.475*44/12</f>
        <v>0.20430407090847033</v>
      </c>
      <c r="CM129" s="23">
        <f>EXP(-LN(2)/2)*CM128+(1-EXP(-LN(2)/2))/(LN(2)/2)*CG129*CJ129*VLOOKUP('Données projet'!$B$12,Paramètres!$A$1:$I$89,3,0)*0.475*44/12</f>
        <v>1.2414283574489637E-14</v>
      </c>
      <c r="CN129" s="24">
        <f t="shared" si="66"/>
        <v>0.29560916276566207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472.83070477639035</v>
      </c>
      <c r="T130" s="62">
        <f t="shared" si="88"/>
        <v>297.32483725004136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7.98746149599244E-2</v>
      </c>
      <c r="AA130" s="23">
        <f>EXP(-LN(2)/25)*AA129+(1-EXP(-LN(2)/25))/(LN(2)/25)*Calculateur!V130*Calculateur!X130*VLOOKUP('Données projet'!$B$9,Paramètres!$A$1:$I$89,3,0)*0.475*44/12</f>
        <v>0.17731703369299151</v>
      </c>
      <c r="AB130" s="23">
        <f>EXP(-LN(2)/2)*AB129+(1-EXP(-LN(2)/2))/(LN(2)/2)*V130*Y130*VLOOKUP('Données projet'!$B$9,Paramètres!$A$1:$I$89,3,0)*0.475*44/12</f>
        <v>7.8328768884226925E-15</v>
      </c>
      <c r="AC130" s="24">
        <f t="shared" si="57"/>
        <v>0.25719164865292371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-4.5474735088646412E-13</v>
      </c>
      <c r="AJ130" s="14">
        <f>AI130*VLOOKUP('Données projet'!$B$10,Paramètres!$A$1:$I$89,3,0)*VLOOKUP('Données projet'!$B$10,Paramètres!$A$1:$I$89,5,0)</f>
        <v>-2.1282176021486519E-13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348.76787471354476</v>
      </c>
      <c r="AO130" s="62">
        <f t="shared" si="90"/>
        <v>258.31503417978615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59.385225562404884</v>
      </c>
      <c r="BJ130" s="62">
        <f t="shared" si="92"/>
        <v>285.5244298970598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7.2995088103283372</v>
      </c>
      <c r="BQ130" s="23">
        <f>EXP(-LN(2)/25)*BQ129+(1-EXP(-LN(2)/25))/(LN(2)/25)*Calculateur!BL130*Calculateur!BN130*VLOOKUP('Données projet'!$B$11,Paramètres!$A$1:$I$89,3,0)*0.475*44/12</f>
        <v>0.77875994756203293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8.0782687578903705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520.80494930257237</v>
      </c>
      <c r="CE130" s="62">
        <f t="shared" si="94"/>
        <v>325.72635759450861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8.9514654696467036E-2</v>
      </c>
      <c r="CL130" s="23">
        <f>EXP(-LN(2)/25)*CL129+(1-EXP(-LN(2)/25))/(LN(2)/25)*Calculateur!CG130*Calculateur!CI130*VLOOKUP('Données projet'!$B$12,Paramètres!$A$1:$I$89,3,0)*0.475*44/12</f>
        <v>0.19871736534559406</v>
      </c>
      <c r="CM130" s="23">
        <f>EXP(-LN(2)/2)*CM129+(1-EXP(-LN(2)/2))/(LN(2)/2)*CG130*CJ130*VLOOKUP('Données projet'!$B$12,Paramètres!$A$1:$I$89,3,0)*0.475*44/12</f>
        <v>8.7782240990943949E-15</v>
      </c>
      <c r="CN130" s="24">
        <f t="shared" si="66"/>
        <v>0.28823202004206988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472.83070477639035</v>
      </c>
      <c r="T131" s="62">
        <f t="shared" si="88"/>
        <v>297.32483725004136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7.8308322479264836E-2</v>
      </c>
      <c r="AA131" s="23">
        <f>EXP(-LN(2)/25)*AA130+(1-EXP(-LN(2)/25))/(LN(2)/25)*Calculateur!V131*Calculateur!X131*VLOOKUP('Données projet'!$B$9,Paramètres!$A$1:$I$89,3,0)*0.475*44/12</f>
        <v>0.17246829008195913</v>
      </c>
      <c r="AB131" s="23">
        <f>EXP(-LN(2)/2)*AB130+(1-EXP(-LN(2)/2))/(LN(2)/2)*V131*Y131*VLOOKUP('Données projet'!$B$9,Paramètres!$A$1:$I$89,3,0)*0.475*44/12</f>
        <v>5.5386803640030702E-15</v>
      </c>
      <c r="AC131" s="24">
        <f t="shared" si="57"/>
        <v>0.25077661256122952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-4.5474735088646412E-13</v>
      </c>
      <c r="AJ131" s="14">
        <f>AI131*VLOOKUP('Données projet'!$B$10,Paramètres!$A$1:$I$89,3,0)*VLOOKUP('Données projet'!$B$10,Paramètres!$A$1:$I$89,5,0)</f>
        <v>-2.1282176021486519E-13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348.76787471354476</v>
      </c>
      <c r="AO131" s="62">
        <f t="shared" si="90"/>
        <v>258.31503417978615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59.385225562404884</v>
      </c>
      <c r="BJ131" s="62">
        <f t="shared" si="92"/>
        <v>285.5244298970598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7.1563698948185488</v>
      </c>
      <c r="BQ131" s="23">
        <f>EXP(-LN(2)/25)*BQ130+(1-EXP(-LN(2)/25))/(LN(2)/25)*Calculateur!BL131*Calculateur!BN131*VLOOKUP('Données projet'!$B$11,Paramètres!$A$1:$I$89,3,0)*0.475*44/12</f>
        <v>0.75746471584274333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7.9138346106612918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520.80494930257237</v>
      </c>
      <c r="CE131" s="62">
        <f t="shared" si="94"/>
        <v>325.72635759450861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8.7759326916417524E-2</v>
      </c>
      <c r="CL131" s="23">
        <f>EXP(-LN(2)/25)*CL130+(1-EXP(-LN(2)/25))/(LN(2)/25)*Calculateur!CG131*Calculateur!CI131*VLOOKUP('Données projet'!$B$12,Paramètres!$A$1:$I$89,3,0)*0.475*44/12</f>
        <v>0.19328342854012673</v>
      </c>
      <c r="CM131" s="23">
        <f>EXP(-LN(2)/2)*CM130+(1-EXP(-LN(2)/2))/(LN(2)/2)*CG131*CJ131*VLOOKUP('Données projet'!$B$12,Paramètres!$A$1:$I$89,3,0)*0.475*44/12</f>
        <v>6.2071417872448187E-15</v>
      </c>
      <c r="CN131" s="24">
        <f t="shared" si="66"/>
        <v>0.28104275545655044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472.83070477639035</v>
      </c>
      <c r="T132" s="62">
        <f t="shared" si="88"/>
        <v>297.32483725004136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7.677274403880692E-2</v>
      </c>
      <c r="AA132" s="23">
        <f>EXP(-LN(2)/25)*AA131+(1-EXP(-LN(2)/25))/(LN(2)/25)*Calculateur!V132*Calculateur!X132*VLOOKUP('Données projet'!$B$9,Paramètres!$A$1:$I$89,3,0)*0.475*44/12</f>
        <v>0.16775213561995475</v>
      </c>
      <c r="AB132" s="23">
        <f>EXP(-LN(2)/2)*AB131+(1-EXP(-LN(2)/2))/(LN(2)/2)*V132*Y132*VLOOKUP('Données projet'!$B$9,Paramètres!$A$1:$I$89,3,0)*0.475*44/12</f>
        <v>3.9164384442113462E-15</v>
      </c>
      <c r="AC132" s="24">
        <f t="shared" ref="AC132:AC153" si="111">SUM(Z132:AB132)</f>
        <v>0.2445248796587656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-4.5474735088646412E-13</v>
      </c>
      <c r="AJ132" s="14">
        <f>AI132*VLOOKUP('Données projet'!$B$10,Paramètres!$A$1:$I$89,3,0)*VLOOKUP('Données projet'!$B$10,Paramètres!$A$1:$I$89,5,0)</f>
        <v>-2.1282176021486519E-13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348.76787471354476</v>
      </c>
      <c r="AO132" s="62">
        <f t="shared" si="90"/>
        <v>258.31503417978615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59.385225562404884</v>
      </c>
      <c r="BJ132" s="62">
        <f t="shared" si="92"/>
        <v>285.5244298970598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7.0160378461357897</v>
      </c>
      <c r="BQ132" s="23">
        <f>EXP(-LN(2)/25)*BQ131+(1-EXP(-LN(2)/25))/(LN(2)/25)*Calculateur!BL132*Calculateur!BN132*VLOOKUP('Données projet'!$B$11,Paramètres!$A$1:$I$89,3,0)*0.475*44/12</f>
        <v>0.73675180335468526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7.7527896494904747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520.80494930257237</v>
      </c>
      <c r="CE132" s="62">
        <f t="shared" si="94"/>
        <v>325.72635759450861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8.6038420043490549E-2</v>
      </c>
      <c r="CL132" s="23">
        <f>EXP(-LN(2)/25)*CL131+(1-EXP(-LN(2)/25))/(LN(2)/25)*Calculateur!CG132*Calculateur!CI132*VLOOKUP('Données projet'!$B$12,Paramètres!$A$1:$I$89,3,0)*0.475*44/12</f>
        <v>0.1879980830223632</v>
      </c>
      <c r="CM132" s="23">
        <f>EXP(-LN(2)/2)*CM131+(1-EXP(-LN(2)/2))/(LN(2)/2)*CG132*CJ132*VLOOKUP('Données projet'!$B$12,Paramètres!$A$1:$I$89,3,0)*0.475*44/12</f>
        <v>4.3891120495471975E-15</v>
      </c>
      <c r="CN132" s="24">
        <f t="shared" ref="CN132:CN153" si="120">SUM(CK132:CM132)</f>
        <v>0.27403650306585814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472.83070477639035</v>
      </c>
      <c r="T133" s="62">
        <f t="shared" ref="T133:T196" si="142">$T$3</f>
        <v>297.32483725004136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7.5267277354956016E-2</v>
      </c>
      <c r="AA133" s="23">
        <f>EXP(-LN(2)/25)*AA132+(1-EXP(-LN(2)/25))/(LN(2)/25)*Calculateur!V133*Calculateur!X133*VLOOKUP('Données projet'!$B$9,Paramètres!$A$1:$I$89,3,0)*0.475*44/12</f>
        <v>0.16316494464972567</v>
      </c>
      <c r="AB133" s="23">
        <f>EXP(-LN(2)/2)*AB132+(1-EXP(-LN(2)/2))/(LN(2)/2)*V133*Y133*VLOOKUP('Données projet'!$B$9,Paramètres!$A$1:$I$89,3,0)*0.475*44/12</f>
        <v>2.7693401820015351E-15</v>
      </c>
      <c r="AC133" s="24">
        <f t="shared" si="111"/>
        <v>0.23843222200468445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-4.5474735088646412E-13</v>
      </c>
      <c r="AJ133" s="14">
        <f>AI133*VLOOKUP('Données projet'!$B$10,Paramètres!$A$1:$I$89,3,0)*VLOOKUP('Données projet'!$B$10,Paramètres!$A$1:$I$89,5,0)</f>
        <v>-2.1282176021486519E-13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348.76787471354476</v>
      </c>
      <c r="AO133" s="62">
        <f t="shared" ref="AO133:AO196" si="144">$AO$3</f>
        <v>258.31503417978615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59.385225562404884</v>
      </c>
      <c r="BJ133" s="62">
        <f t="shared" ref="BJ133:BJ196" si="146">$BJ$3</f>
        <v>285.5244298970598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6.8784576233336017</v>
      </c>
      <c r="BQ133" s="23">
        <f>EXP(-LN(2)/25)*BQ132+(1-EXP(-LN(2)/25))/(LN(2)/25)*Calculateur!BL133*Calculateur!BN133*VLOOKUP('Données projet'!$B$11,Paramètres!$A$1:$I$89,3,0)*0.475*44/12</f>
        <v>0.71660528654785793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7.5950629098814595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520.80494930257237</v>
      </c>
      <c r="CE133" s="62">
        <f t="shared" ref="CE133:CE196" si="148">$CE$3</f>
        <v>325.72635759450861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8.4351259104692128E-2</v>
      </c>
      <c r="CL133" s="23">
        <f>EXP(-LN(2)/25)*CL132+(1-EXP(-LN(2)/25))/(LN(2)/25)*Calculateur!CG133*Calculateur!CI133*VLOOKUP('Données projet'!$B$12,Paramètres!$A$1:$I$89,3,0)*0.475*44/12</f>
        <v>0.18285726555572718</v>
      </c>
      <c r="CM133" s="23">
        <f>EXP(-LN(2)/2)*CM132+(1-EXP(-LN(2)/2))/(LN(2)/2)*CG133*CJ133*VLOOKUP('Données projet'!$B$12,Paramètres!$A$1:$I$89,3,0)*0.475*44/12</f>
        <v>3.1035708936224093E-15</v>
      </c>
      <c r="CN133" s="24">
        <f t="shared" si="120"/>
        <v>0.26720852466042244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472.83070477639035</v>
      </c>
      <c r="T134" s="62">
        <f t="shared" si="142"/>
        <v>297.32483725004136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7.3791331954531428E-2</v>
      </c>
      <c r="AA134" s="23">
        <f>EXP(-LN(2)/25)*AA133+(1-EXP(-LN(2)/25))/(LN(2)/25)*Calculateur!V134*Calculateur!X134*VLOOKUP('Données projet'!$B$9,Paramètres!$A$1:$I$89,3,0)*0.475*44/12</f>
        <v>0.15870319065780739</v>
      </c>
      <c r="AB134" s="23">
        <f>EXP(-LN(2)/2)*AB133+(1-EXP(-LN(2)/2))/(LN(2)/2)*V134*Y134*VLOOKUP('Données projet'!$B$9,Paramètres!$A$1:$I$89,3,0)*0.475*44/12</f>
        <v>1.9582192221056731E-15</v>
      </c>
      <c r="AC134" s="24">
        <f t="shared" si="111"/>
        <v>0.2324945226123408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-4.5474735088646412E-13</v>
      </c>
      <c r="AJ134" s="14">
        <f>AI134*VLOOKUP('Données projet'!$B$10,Paramètres!$A$1:$I$89,3,0)*VLOOKUP('Données projet'!$B$10,Paramètres!$A$1:$I$89,5,0)</f>
        <v>-2.1282176021486519E-13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348.76787471354476</v>
      </c>
      <c r="AO134" s="62">
        <f t="shared" si="144"/>
        <v>258.31503417978615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59.385225562404884</v>
      </c>
      <c r="BJ134" s="62">
        <f t="shared" si="146"/>
        <v>285.5244298970598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6.7435752647849139</v>
      </c>
      <c r="BQ134" s="23">
        <f>EXP(-LN(2)/25)*BQ133+(1-EXP(-LN(2)/25))/(LN(2)/25)*Calculateur!BL134*Calculateur!BN134*VLOOKUP('Données projet'!$B$11,Paramètres!$A$1:$I$89,3,0)*0.475*44/12</f>
        <v>0.69700967730257257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7.4405849420874866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520.80494930257237</v>
      </c>
      <c r="CE134" s="62">
        <f t="shared" si="148"/>
        <v>325.72635759450861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8.2697182362836991E-2</v>
      </c>
      <c r="CL134" s="23">
        <f>EXP(-LN(2)/25)*CL133+(1-EXP(-LN(2)/25))/(LN(2)/25)*Calculateur!CG134*Calculateur!CI134*VLOOKUP('Données projet'!$B$12,Paramètres!$A$1:$I$89,3,0)*0.475*44/12</f>
        <v>0.17785702401306014</v>
      </c>
      <c r="CM134" s="23">
        <f>EXP(-LN(2)/2)*CM133+(1-EXP(-LN(2)/2))/(LN(2)/2)*CG134*CJ134*VLOOKUP('Données projet'!$B$12,Paramètres!$A$1:$I$89,3,0)*0.475*44/12</f>
        <v>2.1945560247735987E-15</v>
      </c>
      <c r="CN134" s="24">
        <f t="shared" si="120"/>
        <v>0.26055420637589932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472.83070477639035</v>
      </c>
      <c r="T135" s="62">
        <f t="shared" si="142"/>
        <v>297.32483725004136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7.234432894317136E-2</v>
      </c>
      <c r="AA135" s="23">
        <f>EXP(-LN(2)/25)*AA134+(1-EXP(-LN(2)/25))/(LN(2)/25)*Calculateur!V135*Calculateur!X135*VLOOKUP('Données projet'!$B$9,Paramètres!$A$1:$I$89,3,0)*0.475*44/12</f>
        <v>0.15436344356343157</v>
      </c>
      <c r="AB135" s="23">
        <f>EXP(-LN(2)/2)*AB134+(1-EXP(-LN(2)/2))/(LN(2)/2)*V135*Y135*VLOOKUP('Données projet'!$B$9,Paramètres!$A$1:$I$89,3,0)*0.475*44/12</f>
        <v>1.3846700910007675E-15</v>
      </c>
      <c r="AC135" s="24">
        <f t="shared" si="111"/>
        <v>0.22670777250660432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-4.5474735088646412E-13</v>
      </c>
      <c r="AJ135" s="14">
        <f>AI135*VLOOKUP('Données projet'!$B$10,Paramètres!$A$1:$I$89,3,0)*VLOOKUP('Données projet'!$B$10,Paramètres!$A$1:$I$89,5,0)</f>
        <v>-2.1282176021486519E-13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348.76787471354476</v>
      </c>
      <c r="AO135" s="62">
        <f t="shared" si="144"/>
        <v>258.31503417978615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59.385225562404884</v>
      </c>
      <c r="BJ135" s="62">
        <f t="shared" si="146"/>
        <v>285.5244298970598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6.6113378670172507</v>
      </c>
      <c r="BQ135" s="23">
        <f>EXP(-LN(2)/25)*BQ134+(1-EXP(-LN(2)/25))/(LN(2)/25)*Calculateur!BL135*Calculateur!BN135*VLOOKUP('Données projet'!$B$11,Paramètres!$A$1:$I$89,3,0)*0.475*44/12</f>
        <v>0.67794991102258784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7.2892877780398386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520.80494930257237</v>
      </c>
      <c r="CE135" s="62">
        <f t="shared" si="148"/>
        <v>325.72635759450861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8.1075541057002432E-2</v>
      </c>
      <c r="CL135" s="23">
        <f>EXP(-LN(2)/25)*CL134+(1-EXP(-LN(2)/25))/(LN(2)/25)*Calculateur!CG135*Calculateur!CI135*VLOOKUP('Données projet'!$B$12,Paramètres!$A$1:$I$89,3,0)*0.475*44/12</f>
        <v>0.1729935143383286</v>
      </c>
      <c r="CM135" s="23">
        <f>EXP(-LN(2)/2)*CM134+(1-EXP(-LN(2)/2))/(LN(2)/2)*CG135*CJ135*VLOOKUP('Données projet'!$B$12,Paramètres!$A$1:$I$89,3,0)*0.475*44/12</f>
        <v>1.5517854468112047E-15</v>
      </c>
      <c r="CN135" s="24">
        <f t="shared" si="120"/>
        <v>0.25406905539533259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472.83070477639035</v>
      </c>
      <c r="T136" s="62">
        <f t="shared" si="142"/>
        <v>297.32483725004136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7.092570077827938E-2</v>
      </c>
      <c r="AA136" s="23">
        <f>EXP(-LN(2)/25)*AA135+(1-EXP(-LN(2)/25))/(LN(2)/25)*Calculateur!V136*Calculateur!X136*VLOOKUP('Données projet'!$B$9,Paramètres!$A$1:$I$89,3,0)*0.475*44/12</f>
        <v>0.15014236708156883</v>
      </c>
      <c r="AB136" s="23">
        <f>EXP(-LN(2)/2)*AB135+(1-EXP(-LN(2)/2))/(LN(2)/2)*V136*Y136*VLOOKUP('Données projet'!$B$9,Paramètres!$A$1:$I$89,3,0)*0.475*44/12</f>
        <v>9.7910961105283656E-16</v>
      </c>
      <c r="AC136" s="24">
        <f t="shared" si="111"/>
        <v>0.2210680678598492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-4.5474735088646412E-13</v>
      </c>
      <c r="AJ136" s="14">
        <f>AI136*VLOOKUP('Données projet'!$B$10,Paramètres!$A$1:$I$89,3,0)*VLOOKUP('Données projet'!$B$10,Paramètres!$A$1:$I$89,5,0)</f>
        <v>-2.1282176021486519E-13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348.76787471354476</v>
      </c>
      <c r="AO136" s="62">
        <f t="shared" si="144"/>
        <v>258.31503417978615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59.385225562404884</v>
      </c>
      <c r="BJ136" s="62">
        <f t="shared" si="146"/>
        <v>285.5244298970598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6.4816935639629634</v>
      </c>
      <c r="BQ136" s="23">
        <f>EXP(-LN(2)/25)*BQ135+(1-EXP(-LN(2)/25))/(LN(2)/25)*Calculateur!BL136*Calculateur!BN136*VLOOKUP('Données projet'!$B$11,Paramètres!$A$1:$I$89,3,0)*0.475*44/12</f>
        <v>0.65941133505383887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7.1411048990168027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520.80494930257237</v>
      </c>
      <c r="CE136" s="62">
        <f t="shared" si="148"/>
        <v>325.72635759450861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7.9485699148071756E-2</v>
      </c>
      <c r="CL136" s="23">
        <f>EXP(-LN(2)/25)*CL135+(1-EXP(-LN(2)/25))/(LN(2)/25)*Calculateur!CG136*Calculateur!CI136*VLOOKUP('Données projet'!$B$12,Paramètres!$A$1:$I$89,3,0)*0.475*44/12</f>
        <v>0.16826299759141347</v>
      </c>
      <c r="CM136" s="23">
        <f>EXP(-LN(2)/2)*CM135+(1-EXP(-LN(2)/2))/(LN(2)/2)*CG136*CJ136*VLOOKUP('Données projet'!$B$12,Paramètres!$A$1:$I$89,3,0)*0.475*44/12</f>
        <v>1.0972780123867994E-15</v>
      </c>
      <c r="CN136" s="24">
        <f t="shared" si="120"/>
        <v>0.24774869673948635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472.83070477639035</v>
      </c>
      <c r="T137" s="62">
        <f t="shared" si="142"/>
        <v>297.32483725004136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6.9534891046423186E-2</v>
      </c>
      <c r="AA137" s="23">
        <f>EXP(-LN(2)/25)*AA136+(1-EXP(-LN(2)/25))/(LN(2)/25)*Calculateur!V137*Calculateur!X137*VLOOKUP('Données projet'!$B$9,Paramètres!$A$1:$I$89,3,0)*0.475*44/12</f>
        <v>0.14603671615807939</v>
      </c>
      <c r="AB137" s="23">
        <f>EXP(-LN(2)/2)*AB136+(1-EXP(-LN(2)/2))/(LN(2)/2)*V137*Y137*VLOOKUP('Données projet'!$B$9,Paramètres!$A$1:$I$89,3,0)*0.475*44/12</f>
        <v>6.9233504550038377E-16</v>
      </c>
      <c r="AC137" s="24">
        <f t="shared" si="111"/>
        <v>0.21557160720450327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-4.5474735088646412E-13</v>
      </c>
      <c r="AJ137" s="14">
        <f>AI137*VLOOKUP('Données projet'!$B$10,Paramètres!$A$1:$I$89,3,0)*VLOOKUP('Données projet'!$B$10,Paramètres!$A$1:$I$89,5,0)</f>
        <v>-2.1282176021486519E-13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348.76787471354476</v>
      </c>
      <c r="AO137" s="62">
        <f t="shared" si="144"/>
        <v>258.31503417978615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59.385225562404884</v>
      </c>
      <c r="BJ137" s="62">
        <f t="shared" si="146"/>
        <v>285.5244298970598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6.3545915066163534</v>
      </c>
      <c r="BQ137" s="23">
        <f>EXP(-LN(2)/25)*BQ136+(1-EXP(-LN(2)/25))/(LN(2)/25)*Calculateur!BL137*Calculateur!BN137*VLOOKUP('Données projet'!$B$11,Paramètres!$A$1:$I$89,3,0)*0.475*44/12</f>
        <v>0.64137969741985668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6.9959712040362101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520.80494930257237</v>
      </c>
      <c r="CE137" s="62">
        <f t="shared" si="148"/>
        <v>325.72635759450861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7.7927033069267404E-2</v>
      </c>
      <c r="CL137" s="23">
        <f>EXP(-LN(2)/25)*CL136+(1-EXP(-LN(2)/25))/(LN(2)/25)*Calculateur!CG137*Calculateur!CI137*VLOOKUP('Données projet'!$B$12,Paramètres!$A$1:$I$89,3,0)*0.475*44/12</f>
        <v>0.16366183707370979</v>
      </c>
      <c r="CM137" s="23">
        <f>EXP(-LN(2)/2)*CM136+(1-EXP(-LN(2)/2))/(LN(2)/2)*CG137*CJ137*VLOOKUP('Données projet'!$B$12,Paramètres!$A$1:$I$89,3,0)*0.475*44/12</f>
        <v>7.7589272340560233E-16</v>
      </c>
      <c r="CN137" s="24">
        <f t="shared" si="120"/>
        <v>0.24158887014297797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472.83070477639035</v>
      </c>
      <c r="T138" s="62">
        <f t="shared" si="142"/>
        <v>297.32483725004136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6.8171354245098514E-2</v>
      </c>
      <c r="AA138" s="23">
        <f>EXP(-LN(2)/25)*AA137+(1-EXP(-LN(2)/25))/(LN(2)/25)*Calculateur!V138*Calculateur!X138*VLOOKUP('Données projet'!$B$9,Paramètres!$A$1:$I$89,3,0)*0.475*44/12</f>
        <v>0.14204333447499959</v>
      </c>
      <c r="AB138" s="23">
        <f>EXP(-LN(2)/2)*AB137+(1-EXP(-LN(2)/2))/(LN(2)/2)*V138*Y138*VLOOKUP('Données projet'!$B$9,Paramètres!$A$1:$I$89,3,0)*0.475*44/12</f>
        <v>4.8955480552641828E-16</v>
      </c>
      <c r="AC138" s="24">
        <f t="shared" si="111"/>
        <v>0.2102146887200986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-4.5474735088646412E-13</v>
      </c>
      <c r="AJ138" s="14">
        <f>AI138*VLOOKUP('Données projet'!$B$10,Paramètres!$A$1:$I$89,3,0)*VLOOKUP('Données projet'!$B$10,Paramètres!$A$1:$I$89,5,0)</f>
        <v>-2.1282176021486519E-13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348.76787471354476</v>
      </c>
      <c r="AO138" s="62">
        <f t="shared" si="144"/>
        <v>258.31503417978615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59.385225562404884</v>
      </c>
      <c r="BJ138" s="62">
        <f t="shared" si="146"/>
        <v>285.5244298970598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6.2299818430897105</v>
      </c>
      <c r="BQ138" s="23">
        <f>EXP(-LN(2)/25)*BQ137+(1-EXP(-LN(2)/25))/(LN(2)/25)*Calculateur!BL138*Calculateur!BN138*VLOOKUP('Données projet'!$B$11,Paramètres!$A$1:$I$89,3,0)*0.475*44/12</f>
        <v>0.62384113586521828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6.8538229789549288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520.80494930257237</v>
      </c>
      <c r="CE138" s="62">
        <f t="shared" si="148"/>
        <v>325.72635759450861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7.6398931481575963E-2</v>
      </c>
      <c r="CL138" s="23">
        <f>EXP(-LN(2)/25)*CL137+(1-EXP(-LN(2)/25))/(LN(2)/25)*Calculateur!CG138*Calculateur!CI138*VLOOKUP('Données projet'!$B$12,Paramètres!$A$1:$I$89,3,0)*0.475*44/12</f>
        <v>0.15918649553232725</v>
      </c>
      <c r="CM138" s="23">
        <f>EXP(-LN(2)/2)*CM137+(1-EXP(-LN(2)/2))/(LN(2)/2)*CG138*CJ138*VLOOKUP('Données projet'!$B$12,Paramètres!$A$1:$I$89,3,0)*0.475*44/12</f>
        <v>5.4863900619339968E-16</v>
      </c>
      <c r="CN138" s="24">
        <f t="shared" si="120"/>
        <v>0.23558542701390378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472.83070477639035</v>
      </c>
      <c r="T139" s="62">
        <f t="shared" si="142"/>
        <v>297.32483725004136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6.6834555568772491E-2</v>
      </c>
      <c r="AA139" s="23">
        <f>EXP(-LN(2)/25)*AA138+(1-EXP(-LN(2)/25))/(LN(2)/25)*Calculateur!V139*Calculateur!X139*VLOOKUP('Données projet'!$B$9,Paramètres!$A$1:$I$89,3,0)*0.475*44/12</f>
        <v>0.13815915202404641</v>
      </c>
      <c r="AB139" s="23">
        <f>EXP(-LN(2)/2)*AB138+(1-EXP(-LN(2)/2))/(LN(2)/2)*V139*Y139*VLOOKUP('Données projet'!$B$9,Paramètres!$A$1:$I$89,3,0)*0.475*44/12</f>
        <v>3.4616752275019189E-16</v>
      </c>
      <c r="AC139" s="24">
        <f t="shared" si="111"/>
        <v>0.20499370759281924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-4.5474735088646412E-13</v>
      </c>
      <c r="AJ139" s="14">
        <f>AI139*VLOOKUP('Données projet'!$B$10,Paramètres!$A$1:$I$89,3,0)*VLOOKUP('Données projet'!$B$10,Paramètres!$A$1:$I$89,5,0)</f>
        <v>-2.1282176021486519E-13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348.76787471354476</v>
      </c>
      <c r="AO139" s="62">
        <f t="shared" si="144"/>
        <v>258.31503417978615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59.385225562404884</v>
      </c>
      <c r="BJ139" s="62">
        <f t="shared" si="146"/>
        <v>285.5244298970598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6.1078156990604349</v>
      </c>
      <c r="BQ139" s="23">
        <f>EXP(-LN(2)/25)*BQ138+(1-EXP(-LN(2)/25))/(LN(2)/25)*Calculateur!BL139*Calculateur!BN139*VLOOKUP('Données projet'!$B$11,Paramètres!$A$1:$I$89,3,0)*0.475*44/12</f>
        <v>0.60678216719860434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6.7145978662590391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520.80494930257237</v>
      </c>
      <c r="CE139" s="62">
        <f t="shared" si="148"/>
        <v>325.72635759450861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7.4900795033969222E-2</v>
      </c>
      <c r="CL139" s="23">
        <f>EXP(-LN(2)/25)*CL138+(1-EXP(-LN(2)/25))/(LN(2)/25)*Calculateur!CG139*Calculateur!CI139*VLOOKUP('Données projet'!$B$12,Paramètres!$A$1:$I$89,3,0)*0.475*44/12</f>
        <v>0.15483353244074177</v>
      </c>
      <c r="CM139" s="23">
        <f>EXP(-LN(2)/2)*CM138+(1-EXP(-LN(2)/2))/(LN(2)/2)*CG139*CJ139*VLOOKUP('Données projet'!$B$12,Paramètres!$A$1:$I$89,3,0)*0.475*44/12</f>
        <v>3.8794636170280117E-16</v>
      </c>
      <c r="CN139" s="24">
        <f t="shared" si="120"/>
        <v>0.2297343274747114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472.83070477639035</v>
      </c>
      <c r="T140" s="62">
        <f t="shared" si="142"/>
        <v>297.32483725004136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6.5523970699122538E-2</v>
      </c>
      <c r="AA140" s="23">
        <f>EXP(-LN(2)/25)*AA139+(1-EXP(-LN(2)/25))/(LN(2)/25)*Calculateur!V140*Calculateur!X140*VLOOKUP('Données projet'!$B$9,Paramètres!$A$1:$I$89,3,0)*0.475*44/12</f>
        <v>0.13438118274647481</v>
      </c>
      <c r="AB140" s="23">
        <f>EXP(-LN(2)/2)*AB139+(1-EXP(-LN(2)/2))/(LN(2)/2)*V140*Y140*VLOOKUP('Données projet'!$B$9,Paramètres!$A$1:$I$89,3,0)*0.475*44/12</f>
        <v>2.4477740276320914E-16</v>
      </c>
      <c r="AC140" s="24">
        <f t="shared" si="111"/>
        <v>0.19990515344559759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-4.5474735088646412E-13</v>
      </c>
      <c r="AJ140" s="14">
        <f>AI140*VLOOKUP('Données projet'!$B$10,Paramètres!$A$1:$I$89,3,0)*VLOOKUP('Données projet'!$B$10,Paramètres!$A$1:$I$89,5,0)</f>
        <v>-2.1282176021486519E-13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348.76787471354476</v>
      </c>
      <c r="AO140" s="62">
        <f t="shared" si="144"/>
        <v>258.31503417978615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59.385225562404884</v>
      </c>
      <c r="BJ140" s="62">
        <f t="shared" si="146"/>
        <v>285.5244298970598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5.9880451586015839</v>
      </c>
      <c r="BQ140" s="23">
        <f>EXP(-LN(2)/25)*BQ139+(1-EXP(-LN(2)/25))/(LN(2)/25)*Calculateur!BL140*Calculateur!BN140*VLOOKUP('Données projet'!$B$11,Paramètres!$A$1:$I$89,3,0)*0.475*44/12</f>
        <v>0.5901896769272712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6.5782348355288551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520.80494930257237</v>
      </c>
      <c r="CE140" s="62">
        <f t="shared" si="148"/>
        <v>325.72635759450861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7.3432036128327036E-2</v>
      </c>
      <c r="CL140" s="23">
        <f>EXP(-LN(2)/25)*CL139+(1-EXP(-LN(2)/25))/(LN(2)/25)*Calculateur!CG140*Calculateur!CI140*VLOOKUP('Données projet'!$B$12,Paramètres!$A$1:$I$89,3,0)*0.475*44/12</f>
        <v>0.15059960135380809</v>
      </c>
      <c r="CM140" s="23">
        <f>EXP(-LN(2)/2)*CM139+(1-EXP(-LN(2)/2))/(LN(2)/2)*CG140*CJ140*VLOOKUP('Données projet'!$B$12,Paramètres!$A$1:$I$89,3,0)*0.475*44/12</f>
        <v>2.7431950309669984E-16</v>
      </c>
      <c r="CN140" s="24">
        <f t="shared" si="120"/>
        <v>0.22403163748213539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472.83070477639035</v>
      </c>
      <c r="T141" s="62">
        <f t="shared" si="142"/>
        <v>297.32483725004136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6.4239085599388596E-2</v>
      </c>
      <c r="AA141" s="23">
        <f>EXP(-LN(2)/25)*AA140+(1-EXP(-LN(2)/25))/(LN(2)/25)*Calculateur!V141*Calculateur!X141*VLOOKUP('Données projet'!$B$9,Paramètres!$A$1:$I$89,3,0)*0.475*44/12</f>
        <v>0.1307065222374732</v>
      </c>
      <c r="AB141" s="23">
        <f>EXP(-LN(2)/2)*AB140+(1-EXP(-LN(2)/2))/(LN(2)/2)*V141*Y141*VLOOKUP('Données projet'!$B$9,Paramètres!$A$1:$I$89,3,0)*0.475*44/12</f>
        <v>1.7308376137509594E-16</v>
      </c>
      <c r="AC141" s="24">
        <f t="shared" si="111"/>
        <v>0.19494560783686196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-4.5474735088646412E-13</v>
      </c>
      <c r="AJ141" s="14">
        <f>AI141*VLOOKUP('Données projet'!$B$10,Paramètres!$A$1:$I$89,3,0)*VLOOKUP('Données projet'!$B$10,Paramètres!$A$1:$I$89,5,0)</f>
        <v>-2.1282176021486519E-13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348.76787471354476</v>
      </c>
      <c r="AO141" s="62">
        <f t="shared" si="144"/>
        <v>258.31503417978615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59.385225562404884</v>
      </c>
      <c r="BJ141" s="62">
        <f t="shared" si="146"/>
        <v>285.5244298970598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5.8706232453883143</v>
      </c>
      <c r="BQ141" s="23">
        <f>EXP(-LN(2)/25)*BQ140+(1-EXP(-LN(2)/25))/(LN(2)/25)*Calculateur!BL141*Calculateur!BN141*VLOOKUP('Données projet'!$B$11,Paramètres!$A$1:$I$89,3,0)*0.475*44/12</f>
        <v>0.5740509091749687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6.4446741545632831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520.80494930257237</v>
      </c>
      <c r="CE141" s="62">
        <f t="shared" si="148"/>
        <v>325.72635759450861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7.1992078688970021E-2</v>
      </c>
      <c r="CL141" s="23">
        <f>EXP(-LN(2)/25)*CL140+(1-EXP(-LN(2)/25))/(LN(2)/25)*Calculateur!CG141*Calculateur!CI141*VLOOKUP('Données projet'!$B$12,Paramètres!$A$1:$I$89,3,0)*0.475*44/12</f>
        <v>0.14648144733509938</v>
      </c>
      <c r="CM141" s="23">
        <f>EXP(-LN(2)/2)*CM140+(1-EXP(-LN(2)/2))/(LN(2)/2)*CG141*CJ141*VLOOKUP('Données projet'!$B$12,Paramètres!$A$1:$I$89,3,0)*0.475*44/12</f>
        <v>1.9397318085140058E-16</v>
      </c>
      <c r="CN141" s="24">
        <f t="shared" si="120"/>
        <v>0.21847352602406958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472.83070477639035</v>
      </c>
      <c r="T142" s="62">
        <f t="shared" si="142"/>
        <v>297.32483725004136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6.2979396312757896E-2</v>
      </c>
      <c r="AA142" s="23">
        <f>EXP(-LN(2)/25)*AA141+(1-EXP(-LN(2)/25))/(LN(2)/25)*Calculateur!V142*Calculateur!X142*VLOOKUP('Données projet'!$B$9,Paramètres!$A$1:$I$89,3,0)*0.475*44/12</f>
        <v>0.12713234551333222</v>
      </c>
      <c r="AB142" s="23">
        <f>EXP(-LN(2)/2)*AB141+(1-EXP(-LN(2)/2))/(LN(2)/2)*V142*Y142*VLOOKUP('Données projet'!$B$9,Paramètres!$A$1:$I$89,3,0)*0.475*44/12</f>
        <v>1.2238870138160457E-16</v>
      </c>
      <c r="AC142" s="24">
        <f t="shared" si="111"/>
        <v>0.19011174182609022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-4.5474735088646412E-13</v>
      </c>
      <c r="AJ142" s="14">
        <f>AI142*VLOOKUP('Données projet'!$B$10,Paramètres!$A$1:$I$89,3,0)*VLOOKUP('Données projet'!$B$10,Paramètres!$A$1:$I$89,5,0)</f>
        <v>-2.1282176021486519E-13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348.76787471354476</v>
      </c>
      <c r="AO142" s="62">
        <f t="shared" si="144"/>
        <v>258.31503417978615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59.385225562404884</v>
      </c>
      <c r="BJ142" s="62">
        <f t="shared" si="146"/>
        <v>285.5244298970598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5.755503904272862</v>
      </c>
      <c r="BQ142" s="23">
        <f>EXP(-LN(2)/25)*BQ141+(1-EXP(-LN(2)/25))/(LN(2)/25)*Calculateur!BL142*Calculateur!BN142*VLOOKUP('Données projet'!$B$11,Paramètres!$A$1:$I$89,3,0)*0.475*44/12</f>
        <v>0.55835345687555393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6.3138573611484157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520.80494930257237</v>
      </c>
      <c r="CE142" s="62">
        <f t="shared" si="148"/>
        <v>325.72635759450861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7.0580357936711483E-2</v>
      </c>
      <c r="CL142" s="23">
        <f>EXP(-LN(2)/25)*CL141+(1-EXP(-LN(2)/25))/(LN(2)/25)*Calculateur!CG142*Calculateur!CI142*VLOOKUP('Données projet'!$B$12,Paramètres!$A$1:$I$89,3,0)*0.475*44/12</f>
        <v>0.14247590445459657</v>
      </c>
      <c r="CM142" s="23">
        <f>EXP(-LN(2)/2)*CM141+(1-EXP(-LN(2)/2))/(LN(2)/2)*CG142*CJ142*VLOOKUP('Données projet'!$B$12,Paramètres!$A$1:$I$89,3,0)*0.475*44/12</f>
        <v>1.3715975154834992E-16</v>
      </c>
      <c r="CN142" s="24">
        <f t="shared" si="120"/>
        <v>0.21305626239130818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472.83070477639035</v>
      </c>
      <c r="T143" s="62">
        <f t="shared" si="142"/>
        <v>297.32483725004136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6.1744408764703433E-2</v>
      </c>
      <c r="AA143" s="23">
        <f>EXP(-LN(2)/25)*AA142+(1-EXP(-LN(2)/25))/(LN(2)/25)*Calculateur!V143*Calculateur!X143*VLOOKUP('Données projet'!$B$9,Paramètres!$A$1:$I$89,3,0)*0.475*44/12</f>
        <v>0.12365590483967066</v>
      </c>
      <c r="AB143" s="23">
        <f>EXP(-LN(2)/2)*AB142+(1-EXP(-LN(2)/2))/(LN(2)/2)*V143*Y143*VLOOKUP('Données projet'!$B$9,Paramètres!$A$1:$I$89,3,0)*0.475*44/12</f>
        <v>8.6541880687547971E-17</v>
      </c>
      <c r="AC143" s="24">
        <f t="shared" si="111"/>
        <v>0.18540031360437417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-4.5474735088646412E-13</v>
      </c>
      <c r="AJ143" s="14">
        <f>AI143*VLOOKUP('Données projet'!$B$10,Paramètres!$A$1:$I$89,3,0)*VLOOKUP('Données projet'!$B$10,Paramètres!$A$1:$I$89,5,0)</f>
        <v>-2.1282176021486519E-13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348.76787471354476</v>
      </c>
      <c r="AO143" s="62">
        <f t="shared" si="144"/>
        <v>258.31503417978615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59.385225562404884</v>
      </c>
      <c r="BJ143" s="62">
        <f t="shared" si="146"/>
        <v>285.5244298970598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5.6426419832208188</v>
      </c>
      <c r="BQ143" s="23">
        <f>EXP(-LN(2)/25)*BQ142+(1-EXP(-LN(2)/25))/(LN(2)/25)*Calculateur!BL143*Calculateur!BN143*VLOOKUP('Données projet'!$B$11,Paramètres!$A$1:$I$89,3,0)*0.475*44/12</f>
        <v>0.54308525223475979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6.1857272354555786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520.80494930257237</v>
      </c>
      <c r="CE143" s="62">
        <f t="shared" si="148"/>
        <v>325.72635759450861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6.9196320167340106E-2</v>
      </c>
      <c r="CL143" s="23">
        <f>EXP(-LN(2)/25)*CL142+(1-EXP(-LN(2)/25))/(LN(2)/25)*Calculateur!CG143*Calculateur!CI143*VLOOKUP('Données projet'!$B$12,Paramètres!$A$1:$I$89,3,0)*0.475*44/12</f>
        <v>0.13857989335480345</v>
      </c>
      <c r="CM143" s="23">
        <f>EXP(-LN(2)/2)*CM142+(1-EXP(-LN(2)/2))/(LN(2)/2)*CG143*CJ143*VLOOKUP('Données projet'!$B$12,Paramètres!$A$1:$I$89,3,0)*0.475*44/12</f>
        <v>9.6986590425700292E-17</v>
      </c>
      <c r="CN143" s="24">
        <f t="shared" si="120"/>
        <v>0.20777621352214362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472.83070477639035</v>
      </c>
      <c r="T144" s="62">
        <f t="shared" si="142"/>
        <v>297.32483725004136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6.0533638569198293E-2</v>
      </c>
      <c r="AA144" s="23">
        <f>EXP(-LN(2)/25)*AA143+(1-EXP(-LN(2)/25))/(LN(2)/25)*Calculateur!V144*Calculateur!X144*VLOOKUP('Données projet'!$B$9,Paramètres!$A$1:$I$89,3,0)*0.475*44/12</f>
        <v>0.12027452761904846</v>
      </c>
      <c r="AB144" s="23">
        <f>EXP(-LN(2)/2)*AB143+(1-EXP(-LN(2)/2))/(LN(2)/2)*V144*Y144*VLOOKUP('Données projet'!$B$9,Paramètres!$A$1:$I$89,3,0)*0.475*44/12</f>
        <v>6.1194350690802285E-17</v>
      </c>
      <c r="AC144" s="24">
        <f t="shared" si="111"/>
        <v>0.1808081661882468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-4.5474735088646412E-13</v>
      </c>
      <c r="AJ144" s="14">
        <f>AI144*VLOOKUP('Données projet'!$B$10,Paramètres!$A$1:$I$89,3,0)*VLOOKUP('Données projet'!$B$10,Paramètres!$A$1:$I$89,5,0)</f>
        <v>-2.1282176021486519E-13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348.76787471354476</v>
      </c>
      <c r="AO144" s="62">
        <f t="shared" si="144"/>
        <v>258.31503417978615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59.385225562404884</v>
      </c>
      <c r="BJ144" s="62">
        <f t="shared" si="146"/>
        <v>285.5244298970598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5.5319932156016316</v>
      </c>
      <c r="BQ144" s="23">
        <f>EXP(-LN(2)/25)*BQ143+(1-EXP(-LN(2)/25))/(LN(2)/25)*Calculateur!BL144*Calculateur!BN144*VLOOKUP('Données projet'!$B$11,Paramètres!$A$1:$I$89,3,0)*0.475*44/12</f>
        <v>0.52823455745278813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6.0602277730544198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520.80494930257237</v>
      </c>
      <c r="CE144" s="62">
        <f t="shared" si="148"/>
        <v>325.72635759450861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6.7839422534446414E-2</v>
      </c>
      <c r="CL144" s="23">
        <f>EXP(-LN(2)/25)*CL143+(1-EXP(-LN(2)/25))/(LN(2)/25)*Calculateur!CG144*Calculateur!CI144*VLOOKUP('Données projet'!$B$12,Paramètres!$A$1:$I$89,3,0)*0.475*44/12</f>
        <v>0.13479041888341647</v>
      </c>
      <c r="CM144" s="23">
        <f>EXP(-LN(2)/2)*CM143+(1-EXP(-LN(2)/2))/(LN(2)/2)*CG144*CJ144*VLOOKUP('Données projet'!$B$12,Paramètres!$A$1:$I$89,3,0)*0.475*44/12</f>
        <v>6.857987577417496E-17</v>
      </c>
      <c r="CN144" s="24">
        <f t="shared" si="120"/>
        <v>0.20262984141786294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472.83070477639035</v>
      </c>
      <c r="T145" s="62">
        <f t="shared" si="142"/>
        <v>297.32483725004136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5.9346610838730107E-2</v>
      </c>
      <c r="AA145" s="23">
        <f>EXP(-LN(2)/25)*AA144+(1-EXP(-LN(2)/25))/(LN(2)/25)*Calculateur!V145*Calculateur!X145*VLOOKUP('Données projet'!$B$9,Paramètres!$A$1:$I$89,3,0)*0.475*44/12</f>
        <v>0.11698561433634307</v>
      </c>
      <c r="AB145" s="23">
        <f>EXP(-LN(2)/2)*AB144+(1-EXP(-LN(2)/2))/(LN(2)/2)*V145*Y145*VLOOKUP('Données projet'!$B$9,Paramètres!$A$1:$I$89,3,0)*0.475*44/12</f>
        <v>4.3270940343773986E-17</v>
      </c>
      <c r="AC145" s="24">
        <f t="shared" si="111"/>
        <v>0.17633222517507324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-4.5474735088646412E-13</v>
      </c>
      <c r="AJ145" s="14">
        <f>AI145*VLOOKUP('Données projet'!$B$10,Paramètres!$A$1:$I$89,3,0)*VLOOKUP('Données projet'!$B$10,Paramètres!$A$1:$I$89,5,0)</f>
        <v>-2.1282176021486519E-13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348.76787471354476</v>
      </c>
      <c r="AO145" s="62">
        <f t="shared" si="144"/>
        <v>258.31503417978615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59.385225562404884</v>
      </c>
      <c r="BJ145" s="62">
        <f t="shared" si="146"/>
        <v>285.5244298970598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5.4235142028263725</v>
      </c>
      <c r="BQ145" s="23">
        <f>EXP(-LN(2)/25)*BQ144+(1-EXP(-LN(2)/25))/(LN(2)/25)*Calculateur!BL145*Calculateur!BN145*VLOOKUP('Données projet'!$B$11,Paramètres!$A$1:$I$89,3,0)*0.475*44/12</f>
        <v>0.5137899557005936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5.9373041585269659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520.80494930257237</v>
      </c>
      <c r="CE145" s="62">
        <f t="shared" si="148"/>
        <v>325.72635759450861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6.6509132836507931E-2</v>
      </c>
      <c r="CL145" s="23">
        <f>EXP(-LN(2)/25)*CL144+(1-EXP(-LN(2)/25))/(LN(2)/25)*Calculateur!CG145*Calculateur!CI145*VLOOKUP('Données projet'!$B$12,Paramètres!$A$1:$I$89,3,0)*0.475*44/12</f>
        <v>0.13110456779072938</v>
      </c>
      <c r="CM145" s="23">
        <f>EXP(-LN(2)/2)*CM144+(1-EXP(-LN(2)/2))/(LN(2)/2)*CG145*CJ145*VLOOKUP('Données projet'!$B$12,Paramètres!$A$1:$I$89,3,0)*0.475*44/12</f>
        <v>4.8493295212850146E-17</v>
      </c>
      <c r="CN145" s="24">
        <f t="shared" si="120"/>
        <v>0.19761370062723738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472.83070477639035</v>
      </c>
      <c r="T146" s="62">
        <f t="shared" si="142"/>
        <v>297.32483725004136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5.818285999804098E-2</v>
      </c>
      <c r="AA146" s="23">
        <f>EXP(-LN(2)/25)*AA145+(1-EXP(-LN(2)/25))/(LN(2)/25)*Calculateur!V146*Calculateur!X146*VLOOKUP('Données projet'!$B$9,Paramètres!$A$1:$I$89,3,0)*0.475*44/12</f>
        <v>0.11378663656030968</v>
      </c>
      <c r="AB146" s="23">
        <f>EXP(-LN(2)/2)*AB145+(1-EXP(-LN(2)/2))/(LN(2)/2)*V146*Y146*VLOOKUP('Données projet'!$B$9,Paramètres!$A$1:$I$89,3,0)*0.475*44/12</f>
        <v>3.0597175345401143E-17</v>
      </c>
      <c r="AC146" s="24">
        <f t="shared" si="111"/>
        <v>0.1719694965583507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-4.5474735088646412E-13</v>
      </c>
      <c r="AJ146" s="14">
        <f>AI146*VLOOKUP('Données projet'!$B$10,Paramètres!$A$1:$I$89,3,0)*VLOOKUP('Données projet'!$B$10,Paramètres!$A$1:$I$89,5,0)</f>
        <v>-2.1282176021486519E-13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348.76787471354476</v>
      </c>
      <c r="AO146" s="62">
        <f t="shared" si="144"/>
        <v>258.31503417978615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59.385225562404884</v>
      </c>
      <c r="BJ146" s="62">
        <f t="shared" si="146"/>
        <v>285.5244298970598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5.3171623973259718</v>
      </c>
      <c r="BQ146" s="23">
        <f>EXP(-LN(2)/25)*BQ145+(1-EXP(-LN(2)/25))/(LN(2)/25)*Calculateur!BL146*Calculateur!BN146*VLOOKUP('Données projet'!$B$11,Paramètres!$A$1:$I$89,3,0)*0.475*44/12</f>
        <v>0.49974034234292136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5.816902739668893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520.80494930257237</v>
      </c>
      <c r="CE146" s="62">
        <f t="shared" si="148"/>
        <v>325.72635759450861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6.5204929308149431E-2</v>
      </c>
      <c r="CL146" s="23">
        <f>EXP(-LN(2)/25)*CL145+(1-EXP(-LN(2)/25))/(LN(2)/25)*Calculateur!CG146*Calculateur!CI146*VLOOKUP('Données projet'!$B$12,Paramètres!$A$1:$I$89,3,0)*0.475*44/12</f>
        <v>0.12751950649000229</v>
      </c>
      <c r="CM146" s="23">
        <f>EXP(-LN(2)/2)*CM145+(1-EXP(-LN(2)/2))/(LN(2)/2)*CG146*CJ146*VLOOKUP('Données projet'!$B$12,Paramètres!$A$1:$I$89,3,0)*0.475*44/12</f>
        <v>3.428993788708748E-17</v>
      </c>
      <c r="CN146" s="24">
        <f t="shared" si="120"/>
        <v>0.19272443579815177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472.83070477639035</v>
      </c>
      <c r="T147" s="62">
        <f t="shared" si="142"/>
        <v>297.32483725004136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5.7041929601519839E-2</v>
      </c>
      <c r="AA147" s="23">
        <f>EXP(-LN(2)/25)*AA146+(1-EXP(-LN(2)/25))/(LN(2)/25)*Calculateur!V147*Calculateur!X147*VLOOKUP('Données projet'!$B$9,Paramètres!$A$1:$I$89,3,0)*0.475*44/12</f>
        <v>0.11067513499978886</v>
      </c>
      <c r="AB147" s="23">
        <f>EXP(-LN(2)/2)*AB146+(1-EXP(-LN(2)/2))/(LN(2)/2)*V147*Y147*VLOOKUP('Données projet'!$B$9,Paramètres!$A$1:$I$89,3,0)*0.475*44/12</f>
        <v>2.1635470171886993E-17</v>
      </c>
      <c r="AC147" s="24">
        <f t="shared" si="111"/>
        <v>0.16771706460130872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-4.5474735088646412E-13</v>
      </c>
      <c r="AJ147" s="14">
        <f>AI147*VLOOKUP('Données projet'!$B$10,Paramètres!$A$1:$I$89,3,0)*VLOOKUP('Données projet'!$B$10,Paramètres!$A$1:$I$89,5,0)</f>
        <v>-2.1282176021486519E-13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348.76787471354476</v>
      </c>
      <c r="AO147" s="62">
        <f t="shared" si="144"/>
        <v>258.31503417978615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59.385225562404884</v>
      </c>
      <c r="BJ147" s="62">
        <f t="shared" si="146"/>
        <v>285.5244298970598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5.2128960858632372</v>
      </c>
      <c r="BQ147" s="23">
        <f>EXP(-LN(2)/25)*BQ146+(1-EXP(-LN(2)/25))/(LN(2)/25)*Calculateur!BL147*Calculateur!BN147*VLOOKUP('Données projet'!$B$11,Paramètres!$A$1:$I$89,3,0)*0.475*44/12</f>
        <v>0.48607491640135175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5.6989710022645887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520.80494930257237</v>
      </c>
      <c r="CE147" s="62">
        <f t="shared" si="148"/>
        <v>325.72635759450861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6.3926300415496434E-2</v>
      </c>
      <c r="CL147" s="23">
        <f>EXP(-LN(2)/25)*CL146+(1-EXP(-LN(2)/25))/(LN(2)/25)*Calculateur!CG147*Calculateur!CI147*VLOOKUP('Données projet'!$B$12,Paramètres!$A$1:$I$89,3,0)*0.475*44/12</f>
        <v>0.12403247887907379</v>
      </c>
      <c r="CM147" s="23">
        <f>EXP(-LN(2)/2)*CM146+(1-EXP(-LN(2)/2))/(LN(2)/2)*CG147*CJ147*VLOOKUP('Données projet'!$B$12,Paramètres!$A$1:$I$89,3,0)*0.475*44/12</f>
        <v>2.4246647606425073E-17</v>
      </c>
      <c r="CN147" s="24">
        <f t="shared" si="120"/>
        <v>0.18795877929457025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472.83070477639035</v>
      </c>
      <c r="T148" s="62">
        <f t="shared" si="142"/>
        <v>297.32483725004136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5.592337215417565E-2</v>
      </c>
      <c r="AA148" s="23">
        <f>EXP(-LN(2)/25)*AA147+(1-EXP(-LN(2)/25))/(LN(2)/25)*Calculateur!V148*Calculateur!X148*VLOOKUP('Données projet'!$B$9,Paramètres!$A$1:$I$89,3,0)*0.475*44/12</f>
        <v>0.10764871761306723</v>
      </c>
      <c r="AB148" s="23">
        <f>EXP(-LN(2)/2)*AB147+(1-EXP(-LN(2)/2))/(LN(2)/2)*V148*Y148*VLOOKUP('Données projet'!$B$9,Paramètres!$A$1:$I$89,3,0)*0.475*44/12</f>
        <v>1.5298587672700571E-17</v>
      </c>
      <c r="AC148" s="24">
        <f t="shared" si="111"/>
        <v>0.16357208976724291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-4.5474735088646412E-13</v>
      </c>
      <c r="AJ148" s="14">
        <f>AI148*VLOOKUP('Données projet'!$B$10,Paramètres!$A$1:$I$89,3,0)*VLOOKUP('Données projet'!$B$10,Paramètres!$A$1:$I$89,5,0)</f>
        <v>-2.1282176021486519E-13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348.76787471354476</v>
      </c>
      <c r="AO148" s="62">
        <f t="shared" si="144"/>
        <v>258.31503417978615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59.385225562404884</v>
      </c>
      <c r="BJ148" s="62">
        <f t="shared" si="146"/>
        <v>285.5244298970598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5.1106743731721167</v>
      </c>
      <c r="BQ148" s="23">
        <f>EXP(-LN(2)/25)*BQ147+(1-EXP(-LN(2)/25))/(LN(2)/25)*Calculateur!BL148*Calculateur!BN148*VLOOKUP('Données projet'!$B$11,Paramètres!$A$1:$I$89,3,0)*0.475*44/12</f>
        <v>0.47278317225078786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5.5834575454229043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520.80494930257237</v>
      </c>
      <c r="CE148" s="62">
        <f t="shared" si="148"/>
        <v>325.72635759450861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6.2672744655541748E-2</v>
      </c>
      <c r="CL148" s="23">
        <f>EXP(-LN(2)/25)*CL147+(1-EXP(-LN(2)/25))/(LN(2)/25)*Calculateur!CG148*Calculateur!CI148*VLOOKUP('Données projet'!$B$12,Paramètres!$A$1:$I$89,3,0)*0.475*44/12</f>
        <v>0.12064080422154093</v>
      </c>
      <c r="CM148" s="23">
        <f>EXP(-LN(2)/2)*CM147+(1-EXP(-LN(2)/2))/(LN(2)/2)*CG148*CJ148*VLOOKUP('Données projet'!$B$12,Paramètres!$A$1:$I$89,3,0)*0.475*44/12</f>
        <v>1.714496894354374E-17</v>
      </c>
      <c r="CN148" s="24">
        <f t="shared" si="120"/>
        <v>0.1833135488770827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472.83070477639035</v>
      </c>
      <c r="T149" s="62">
        <f t="shared" si="142"/>
        <v>297.32483725004136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5.482674893612121E-2</v>
      </c>
      <c r="AA149" s="23">
        <f>EXP(-LN(2)/25)*AA148+(1-EXP(-LN(2)/25))/(LN(2)/25)*Calculateur!V149*Calculateur!X149*VLOOKUP('Données projet'!$B$9,Paramètres!$A$1:$I$89,3,0)*0.475*44/12</f>
        <v>0.10470505776893788</v>
      </c>
      <c r="AB149" s="23">
        <f>EXP(-LN(2)/2)*AB148+(1-EXP(-LN(2)/2))/(LN(2)/2)*V149*Y149*VLOOKUP('Données projet'!$B$9,Paramètres!$A$1:$I$89,3,0)*0.475*44/12</f>
        <v>1.0817735085943496E-17</v>
      </c>
      <c r="AC149" s="24">
        <f t="shared" si="111"/>
        <v>0.15953180670505909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-4.5474735088646412E-13</v>
      </c>
      <c r="AJ149" s="14">
        <f>AI149*VLOOKUP('Données projet'!$B$10,Paramètres!$A$1:$I$89,3,0)*VLOOKUP('Données projet'!$B$10,Paramètres!$A$1:$I$89,5,0)</f>
        <v>-2.1282176021486519E-13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348.76787471354476</v>
      </c>
      <c r="AO149" s="62">
        <f t="shared" si="144"/>
        <v>258.31503417978615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59.385225562404884</v>
      </c>
      <c r="BJ149" s="62">
        <f t="shared" si="146"/>
        <v>285.5244298970598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5.0104571659177806</v>
      </c>
      <c r="BQ149" s="23">
        <f>EXP(-LN(2)/25)*BQ148+(1-EXP(-LN(2)/25))/(LN(2)/25)*Calculateur!BL149*Calculateur!BN149*VLOOKUP('Données projet'!$B$11,Paramètres!$A$1:$I$89,3,0)*0.475*44/12</f>
        <v>0.45985489154300357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5.4703120574607844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520.80494930257237</v>
      </c>
      <c r="CE149" s="62">
        <f t="shared" si="148"/>
        <v>325.72635759450861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6.1443770359446252E-2</v>
      </c>
      <c r="CL149" s="23">
        <f>EXP(-LN(2)/25)*CL148+(1-EXP(-LN(2)/25))/(LN(2)/25)*Calculateur!CG149*Calculateur!CI149*VLOOKUP('Données projet'!$B$12,Paramètres!$A$1:$I$89,3,0)*0.475*44/12</f>
        <v>0.11734187508587873</v>
      </c>
      <c r="CM149" s="23">
        <f>EXP(-LN(2)/2)*CM148+(1-EXP(-LN(2)/2))/(LN(2)/2)*CG149*CJ149*VLOOKUP('Données projet'!$B$12,Paramètres!$A$1:$I$89,3,0)*0.475*44/12</f>
        <v>1.2123323803212536E-17</v>
      </c>
      <c r="CN149" s="24">
        <f t="shared" si="120"/>
        <v>0.17878564544532499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472.83070477639035</v>
      </c>
      <c r="T150" s="62">
        <f t="shared" si="142"/>
        <v>297.32483725004136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5.37516298304987E-2</v>
      </c>
      <c r="AA150" s="23">
        <f>EXP(-LN(2)/25)*AA149+(1-EXP(-LN(2)/25))/(LN(2)/25)*Calculateur!V150*Calculateur!X150*VLOOKUP('Données projet'!$B$9,Paramètres!$A$1:$I$89,3,0)*0.475*44/12</f>
        <v>0.10184189245804659</v>
      </c>
      <c r="AB150" s="23">
        <f>EXP(-LN(2)/2)*AB149+(1-EXP(-LN(2)/2))/(LN(2)/2)*V150*Y150*VLOOKUP('Données projet'!$B$9,Paramètres!$A$1:$I$89,3,0)*0.475*44/12</f>
        <v>7.6492938363502856E-18</v>
      </c>
      <c r="AC150" s="24">
        <f t="shared" si="111"/>
        <v>0.15559352228854528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-4.5474735088646412E-13</v>
      </c>
      <c r="AJ150" s="14">
        <f>AI150*VLOOKUP('Données projet'!$B$10,Paramètres!$A$1:$I$89,3,0)*VLOOKUP('Données projet'!$B$10,Paramètres!$A$1:$I$89,5,0)</f>
        <v>-2.1282176021486519E-13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348.76787471354476</v>
      </c>
      <c r="AO150" s="62">
        <f t="shared" si="144"/>
        <v>258.31503417978615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59.385225562404884</v>
      </c>
      <c r="BJ150" s="62">
        <f t="shared" si="146"/>
        <v>285.5244298970598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4.9122051569712415</v>
      </c>
      <c r="BQ150" s="23">
        <f>EXP(-LN(2)/25)*BQ149+(1-EXP(-LN(2)/25))/(LN(2)/25)*Calculateur!BL150*Calculateur!BN150*VLOOKUP('Données projet'!$B$11,Paramètres!$A$1:$I$89,3,0)*0.475*44/12</f>
        <v>0.44728013535104238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5.359485292322284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520.80494930257237</v>
      </c>
      <c r="CE150" s="62">
        <f t="shared" si="148"/>
        <v>325.72635759450861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6.0238895499696882E-2</v>
      </c>
      <c r="CL150" s="23">
        <f>EXP(-LN(2)/25)*CL149+(1-EXP(-LN(2)/25))/(LN(2)/25)*Calculateur!CG150*Calculateur!CI150*VLOOKUP('Données projet'!$B$12,Paramètres!$A$1:$I$89,3,0)*0.475*44/12</f>
        <v>0.11413315534091435</v>
      </c>
      <c r="CM150" s="23">
        <f>EXP(-LN(2)/2)*CM149+(1-EXP(-LN(2)/2))/(LN(2)/2)*CG150*CJ150*VLOOKUP('Données projet'!$B$12,Paramètres!$A$1:$I$89,3,0)*0.475*44/12</f>
        <v>8.57248447177187E-18</v>
      </c>
      <c r="CN150" s="24">
        <f t="shared" si="120"/>
        <v>0.17437205084061125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472.83070477639035</v>
      </c>
      <c r="T151" s="62">
        <f t="shared" si="142"/>
        <v>297.32483725004136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5.2697593154779544E-2</v>
      </c>
      <c r="AA151" s="23">
        <f>EXP(-LN(2)/25)*AA150+(1-EXP(-LN(2)/25))/(LN(2)/25)*Calculateur!V151*Calculateur!X151*VLOOKUP('Données projet'!$B$9,Paramètres!$A$1:$I$89,3,0)*0.475*44/12</f>
        <v>9.9057020553148939E-2</v>
      </c>
      <c r="AB151" s="23">
        <f>EXP(-LN(2)/2)*AB150+(1-EXP(-LN(2)/2))/(LN(2)/2)*V151*Y151*VLOOKUP('Données projet'!$B$9,Paramètres!$A$1:$I$89,3,0)*0.475*44/12</f>
        <v>5.4088675429717482E-18</v>
      </c>
      <c r="AC151" s="24">
        <f t="shared" si="111"/>
        <v>0.15175461370792848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-4.5474735088646412E-13</v>
      </c>
      <c r="AJ151" s="14">
        <f>AI151*VLOOKUP('Données projet'!$B$10,Paramètres!$A$1:$I$89,3,0)*VLOOKUP('Données projet'!$B$10,Paramètres!$A$1:$I$89,5,0)</f>
        <v>-2.1282176021486519E-13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348.76787471354476</v>
      </c>
      <c r="AO151" s="62">
        <f t="shared" si="144"/>
        <v>258.31503417978615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59.385225562404884</v>
      </c>
      <c r="BJ151" s="62">
        <f t="shared" si="146"/>
        <v>285.5244298970598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4.8158798099923361</v>
      </c>
      <c r="BQ151" s="23">
        <f>EXP(-LN(2)/25)*BQ150+(1-EXP(-LN(2)/25))/(LN(2)/25)*Calculateur!BL151*Calculateur!BN151*VLOOKUP('Données projet'!$B$11,Paramètres!$A$1:$I$89,3,0)*0.475*44/12</f>
        <v>0.43504923652842808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5.2509290465207643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520.80494930257237</v>
      </c>
      <c r="CE151" s="62">
        <f t="shared" si="148"/>
        <v>325.72635759450861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5.9057647501046098E-2</v>
      </c>
      <c r="CL151" s="23">
        <f>EXP(-LN(2)/25)*CL150+(1-EXP(-LN(2)/25))/(LN(2)/25)*Calculateur!CG151*Calculateur!CI151*VLOOKUP('Données projet'!$B$12,Paramètres!$A$1:$I$89,3,0)*0.475*44/12</f>
        <v>0.11101217820611527</v>
      </c>
      <c r="CM151" s="23">
        <f>EXP(-LN(2)/2)*CM150+(1-EXP(-LN(2)/2))/(LN(2)/2)*CG151*CJ151*VLOOKUP('Données projet'!$B$12,Paramètres!$A$1:$I$89,3,0)*0.475*44/12</f>
        <v>6.0616619016062682E-18</v>
      </c>
      <c r="CN151" s="24">
        <f t="shared" si="120"/>
        <v>0.17006982570716137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472.83070477639035</v>
      </c>
      <c r="T152" s="62">
        <f t="shared" si="142"/>
        <v>297.32483725004136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5.1664225495372348E-2</v>
      </c>
      <c r="AA152" s="23">
        <f>EXP(-LN(2)/25)*AA151+(1-EXP(-LN(2)/25))/(LN(2)/25)*Calculateur!V152*Calculateur!X152*VLOOKUP('Données projet'!$B$9,Paramètres!$A$1:$I$89,3,0)*0.475*44/12</f>
        <v>9.6348301116940774E-2</v>
      </c>
      <c r="AB152" s="23">
        <f>EXP(-LN(2)/2)*AB151+(1-EXP(-LN(2)/2))/(LN(2)/2)*V152*Y152*VLOOKUP('Données projet'!$B$9,Paramètres!$A$1:$I$89,3,0)*0.475*44/12</f>
        <v>3.8246469181751428E-18</v>
      </c>
      <c r="AC152" s="24">
        <f t="shared" si="111"/>
        <v>0.14801252661231312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-4.5474735088646412E-13</v>
      </c>
      <c r="AJ152" s="14">
        <f>AI152*VLOOKUP('Données projet'!$B$10,Paramètres!$A$1:$I$89,3,0)*VLOOKUP('Données projet'!$B$10,Paramètres!$A$1:$I$89,5,0)</f>
        <v>-2.1282176021486519E-13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348.76787471354476</v>
      </c>
      <c r="AO152" s="62">
        <f t="shared" si="144"/>
        <v>258.31503417978615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59.385225562404884</v>
      </c>
      <c r="BJ152" s="62">
        <f t="shared" si="146"/>
        <v>285.5244298970598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4.721443344315027</v>
      </c>
      <c r="BQ152" s="23">
        <f>EXP(-LN(2)/25)*BQ151+(1-EXP(-LN(2)/25))/(LN(2)/25)*Calculateur!BL152*Calculateur!BN152*VLOOKUP('Données projet'!$B$11,Paramètres!$A$1:$I$89,3,0)*0.475*44/12</f>
        <v>0.42315279227731317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5.1445961365923401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520.80494930257237</v>
      </c>
      <c r="CE152" s="62">
        <f t="shared" si="148"/>
        <v>325.72635759450861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5.7899563055158719E-2</v>
      </c>
      <c r="CL152" s="23">
        <f>EXP(-LN(2)/25)*CL151+(1-EXP(-LN(2)/25))/(LN(2)/25)*Calculateur!CG152*Calculateur!CI152*VLOOKUP('Données projet'!$B$12,Paramètres!$A$1:$I$89,3,0)*0.475*44/12</f>
        <v>0.10797654435519231</v>
      </c>
      <c r="CM152" s="23">
        <f>EXP(-LN(2)/2)*CM151+(1-EXP(-LN(2)/2))/(LN(2)/2)*CG152*CJ152*VLOOKUP('Données projet'!$B$12,Paramètres!$A$1:$I$89,3,0)*0.475*44/12</f>
        <v>4.286242235885935E-18</v>
      </c>
      <c r="CN152" s="24">
        <f t="shared" si="120"/>
        <v>0.16587610741035103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472.83070477639035</v>
      </c>
      <c r="T153" s="62">
        <f t="shared" si="142"/>
        <v>297.32483725004136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5.065112154547409E-2</v>
      </c>
      <c r="AA153" s="23">
        <f>EXP(-LN(2)/25)*AA152+(1-EXP(-LN(2)/25))/(LN(2)/25)*Calculateur!V153*Calculateur!X153*VLOOKUP('Données projet'!$B$9,Paramètres!$A$1:$I$89,3,0)*0.475*44/12</f>
        <v>9.3713651756161073E-2</v>
      </c>
      <c r="AB153" s="23">
        <f>EXP(-LN(2)/2)*AB152+(1-EXP(-LN(2)/2))/(LN(2)/2)*V153*Y153*VLOOKUP('Données projet'!$B$9,Paramètres!$A$1:$I$89,3,0)*0.475*44/12</f>
        <v>2.7044337714858741E-18</v>
      </c>
      <c r="AC153" s="24">
        <f t="shared" si="111"/>
        <v>0.14436477330163516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-4.5474735088646412E-13</v>
      </c>
      <c r="AJ153" s="14">
        <f>AI153*VLOOKUP('Données projet'!$B$10,Paramètres!$A$1:$I$89,3,0)*VLOOKUP('Données projet'!$B$10,Paramètres!$A$1:$I$89,5,0)</f>
        <v>-2.1282176021486519E-13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348.76787471354476</v>
      </c>
      <c r="AO153" s="62">
        <f t="shared" si="144"/>
        <v>258.31503417978615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59.385225562404884</v>
      </c>
      <c r="BJ153" s="62">
        <f t="shared" si="146"/>
        <v>285.5244298970598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4.6288587201290934</v>
      </c>
      <c r="BQ153" s="23">
        <f>EXP(-LN(2)/25)*BQ152+(1-EXP(-LN(2)/25))/(LN(2)/25)*Calculateur!BL153*Calculateur!BN153*VLOOKUP('Données projet'!$B$11,Paramètres!$A$1:$I$89,3,0)*0.475*44/12</f>
        <v>0.41158165691985182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5.0404403770489452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520.80494930257237</v>
      </c>
      <c r="CE153" s="62">
        <f t="shared" si="148"/>
        <v>325.72635759450861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5.6764187938893429E-2</v>
      </c>
      <c r="CL153" s="23">
        <f>EXP(-LN(2)/25)*CL152+(1-EXP(-LN(2)/25))/(LN(2)/25)*Calculateur!CG153*Calculateur!CI153*VLOOKUP('Données projet'!$B$12,Paramètres!$A$1:$I$89,3,0)*0.475*44/12</f>
        <v>0.10502392007155989</v>
      </c>
      <c r="CM153" s="23">
        <f>EXP(-LN(2)/2)*CM152+(1-EXP(-LN(2)/2))/(LN(2)/2)*CG153*CJ153*VLOOKUP('Données projet'!$B$12,Paramètres!$A$1:$I$89,3,0)*0.475*44/12</f>
        <v>3.0308309508031341E-18</v>
      </c>
      <c r="CN153" s="24">
        <f t="shared" si="120"/>
        <v>0.16178810801045332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472.83070477639035</v>
      </c>
      <c r="T154" s="62">
        <f t="shared" si="142"/>
        <v>297.32483725004136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4.9657883946100941E-2</v>
      </c>
      <c r="AA154" s="23">
        <f>EXP(-LN(2)/25)*AA153+(1-EXP(-LN(2)/25))/(LN(2)/25)*Calculateur!V154*Calculateur!X154*VLOOKUP('Données projet'!$B$9,Paramètres!$A$1:$I$89,3,0)*0.475*44/12</f>
        <v>9.1151047020702092E-2</v>
      </c>
      <c r="AB154" s="23">
        <f>EXP(-LN(2)/2)*AB153+(1-EXP(-LN(2)/2))/(LN(2)/2)*V154*Y154*VLOOKUP('Données projet'!$B$9,Paramètres!$A$1:$I$89,3,0)*0.475*44/12</f>
        <v>1.9123234590875714E-18</v>
      </c>
      <c r="AC154" s="24">
        <f t="shared" ref="AC154:AC203" si="163">SUM(Z154:AB154)</f>
        <v>0.14080893096680303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-4.5474735088646412E-13</v>
      </c>
      <c r="AJ154" s="14">
        <f>AI154*VLOOKUP('Données projet'!$B$10,Paramètres!$A$1:$I$89,3,0)*VLOOKUP('Données projet'!$B$10,Paramètres!$A$1:$I$89,5,0)</f>
        <v>-2.1282176021486519E-13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348.76787471354476</v>
      </c>
      <c r="AO154" s="62">
        <f t="shared" si="144"/>
        <v>258.31503417978615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59.385225562404884</v>
      </c>
      <c r="BJ154" s="62">
        <f t="shared" si="146"/>
        <v>285.5244298970598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4.5380896239524011</v>
      </c>
      <c r="BQ154" s="23">
        <f>EXP(-LN(2)/25)*BQ153+(1-EXP(-LN(2)/25))/(LN(2)/25)*Calculateur!BL154*Calculateur!BN154*VLOOKUP('Données projet'!$B$11,Paramètres!$A$1:$I$89,3,0)*0.475*44/12</f>
        <v>0.4003269348672398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4.9384165588196414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520.80494930257237</v>
      </c>
      <c r="CE154" s="62">
        <f t="shared" si="148"/>
        <v>325.72635759450861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5.5651076836147659E-2</v>
      </c>
      <c r="CL154" s="23">
        <f>EXP(-LN(2)/25)*CL153+(1-EXP(-LN(2)/25))/(LN(2)/25)*Calculateur!CG154*Calculateur!CI154*VLOOKUP('Données projet'!$B$12,Paramètres!$A$1:$I$89,3,0)*0.475*44/12</f>
        <v>0.10215203545423517</v>
      </c>
      <c r="CM154" s="23">
        <f>EXP(-LN(2)/2)*CM153+(1-EXP(-LN(2)/2))/(LN(2)/2)*CG154*CJ154*VLOOKUP('Données projet'!$B$12,Paramètres!$A$1:$I$89,3,0)*0.475*44/12</f>
        <v>2.1431211179429675E-18</v>
      </c>
      <c r="CN154" s="24">
        <f t="shared" ref="CN154:CN203" si="172">SUM(CK154:CM154)</f>
        <v>0.15780311229038282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472.83070477639035</v>
      </c>
      <c r="T155" s="62">
        <f t="shared" si="142"/>
        <v>297.32483725004136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4.8684123130236387E-2</v>
      </c>
      <c r="AA155" s="23">
        <f>EXP(-LN(2)/25)*AA154+(1-EXP(-LN(2)/25))/(LN(2)/25)*Calculateur!V155*Calculateur!X155*VLOOKUP('Données projet'!$B$9,Paramètres!$A$1:$I$89,3,0)*0.475*44/12</f>
        <v>8.8658516846495755E-2</v>
      </c>
      <c r="AB155" s="23">
        <f>EXP(-LN(2)/2)*AB154+(1-EXP(-LN(2)/2))/(LN(2)/2)*V155*Y155*VLOOKUP('Données projet'!$B$9,Paramètres!$A$1:$I$89,3,0)*0.475*44/12</f>
        <v>1.3522168857429371E-18</v>
      </c>
      <c r="AC155" s="24">
        <f t="shared" si="163"/>
        <v>0.13734263997673213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-4.5474735088646412E-13</v>
      </c>
      <c r="AJ155" s="14">
        <f>AI155*VLOOKUP('Données projet'!$B$10,Paramètres!$A$1:$I$89,3,0)*VLOOKUP('Données projet'!$B$10,Paramètres!$A$1:$I$89,5,0)</f>
        <v>-2.1282176021486519E-13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348.76787471354476</v>
      </c>
      <c r="AO155" s="62">
        <f t="shared" si="144"/>
        <v>258.31503417978615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59.385225562404884</v>
      </c>
      <c r="BJ155" s="62">
        <f t="shared" si="146"/>
        <v>285.5244298970598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4.4491004543880512</v>
      </c>
      <c r="BQ155" s="23">
        <f>EXP(-LN(2)/25)*BQ154+(1-EXP(-LN(2)/25))/(LN(2)/25)*Calculateur!BL155*Calculateur!BN155*VLOOKUP('Données projet'!$B$11,Paramètres!$A$1:$I$89,3,0)*0.475*44/12</f>
        <v>0.38937997378101658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4.8384804281690679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520.80494930257237</v>
      </c>
      <c r="CE155" s="62">
        <f t="shared" si="148"/>
        <v>325.72635759450861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5.4559793163196001E-2</v>
      </c>
      <c r="CL155" s="23">
        <f>EXP(-LN(2)/25)*CL154+(1-EXP(-LN(2)/25))/(LN(2)/25)*Calculateur!CG155*Calculateur!CI155*VLOOKUP('Données projet'!$B$12,Paramètres!$A$1:$I$89,3,0)*0.475*44/12</f>
        <v>9.935868267279703E-2</v>
      </c>
      <c r="CM155" s="23">
        <f>EXP(-LN(2)/2)*CM154+(1-EXP(-LN(2)/2))/(LN(2)/2)*CG155*CJ155*VLOOKUP('Données projet'!$B$12,Paramètres!$A$1:$I$89,3,0)*0.475*44/12</f>
        <v>1.5154154754015671E-18</v>
      </c>
      <c r="CN155" s="24">
        <f t="shared" si="172"/>
        <v>0.15391847583599302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472.83070477639035</v>
      </c>
      <c r="T156" s="62">
        <f t="shared" si="142"/>
        <v>297.32483725004136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4.7729457170035482E-2</v>
      </c>
      <c r="AA156" s="23">
        <f>EXP(-LN(2)/25)*AA155+(1-EXP(-LN(2)/25))/(LN(2)/25)*Calculateur!V156*Calculateur!X156*VLOOKUP('Données projet'!$B$9,Paramètres!$A$1:$I$89,3,0)*0.475*44/12</f>
        <v>8.6234145040979565E-2</v>
      </c>
      <c r="AB156" s="23">
        <f>EXP(-LN(2)/2)*AB155+(1-EXP(-LN(2)/2))/(LN(2)/2)*V156*Y156*VLOOKUP('Données projet'!$B$9,Paramètres!$A$1:$I$89,3,0)*0.475*44/12</f>
        <v>9.5616172954378571E-19</v>
      </c>
      <c r="AC156" s="24">
        <f t="shared" si="163"/>
        <v>0.13396360221101505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-4.5474735088646412E-13</v>
      </c>
      <c r="AJ156" s="14">
        <f>AI156*VLOOKUP('Données projet'!$B$10,Paramètres!$A$1:$I$89,3,0)*VLOOKUP('Données projet'!$B$10,Paramètres!$A$1:$I$89,5,0)</f>
        <v>-2.1282176021486519E-13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348.76787471354476</v>
      </c>
      <c r="AO156" s="62">
        <f t="shared" si="144"/>
        <v>258.31503417978615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59.385225562404884</v>
      </c>
      <c r="BJ156" s="62">
        <f t="shared" si="146"/>
        <v>285.5244298970598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4.3618563081608244</v>
      </c>
      <c r="BQ156" s="23">
        <f>EXP(-LN(2)/25)*BQ155+(1-EXP(-LN(2)/25))/(LN(2)/25)*Calculateur!BL156*Calculateur!BN156*VLOOKUP('Données projet'!$B$11,Paramètres!$A$1:$I$89,3,0)*0.475*44/12</f>
        <v>0.37873235792137178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4.7405886660821963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520.80494930257237</v>
      </c>
      <c r="CE156" s="62">
        <f t="shared" si="148"/>
        <v>325.72635759450861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5.3489908897453607E-2</v>
      </c>
      <c r="CL156" s="23">
        <f>EXP(-LN(2)/25)*CL155+(1-EXP(-LN(2)/25))/(LN(2)/25)*Calculateur!CG156*Calculateur!CI156*VLOOKUP('Données projet'!$B$12,Paramètres!$A$1:$I$89,3,0)*0.475*44/12</f>
        <v>9.6641714270063364E-2</v>
      </c>
      <c r="CM156" s="23">
        <f>EXP(-LN(2)/2)*CM155+(1-EXP(-LN(2)/2))/(LN(2)/2)*CG156*CJ156*VLOOKUP('Données projet'!$B$12,Paramètres!$A$1:$I$89,3,0)*0.475*44/12</f>
        <v>1.0715605589714838E-18</v>
      </c>
      <c r="CN156" s="24">
        <f t="shared" si="172"/>
        <v>0.15013162316751696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472.83070477639035</v>
      </c>
      <c r="T157" s="62">
        <f t="shared" si="142"/>
        <v>297.32483725004136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4.6793511627025379E-2</v>
      </c>
      <c r="AA157" s="23">
        <f>EXP(-LN(2)/25)*AA156+(1-EXP(-LN(2)/25))/(LN(2)/25)*Calculateur!V157*Calculateur!X157*VLOOKUP('Données projet'!$B$9,Paramètres!$A$1:$I$89,3,0)*0.475*44/12</f>
        <v>8.3876067809977375E-2</v>
      </c>
      <c r="AB157" s="23">
        <f>EXP(-LN(2)/2)*AB156+(1-EXP(-LN(2)/2))/(LN(2)/2)*V157*Y157*VLOOKUP('Données projet'!$B$9,Paramètres!$A$1:$I$89,3,0)*0.475*44/12</f>
        <v>6.7610844287146853E-19</v>
      </c>
      <c r="AC157" s="24">
        <f t="shared" si="163"/>
        <v>0.13066957943700275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-4.5474735088646412E-13</v>
      </c>
      <c r="AJ157" s="14">
        <f>AI157*VLOOKUP('Données projet'!$B$10,Paramètres!$A$1:$I$89,3,0)*VLOOKUP('Données projet'!$B$10,Paramètres!$A$1:$I$89,5,0)</f>
        <v>-2.1282176021486519E-13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348.76787471354476</v>
      </c>
      <c r="AO157" s="62">
        <f t="shared" si="144"/>
        <v>258.31503417978615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59.385225562404884</v>
      </c>
      <c r="BJ157" s="62">
        <f t="shared" si="146"/>
        <v>285.5244298970598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4.2763229664274389</v>
      </c>
      <c r="BQ157" s="23">
        <f>EXP(-LN(2)/25)*BQ156+(1-EXP(-LN(2)/25))/(LN(2)/25)*Calculateur!BL157*Calculateur!BN157*VLOOKUP('Données projet'!$B$11,Paramètres!$A$1:$I$89,3,0)*0.475*44/12</f>
        <v>0.36837590167734274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4.6446988681047818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520.80494930257237</v>
      </c>
      <c r="CE157" s="62">
        <f t="shared" si="148"/>
        <v>325.72635759450861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5.244100440959746E-2</v>
      </c>
      <c r="CL157" s="23">
        <f>EXP(-LN(2)/25)*CL156+(1-EXP(-LN(2)/25))/(LN(2)/25)*Calculateur!CG157*Calculateur!CI157*VLOOKUP('Données projet'!$B$12,Paramètres!$A$1:$I$89,3,0)*0.475*44/12</f>
        <v>9.3999041511181602E-2</v>
      </c>
      <c r="CM157" s="23">
        <f>EXP(-LN(2)/2)*CM156+(1-EXP(-LN(2)/2))/(LN(2)/2)*CG157*CJ157*VLOOKUP('Données projet'!$B$12,Paramètres!$A$1:$I$89,3,0)*0.475*44/12</f>
        <v>7.5770773770078353E-19</v>
      </c>
      <c r="CN157" s="24">
        <f t="shared" si="172"/>
        <v>0.14644004592077906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472.83070477639035</v>
      </c>
      <c r="T158" s="62">
        <f t="shared" si="142"/>
        <v>297.32483725004136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4.5875919405243291E-2</v>
      </c>
      <c r="AA158" s="23">
        <f>EXP(-LN(2)/25)*AA157+(1-EXP(-LN(2)/25))/(LN(2)/25)*Calculateur!V158*Calculateur!X158*VLOOKUP('Données projet'!$B$9,Paramètres!$A$1:$I$89,3,0)*0.475*44/12</f>
        <v>8.1582472324862834E-2</v>
      </c>
      <c r="AB158" s="23">
        <f>EXP(-LN(2)/2)*AB157+(1-EXP(-LN(2)/2))/(LN(2)/2)*V158*Y158*VLOOKUP('Données projet'!$B$9,Paramètres!$A$1:$I$89,3,0)*0.475*44/12</f>
        <v>4.7808086477189285E-19</v>
      </c>
      <c r="AC158" s="24">
        <f t="shared" si="163"/>
        <v>0.12745839173010612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-4.5474735088646412E-13</v>
      </c>
      <c r="AJ158" s="14">
        <f>AI158*VLOOKUP('Données projet'!$B$10,Paramètres!$A$1:$I$89,3,0)*VLOOKUP('Données projet'!$B$10,Paramètres!$A$1:$I$89,5,0)</f>
        <v>-2.1282176021486519E-13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348.76787471354476</v>
      </c>
      <c r="AO158" s="62">
        <f t="shared" si="144"/>
        <v>258.31503417978615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59.385225562404884</v>
      </c>
      <c r="BJ158" s="62">
        <f t="shared" si="146"/>
        <v>285.5244298970598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4.1924668813552586</v>
      </c>
      <c r="BQ158" s="23">
        <f>EXP(-LN(2)/25)*BQ157+(1-EXP(-LN(2)/25))/(LN(2)/25)*Calculateur!BL158*Calculateur!BN158*VLOOKUP('Données projet'!$B$11,Paramètres!$A$1:$I$89,3,0)*0.475*44/12</f>
        <v>0.35830264327392908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4.5507695246291879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520.80494930257237</v>
      </c>
      <c r="CE158" s="62">
        <f t="shared" si="148"/>
        <v>325.72635759450861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5.14126682989796E-2</v>
      </c>
      <c r="CL158" s="23">
        <f>EXP(-LN(2)/25)*CL157+(1-EXP(-LN(2)/25))/(LN(2)/25)*Calculateur!CG158*Calculateur!CI158*VLOOKUP('Données projet'!$B$12,Paramètres!$A$1:$I$89,3,0)*0.475*44/12</f>
        <v>9.1428632777863589E-2</v>
      </c>
      <c r="CM158" s="23">
        <f>EXP(-LN(2)/2)*CM157+(1-EXP(-LN(2)/2))/(LN(2)/2)*CG158*CJ158*VLOOKUP('Données projet'!$B$12,Paramètres!$A$1:$I$89,3,0)*0.475*44/12</f>
        <v>5.3578027948574188E-19</v>
      </c>
      <c r="CN158" s="24">
        <f t="shared" si="172"/>
        <v>0.14284130107684317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472.83070477639035</v>
      </c>
      <c r="T159" s="62">
        <f t="shared" si="142"/>
        <v>297.32483725004136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4.4976320607254358E-2</v>
      </c>
      <c r="AA159" s="23">
        <f>EXP(-LN(2)/25)*AA158+(1-EXP(-LN(2)/25))/(LN(2)/25)*Calculateur!V159*Calculateur!X159*VLOOKUP('Données projet'!$B$9,Paramètres!$A$1:$I$89,3,0)*0.475*44/12</f>
        <v>7.9351595328903693E-2</v>
      </c>
      <c r="AB159" s="23">
        <f>EXP(-LN(2)/2)*AB158+(1-EXP(-LN(2)/2))/(LN(2)/2)*V159*Y159*VLOOKUP('Données projet'!$B$9,Paramètres!$A$1:$I$89,3,0)*0.475*44/12</f>
        <v>3.3805422143573426E-19</v>
      </c>
      <c r="AC159" s="24">
        <f t="shared" si="163"/>
        <v>0.12432791593615805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-4.5474735088646412E-13</v>
      </c>
      <c r="AJ159" s="14">
        <f>AI159*VLOOKUP('Données projet'!$B$10,Paramètres!$A$1:$I$89,3,0)*VLOOKUP('Données projet'!$B$10,Paramètres!$A$1:$I$89,5,0)</f>
        <v>-2.1282176021486519E-13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348.76787471354476</v>
      </c>
      <c r="AO159" s="62">
        <f t="shared" si="144"/>
        <v>258.31503417978615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59.385225562404884</v>
      </c>
      <c r="BJ159" s="62">
        <f t="shared" si="146"/>
        <v>285.5244298970598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4.1102551629641821</v>
      </c>
      <c r="BQ159" s="23">
        <f>EXP(-LN(2)/25)*BQ158+(1-EXP(-LN(2)/25))/(LN(2)/25)*Calculateur!BL159*Calculateur!BN159*VLOOKUP('Données projet'!$B$11,Paramètres!$A$1:$I$89,3,0)*0.475*44/12</f>
        <v>0.3485048386512864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4.4587600016154685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520.80494930257237</v>
      </c>
      <c r="CE159" s="62">
        <f t="shared" si="148"/>
        <v>325.72635759450861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5.0404497232267864E-2</v>
      </c>
      <c r="CL159" s="23">
        <f>EXP(-LN(2)/25)*CL158+(1-EXP(-LN(2)/25))/(LN(2)/25)*Calculateur!CG159*Calculateur!CI159*VLOOKUP('Données projet'!$B$12,Paramètres!$A$1:$I$89,3,0)*0.475*44/12</f>
        <v>8.8928512006530069E-2</v>
      </c>
      <c r="CM159" s="23">
        <f>EXP(-LN(2)/2)*CM158+(1-EXP(-LN(2)/2))/(LN(2)/2)*CG159*CJ159*VLOOKUP('Données projet'!$B$12,Paramètres!$A$1:$I$89,3,0)*0.475*44/12</f>
        <v>3.7885386885039177E-19</v>
      </c>
      <c r="CN159" s="24">
        <f t="shared" si="172"/>
        <v>0.13933300923879793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472.83070477639035</v>
      </c>
      <c r="T160" s="62">
        <f t="shared" si="142"/>
        <v>297.32483725004136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4.40943623929929E-2</v>
      </c>
      <c r="AA160" s="23">
        <f>EXP(-LN(2)/25)*AA159+(1-EXP(-LN(2)/25))/(LN(2)/25)*Calculateur!V160*Calculateur!X160*VLOOKUP('Données projet'!$B$9,Paramètres!$A$1:$I$89,3,0)*0.475*44/12</f>
        <v>7.7181721781715784E-2</v>
      </c>
      <c r="AB160" s="23">
        <f>EXP(-LN(2)/2)*AB159+(1-EXP(-LN(2)/2))/(LN(2)/2)*V160*Y160*VLOOKUP('Données projet'!$B$9,Paramètres!$A$1:$I$89,3,0)*0.475*44/12</f>
        <v>2.3904043238594643E-19</v>
      </c>
      <c r="AC160" s="24">
        <f t="shared" si="163"/>
        <v>0.12127608417470868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-4.5474735088646412E-13</v>
      </c>
      <c r="AJ160" s="14">
        <f>AI160*VLOOKUP('Données projet'!$B$10,Paramètres!$A$1:$I$89,3,0)*VLOOKUP('Données projet'!$B$10,Paramètres!$A$1:$I$89,5,0)</f>
        <v>-2.1282176021486519E-13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348.76787471354476</v>
      </c>
      <c r="AO160" s="62">
        <f t="shared" si="144"/>
        <v>258.31503417978615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59.385225562404884</v>
      </c>
      <c r="BJ160" s="62">
        <f t="shared" si="146"/>
        <v>285.5244298970598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4.0296555662265572</v>
      </c>
      <c r="BQ160" s="23">
        <f>EXP(-LN(2)/25)*BQ159+(1-EXP(-LN(2)/25))/(LN(2)/25)*Calculateur!BL160*Calculateur!BN160*VLOOKUP('Données projet'!$B$11,Paramètres!$A$1:$I$89,3,0)*0.475*44/12</f>
        <v>0.33897495551129403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4.3686305217378516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520.80494930257237</v>
      </c>
      <c r="CE160" s="62">
        <f t="shared" si="148"/>
        <v>325.72635759450861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4.9416095785250712E-2</v>
      </c>
      <c r="CL160" s="23">
        <f>EXP(-LN(2)/25)*CL159+(1-EXP(-LN(2)/25))/(LN(2)/25)*Calculateur!CG160*Calculateur!CI160*VLOOKUP('Données projet'!$B$12,Paramètres!$A$1:$I$89,3,0)*0.475*44/12</f>
        <v>8.6496757169164301E-2</v>
      </c>
      <c r="CM160" s="23">
        <f>EXP(-LN(2)/2)*CM159+(1-EXP(-LN(2)/2))/(LN(2)/2)*CG160*CJ160*VLOOKUP('Données projet'!$B$12,Paramètres!$A$1:$I$89,3,0)*0.475*44/12</f>
        <v>2.6789013974287094E-19</v>
      </c>
      <c r="CN160" s="24">
        <f t="shared" si="172"/>
        <v>0.13591285295441502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472.83070477639035</v>
      </c>
      <c r="T161" s="62">
        <f t="shared" si="142"/>
        <v>297.32483725004136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4.3229698841371719E-2</v>
      </c>
      <c r="AA161" s="23">
        <f>EXP(-LN(2)/25)*AA160+(1-EXP(-LN(2)/25))/(LN(2)/25)*Calculateur!V161*Calculateur!X161*VLOOKUP('Données projet'!$B$9,Paramètres!$A$1:$I$89,3,0)*0.475*44/12</f>
        <v>7.5071183540784417E-2</v>
      </c>
      <c r="AB161" s="23">
        <f>EXP(-LN(2)/2)*AB160+(1-EXP(-LN(2)/2))/(LN(2)/2)*V161*Y161*VLOOKUP('Données projet'!$B$9,Paramètres!$A$1:$I$89,3,0)*0.475*44/12</f>
        <v>1.6902711071786713E-19</v>
      </c>
      <c r="AC161" s="24">
        <f t="shared" si="163"/>
        <v>0.11830088238215614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-4.5474735088646412E-13</v>
      </c>
      <c r="AJ161" s="14">
        <f>AI161*VLOOKUP('Données projet'!$B$10,Paramètres!$A$1:$I$89,3,0)*VLOOKUP('Données projet'!$B$10,Paramètres!$A$1:$I$89,5,0)</f>
        <v>-2.1282176021486519E-13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348.76787471354476</v>
      </c>
      <c r="AO161" s="62">
        <f t="shared" si="144"/>
        <v>258.31503417978615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59.385225562404884</v>
      </c>
      <c r="BJ161" s="62">
        <f t="shared" si="146"/>
        <v>285.5244298970598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3.9506364784200576</v>
      </c>
      <c r="BQ161" s="23">
        <f>EXP(-LN(2)/25)*BQ160+(1-EXP(-LN(2)/25))/(LN(2)/25)*Calculateur!BL161*Calculateur!BN161*VLOOKUP('Données projet'!$B$11,Paramètres!$A$1:$I$89,3,0)*0.475*44/12</f>
        <v>0.32970566752691954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4.2803421459469773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520.80494930257237</v>
      </c>
      <c r="CE161" s="62">
        <f t="shared" si="148"/>
        <v>325.72635759450861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4.8447076287744216E-2</v>
      </c>
      <c r="CL161" s="23">
        <f>EXP(-LN(2)/25)*CL160+(1-EXP(-LN(2)/25))/(LN(2)/25)*Calculateur!CG161*Calculateur!CI161*VLOOKUP('Données projet'!$B$12,Paramètres!$A$1:$I$89,3,0)*0.475*44/12</f>
        <v>8.4131498795706736E-2</v>
      </c>
      <c r="CM161" s="23">
        <f>EXP(-LN(2)/2)*CM160+(1-EXP(-LN(2)/2))/(LN(2)/2)*CG161*CJ161*VLOOKUP('Données projet'!$B$12,Paramètres!$A$1:$I$89,3,0)*0.475*44/12</f>
        <v>1.8942693442519588E-19</v>
      </c>
      <c r="CN161" s="24">
        <f t="shared" si="172"/>
        <v>0.13257857508345094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472.83070477639035</v>
      </c>
      <c r="T162" s="62">
        <f t="shared" si="142"/>
        <v>297.32483725004136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4.2381990814605135E-2</v>
      </c>
      <c r="AA162" s="23">
        <f>EXP(-LN(2)/25)*AA161+(1-EXP(-LN(2)/25))/(LN(2)/25)*Calculateur!V162*Calculateur!X162*VLOOKUP('Données projet'!$B$9,Paramètres!$A$1:$I$89,3,0)*0.475*44/12</f>
        <v>7.3018358079039697E-2</v>
      </c>
      <c r="AB162" s="23">
        <f>EXP(-LN(2)/2)*AB161+(1-EXP(-LN(2)/2))/(LN(2)/2)*V162*Y162*VLOOKUP('Données projet'!$B$9,Paramètres!$A$1:$I$89,3,0)*0.475*44/12</f>
        <v>1.1952021619297321E-19</v>
      </c>
      <c r="AC162" s="24">
        <f t="shared" si="163"/>
        <v>0.11540034889364484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-4.5474735088646412E-13</v>
      </c>
      <c r="AJ162" s="14">
        <f>AI162*VLOOKUP('Données projet'!$B$10,Paramètres!$A$1:$I$89,3,0)*VLOOKUP('Données projet'!$B$10,Paramètres!$A$1:$I$89,5,0)</f>
        <v>-2.1282176021486519E-13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348.76787471354476</v>
      </c>
      <c r="AO162" s="62">
        <f t="shared" si="144"/>
        <v>258.31503417978615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59.385225562404884</v>
      </c>
      <c r="BJ162" s="62">
        <f t="shared" si="146"/>
        <v>285.5244298970598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3.8731669067285588</v>
      </c>
      <c r="BQ162" s="23">
        <f>EXP(-LN(2)/25)*BQ161+(1-EXP(-LN(2)/25))/(LN(2)/25)*Calculateur!BL162*Calculateur!BN162*VLOOKUP('Données projet'!$B$11,Paramètres!$A$1:$I$89,3,0)*0.475*44/12</f>
        <v>0.32068984870992845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4.1938567554384871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520.80494930257237</v>
      </c>
      <c r="CE162" s="62">
        <f t="shared" si="148"/>
        <v>325.72635759450861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4.749705867154029E-2</v>
      </c>
      <c r="CL162" s="23">
        <f>EXP(-LN(2)/25)*CL161+(1-EXP(-LN(2)/25))/(LN(2)/25)*Calculateur!CG162*Calculateur!CI162*VLOOKUP('Données projet'!$B$12,Paramètres!$A$1:$I$89,3,0)*0.475*44/12</f>
        <v>8.1830918536854896E-2</v>
      </c>
      <c r="CM162" s="23">
        <f>EXP(-LN(2)/2)*CM161+(1-EXP(-LN(2)/2))/(LN(2)/2)*CG162*CJ162*VLOOKUP('Données projet'!$B$12,Paramètres!$A$1:$I$89,3,0)*0.475*44/12</f>
        <v>1.3394506987143547E-19</v>
      </c>
      <c r="CN162" s="24">
        <f t="shared" si="172"/>
        <v>0.12932797720839517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472.83070477639035</v>
      </c>
      <c r="T163" s="62">
        <f t="shared" si="142"/>
        <v>297.32483725004136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4.1550905825192601E-2</v>
      </c>
      <c r="AA163" s="23">
        <f>EXP(-LN(2)/25)*AA162+(1-EXP(-LN(2)/25))/(LN(2)/25)*Calculateur!V163*Calculateur!X163*VLOOKUP('Données projet'!$B$9,Paramètres!$A$1:$I$89,3,0)*0.475*44/12</f>
        <v>7.1021667237499794E-2</v>
      </c>
      <c r="AB163" s="23">
        <f>EXP(-LN(2)/2)*AB162+(1-EXP(-LN(2)/2))/(LN(2)/2)*V163*Y163*VLOOKUP('Données projet'!$B$9,Paramètres!$A$1:$I$89,3,0)*0.475*44/12</f>
        <v>8.4513555358933566E-20</v>
      </c>
      <c r="AC163" s="24">
        <f t="shared" si="163"/>
        <v>0.11257257306269239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-4.5474735088646412E-13</v>
      </c>
      <c r="AJ163" s="14">
        <f>AI163*VLOOKUP('Données projet'!$B$10,Paramètres!$A$1:$I$89,3,0)*VLOOKUP('Données projet'!$B$10,Paramètres!$A$1:$I$89,5,0)</f>
        <v>-2.1282176021486519E-13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348.76787471354476</v>
      </c>
      <c r="AO163" s="62">
        <f t="shared" si="144"/>
        <v>258.31503417978615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59.385225562404884</v>
      </c>
      <c r="BJ163" s="62">
        <f t="shared" si="146"/>
        <v>285.5244298970598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3.7972164660861574</v>
      </c>
      <c r="BQ163" s="23">
        <f>EXP(-LN(2)/25)*BQ162+(1-EXP(-LN(2)/25))/(LN(2)/25)*Calculateur!BL163*Calculateur!BN163*VLOOKUP('Données projet'!$B$11,Paramètres!$A$1:$I$89,3,0)*0.475*44/12</f>
        <v>0.31192056793260925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4.109137034018767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520.80494930257237</v>
      </c>
      <c r="CE163" s="62">
        <f t="shared" si="148"/>
        <v>325.72635759450861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4.6565670321336593E-2</v>
      </c>
      <c r="CL163" s="23">
        <f>EXP(-LN(2)/25)*CL162+(1-EXP(-LN(2)/25))/(LN(2)/25)*Calculateur!CG163*Calculateur!CI163*VLOOKUP('Données projet'!$B$12,Paramètres!$A$1:$I$89,3,0)*0.475*44/12</f>
        <v>7.9593247766163625E-2</v>
      </c>
      <c r="CM163" s="23">
        <f>EXP(-LN(2)/2)*CM162+(1-EXP(-LN(2)/2))/(LN(2)/2)*CG163*CJ163*VLOOKUP('Données projet'!$B$12,Paramètres!$A$1:$I$89,3,0)*0.475*44/12</f>
        <v>9.4713467212597941E-20</v>
      </c>
      <c r="CN163" s="24">
        <f t="shared" si="172"/>
        <v>0.12615891808750021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472.83070477639035</v>
      </c>
      <c r="T164" s="62">
        <f t="shared" si="142"/>
        <v>297.32483725004136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4.0736117905510662E-2</v>
      </c>
      <c r="AA164" s="23">
        <f>EXP(-LN(2)/25)*AA163+(1-EXP(-LN(2)/25))/(LN(2)/25)*Calculateur!V164*Calculateur!X164*VLOOKUP('Données projet'!$B$9,Paramètres!$A$1:$I$89,3,0)*0.475*44/12</f>
        <v>6.9079576012023206E-2</v>
      </c>
      <c r="AB164" s="23">
        <f>EXP(-LN(2)/2)*AB163+(1-EXP(-LN(2)/2))/(LN(2)/2)*V164*Y164*VLOOKUP('Données projet'!$B$9,Paramètres!$A$1:$I$89,3,0)*0.475*44/12</f>
        <v>5.9760108096486607E-20</v>
      </c>
      <c r="AC164" s="24">
        <f t="shared" si="163"/>
        <v>0.10981569391753387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-4.5474735088646412E-13</v>
      </c>
      <c r="AJ164" s="14">
        <f>AI164*VLOOKUP('Données projet'!$B$10,Paramètres!$A$1:$I$89,3,0)*VLOOKUP('Données projet'!$B$10,Paramètres!$A$1:$I$89,5,0)</f>
        <v>-2.1282176021486519E-13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348.76787471354476</v>
      </c>
      <c r="AO164" s="62">
        <f t="shared" si="144"/>
        <v>258.31503417978615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59.385225562404884</v>
      </c>
      <c r="BJ164" s="62">
        <f t="shared" si="146"/>
        <v>285.5244298970598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3.722755367259559</v>
      </c>
      <c r="BQ164" s="23">
        <f>EXP(-LN(2)/25)*BQ163+(1-EXP(-LN(2)/25))/(LN(2)/25)*Calculateur!BL164*Calculateur!BN164*VLOOKUP('Données projet'!$B$11,Paramètres!$A$1:$I$89,3,0)*0.475*44/12</f>
        <v>0.30339108359930228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4.0261464508588611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520.80494930257237</v>
      </c>
      <c r="CE164" s="62">
        <f t="shared" si="148"/>
        <v>325.72635759450861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4.565254592858959E-2</v>
      </c>
      <c r="CL164" s="23">
        <f>EXP(-LN(2)/25)*CL163+(1-EXP(-LN(2)/25))/(LN(2)/25)*Calculateur!CG164*Calculateur!CI164*VLOOKUP('Données projet'!$B$12,Paramètres!$A$1:$I$89,3,0)*0.475*44/12</f>
        <v>7.7416766220370886E-2</v>
      </c>
      <c r="CM164" s="23">
        <f>EXP(-LN(2)/2)*CM163+(1-EXP(-LN(2)/2))/(LN(2)/2)*CG164*CJ164*VLOOKUP('Données projet'!$B$12,Paramètres!$A$1:$I$89,3,0)*0.475*44/12</f>
        <v>6.6972534935717735E-20</v>
      </c>
      <c r="CN164" s="24">
        <f t="shared" si="172"/>
        <v>0.12306931214896047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472.83070477639035</v>
      </c>
      <c r="T165" s="62">
        <f t="shared" si="142"/>
        <v>297.32483725004136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3.9937307479962124E-2</v>
      </c>
      <c r="AA165" s="23">
        <f>EXP(-LN(2)/25)*AA164+(1-EXP(-LN(2)/25))/(LN(2)/25)*Calculateur!V165*Calculateur!X165*VLOOKUP('Données projet'!$B$9,Paramètres!$A$1:$I$89,3,0)*0.475*44/12</f>
        <v>6.7190591373237407E-2</v>
      </c>
      <c r="AB165" s="23">
        <f>EXP(-LN(2)/2)*AB164+(1-EXP(-LN(2)/2))/(LN(2)/2)*V165*Y165*VLOOKUP('Données projet'!$B$9,Paramètres!$A$1:$I$89,3,0)*0.475*44/12</f>
        <v>4.2256777679466783E-20</v>
      </c>
      <c r="AC165" s="24">
        <f t="shared" si="163"/>
        <v>0.10712789885319954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-4.5474735088646412E-13</v>
      </c>
      <c r="AJ165" s="14">
        <f>AI165*VLOOKUP('Données projet'!$B$10,Paramètres!$A$1:$I$89,3,0)*VLOOKUP('Données projet'!$B$10,Paramètres!$A$1:$I$89,5,0)</f>
        <v>-2.1282176021486519E-13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348.76787471354476</v>
      </c>
      <c r="AO165" s="62">
        <f t="shared" si="144"/>
        <v>258.31503417978615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59.385225562404884</v>
      </c>
      <c r="BJ165" s="62">
        <f t="shared" si="146"/>
        <v>285.5244298970598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3.6497544051641646</v>
      </c>
      <c r="BQ165" s="23">
        <f>EXP(-LN(2)/25)*BQ164+(1-EXP(-LN(2)/25))/(LN(2)/25)*Calculateur!BL165*Calculateur!BN165*VLOOKUP('Données projet'!$B$11,Paramètres!$A$1:$I$89,3,0)*0.475*44/12</f>
        <v>0.29509483846363566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3.9448492436278002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520.80494930257237</v>
      </c>
      <c r="CE165" s="62">
        <f t="shared" si="148"/>
        <v>325.72635759450861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4.4757327348233469E-2</v>
      </c>
      <c r="CL165" s="23">
        <f>EXP(-LN(2)/25)*CL164+(1-EXP(-LN(2)/25))/(LN(2)/25)*Calculateur!CG165*Calculateur!CI165*VLOOKUP('Données projet'!$B$12,Paramètres!$A$1:$I$89,3,0)*0.475*44/12</f>
        <v>7.5299800676904047E-2</v>
      </c>
      <c r="CM165" s="23">
        <f>EXP(-LN(2)/2)*CM164+(1-EXP(-LN(2)/2))/(LN(2)/2)*CG165*CJ165*VLOOKUP('Données projet'!$B$12,Paramètres!$A$1:$I$89,3,0)*0.475*44/12</f>
        <v>4.7356733606298971E-20</v>
      </c>
      <c r="CN165" s="24">
        <f t="shared" si="172"/>
        <v>0.12005712802513752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472.83070477639035</v>
      </c>
      <c r="T166" s="62">
        <f t="shared" si="142"/>
        <v>297.32483725004136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3.9154161239632342E-2</v>
      </c>
      <c r="AA166" s="23">
        <f>EXP(-LN(2)/25)*AA165+(1-EXP(-LN(2)/25))/(LN(2)/25)*Calculateur!V166*Calculateur!X166*VLOOKUP('Données projet'!$B$9,Paramètres!$A$1:$I$89,3,0)*0.475*44/12</f>
        <v>6.53532611187366E-2</v>
      </c>
      <c r="AB166" s="23">
        <f>EXP(-LN(2)/2)*AB165+(1-EXP(-LN(2)/2))/(LN(2)/2)*V166*Y166*VLOOKUP('Données projet'!$B$9,Paramètres!$A$1:$I$89,3,0)*0.475*44/12</f>
        <v>2.9880054048243303E-20</v>
      </c>
      <c r="AC166" s="24">
        <f t="shared" si="163"/>
        <v>0.10450742235836893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-4.5474735088646412E-13</v>
      </c>
      <c r="AJ166" s="14">
        <f>AI166*VLOOKUP('Données projet'!$B$10,Paramètres!$A$1:$I$89,3,0)*VLOOKUP('Données projet'!$B$10,Paramètres!$A$1:$I$89,5,0)</f>
        <v>-2.1282176021486519E-13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348.76787471354476</v>
      </c>
      <c r="AO166" s="62">
        <f t="shared" si="144"/>
        <v>258.31503417978615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59.385225562404884</v>
      </c>
      <c r="BJ166" s="62">
        <f t="shared" si="146"/>
        <v>285.5244298970598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3.5781849474092704</v>
      </c>
      <c r="BQ166" s="23">
        <f>EXP(-LN(2)/25)*BQ165+(1-EXP(-LN(2)/25))/(LN(2)/25)*Calculateur!BL166*Calculateur!BN166*VLOOKUP('Données projet'!$B$11,Paramètres!$A$1:$I$89,3,0)*0.475*44/12</f>
        <v>0.28702545458748441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3.8652104019967548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520.80494930257237</v>
      </c>
      <c r="CE166" s="62">
        <f t="shared" si="148"/>
        <v>325.72635759450861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4.3879663458208713E-2</v>
      </c>
      <c r="CL166" s="23">
        <f>EXP(-LN(2)/25)*CL165+(1-EXP(-LN(2)/25))/(LN(2)/25)*Calculateur!CG166*Calculateur!CI166*VLOOKUP('Données projet'!$B$12,Paramètres!$A$1:$I$89,3,0)*0.475*44/12</f>
        <v>7.324072366754969E-2</v>
      </c>
      <c r="CM166" s="23">
        <f>EXP(-LN(2)/2)*CM165+(1-EXP(-LN(2)/2))/(LN(2)/2)*CG166*CJ166*VLOOKUP('Données projet'!$B$12,Paramètres!$A$1:$I$89,3,0)*0.475*44/12</f>
        <v>3.3486267467858867E-20</v>
      </c>
      <c r="CN166" s="24">
        <f t="shared" si="172"/>
        <v>0.1171203871257584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472.83070477639035</v>
      </c>
      <c r="T167" s="62">
        <f t="shared" si="142"/>
        <v>297.32483725004136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3.8386372019403391E-2</v>
      </c>
      <c r="AA167" s="23">
        <f>EXP(-LN(2)/25)*AA166+(1-EXP(-LN(2)/25))/(LN(2)/25)*Calculateur!V167*Calculateur!X167*VLOOKUP('Données projet'!$B$9,Paramètres!$A$1:$I$89,3,0)*0.475*44/12</f>
        <v>6.3566172756666109E-2</v>
      </c>
      <c r="AB167" s="23">
        <f>EXP(-LN(2)/2)*AB166+(1-EXP(-LN(2)/2))/(LN(2)/2)*V167*Y167*VLOOKUP('Données projet'!$B$9,Paramètres!$A$1:$I$89,3,0)*0.475*44/12</f>
        <v>2.1128388839733391E-20</v>
      </c>
      <c r="AC167" s="24">
        <f t="shared" si="163"/>
        <v>0.10195254477606949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-4.5474735088646412E-13</v>
      </c>
      <c r="AJ167" s="14">
        <f>AI167*VLOOKUP('Données projet'!$B$10,Paramètres!$A$1:$I$89,3,0)*VLOOKUP('Données projet'!$B$10,Paramètres!$A$1:$I$89,5,0)</f>
        <v>-2.1282176021486519E-13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348.76787471354476</v>
      </c>
      <c r="AO167" s="62">
        <f t="shared" si="144"/>
        <v>258.31503417978615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59.385225562404884</v>
      </c>
      <c r="BJ167" s="62">
        <f t="shared" si="146"/>
        <v>285.5244298970598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3.5080189230678909</v>
      </c>
      <c r="BQ167" s="23">
        <f>EXP(-LN(2)/25)*BQ166+(1-EXP(-LN(2)/25))/(LN(2)/25)*Calculateur!BL167*Calculateur!BN167*VLOOKUP('Données projet'!$B$11,Paramètres!$A$1:$I$89,3,0)*0.475*44/12</f>
        <v>0.27917672843777702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3.7871956515056677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520.80494930257237</v>
      </c>
      <c r="CE167" s="62">
        <f t="shared" si="148"/>
        <v>325.72635759450861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4.3019210021745226E-2</v>
      </c>
      <c r="CL167" s="23">
        <f>EXP(-LN(2)/25)*CL166+(1-EXP(-LN(2)/25))/(LN(2)/25)*Calculateur!CG167*Calculateur!CI167*VLOOKUP('Données projet'!$B$12,Paramètres!$A$1:$I$89,3,0)*0.475*44/12</f>
        <v>7.1237952227298285E-2</v>
      </c>
      <c r="CM167" s="23">
        <f>EXP(-LN(2)/2)*CM166+(1-EXP(-LN(2)/2))/(LN(2)/2)*CG167*CJ167*VLOOKUP('Données projet'!$B$12,Paramètres!$A$1:$I$89,3,0)*0.475*44/12</f>
        <v>2.3678366803149485E-20</v>
      </c>
      <c r="CN167" s="24">
        <f t="shared" si="172"/>
        <v>0.1142571622490435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472.83070477639035</v>
      </c>
      <c r="T168" s="62">
        <f t="shared" si="142"/>
        <v>297.32483725004136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3.7633638677477946E-2</v>
      </c>
      <c r="AA168" s="23">
        <f>EXP(-LN(2)/25)*AA167+(1-EXP(-LN(2)/25))/(LN(2)/25)*Calculateur!V168*Calculateur!X168*VLOOKUP('Données projet'!$B$9,Paramètres!$A$1:$I$89,3,0)*0.475*44/12</f>
        <v>6.1827952419835332E-2</v>
      </c>
      <c r="AB168" s="23">
        <f>EXP(-LN(2)/2)*AB167+(1-EXP(-LN(2)/2))/(LN(2)/2)*V168*Y168*VLOOKUP('Données projet'!$B$9,Paramètres!$A$1:$I$89,3,0)*0.475*44/12</f>
        <v>1.4940027024121652E-20</v>
      </c>
      <c r="AC168" s="24">
        <f t="shared" si="163"/>
        <v>9.9461591097313284E-2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-4.5474735088646412E-13</v>
      </c>
      <c r="AJ168" s="14">
        <f>AI168*VLOOKUP('Données projet'!$B$10,Paramètres!$A$1:$I$89,3,0)*VLOOKUP('Données projet'!$B$10,Paramètres!$A$1:$I$89,5,0)</f>
        <v>-2.1282176021486519E-13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348.76787471354476</v>
      </c>
      <c r="AO168" s="62">
        <f t="shared" si="144"/>
        <v>258.31503417978615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59.385225562404884</v>
      </c>
      <c r="BJ168" s="62">
        <f t="shared" si="146"/>
        <v>285.5244298970598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3.4392288116667968</v>
      </c>
      <c r="BQ168" s="23">
        <f>EXP(-LN(2)/25)*BQ167+(1-EXP(-LN(2)/25))/(LN(2)/25)*Calculateur!BL168*Calculateur!BN168*VLOOKUP('Données projet'!$B$11,Paramètres!$A$1:$I$89,3,0)*0.475*44/12</f>
        <v>0.27154262611737995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3.7107714377841767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520.80494930257237</v>
      </c>
      <c r="CE168" s="62">
        <f t="shared" si="148"/>
        <v>325.72635759450861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4.2175629552346015E-2</v>
      </c>
      <c r="CL168" s="23">
        <f>EXP(-LN(2)/25)*CL167+(1-EXP(-LN(2)/25))/(LN(2)/25)*Calculateur!CG168*Calculateur!CI168*VLOOKUP('Données projet'!$B$12,Paramètres!$A$1:$I$89,3,0)*0.475*44/12</f>
        <v>6.9289946677401723E-2</v>
      </c>
      <c r="CM168" s="23">
        <f>EXP(-LN(2)/2)*CM167+(1-EXP(-LN(2)/2))/(LN(2)/2)*CG168*CJ168*VLOOKUP('Données projet'!$B$12,Paramètres!$A$1:$I$89,3,0)*0.475*44/12</f>
        <v>1.6743133733929434E-20</v>
      </c>
      <c r="CN168" s="24">
        <f t="shared" si="172"/>
        <v>0.11146557622974773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472.83070477639035</v>
      </c>
      <c r="T169" s="62">
        <f t="shared" si="142"/>
        <v>297.32483725004136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3.6895665977265651E-2</v>
      </c>
      <c r="AA169" s="23">
        <f>EXP(-LN(2)/25)*AA168+(1-EXP(-LN(2)/25))/(LN(2)/25)*Calculateur!V169*Calculateur!X169*VLOOKUP('Données projet'!$B$9,Paramètres!$A$1:$I$89,3,0)*0.475*44/12</f>
        <v>6.0137263809524229E-2</v>
      </c>
      <c r="AB169" s="23">
        <f>EXP(-LN(2)/2)*AB168+(1-EXP(-LN(2)/2))/(LN(2)/2)*V169*Y169*VLOOKUP('Données projet'!$B$9,Paramètres!$A$1:$I$89,3,0)*0.475*44/12</f>
        <v>1.0564194419866696E-20</v>
      </c>
      <c r="AC169" s="24">
        <f t="shared" si="163"/>
        <v>9.7032929786789873E-2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-4.5474735088646412E-13</v>
      </c>
      <c r="AJ169" s="14">
        <f>AI169*VLOOKUP('Données projet'!$B$10,Paramètres!$A$1:$I$89,3,0)*VLOOKUP('Données projet'!$B$10,Paramètres!$A$1:$I$89,5,0)</f>
        <v>-2.1282176021486519E-13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348.76787471354476</v>
      </c>
      <c r="AO169" s="62">
        <f t="shared" si="144"/>
        <v>258.31503417978615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59.385225562404884</v>
      </c>
      <c r="BJ169" s="62">
        <f t="shared" si="146"/>
        <v>285.5244298970598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3.3717876323924534</v>
      </c>
      <c r="BQ169" s="23">
        <f>EXP(-LN(2)/25)*BQ168+(1-EXP(-LN(2)/25))/(LN(2)/25)*Calculateur!BL169*Calculateur!BN169*VLOOKUP('Données projet'!$B$11,Paramètres!$A$1:$I$89,3,0)*0.475*44/12</f>
        <v>0.26411727872639412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3.6359049111188475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520.80494930257237</v>
      </c>
      <c r="CE169" s="62">
        <f t="shared" si="148"/>
        <v>325.72635759450861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4.1348591181418447E-2</v>
      </c>
      <c r="CL169" s="23">
        <f>EXP(-LN(2)/25)*CL168+(1-EXP(-LN(2)/25))/(LN(2)/25)*Calculateur!CG169*Calculateur!CI169*VLOOKUP('Données projet'!$B$12,Paramètres!$A$1:$I$89,3,0)*0.475*44/12</f>
        <v>6.7395209441708237E-2</v>
      </c>
      <c r="CM169" s="23">
        <f>EXP(-LN(2)/2)*CM168+(1-EXP(-LN(2)/2))/(LN(2)/2)*CG169*CJ169*VLOOKUP('Données projet'!$B$12,Paramètres!$A$1:$I$89,3,0)*0.475*44/12</f>
        <v>1.1839183401574743E-20</v>
      </c>
      <c r="CN169" s="24">
        <f t="shared" si="172"/>
        <v>0.10874380062312669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472.83070477639035</v>
      </c>
      <c r="T170" s="62">
        <f t="shared" si="142"/>
        <v>297.32483725004136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3.6172164471585617E-2</v>
      </c>
      <c r="AA170" s="23">
        <f>EXP(-LN(2)/25)*AA169+(1-EXP(-LN(2)/25))/(LN(2)/25)*Calculateur!V170*Calculateur!X170*VLOOKUP('Données projet'!$B$9,Paramètres!$A$1:$I$89,3,0)*0.475*44/12</f>
        <v>5.8492807168171533E-2</v>
      </c>
      <c r="AB170" s="23">
        <f>EXP(-LN(2)/2)*AB169+(1-EXP(-LN(2)/2))/(LN(2)/2)*V170*Y170*VLOOKUP('Données projet'!$B$9,Paramètres!$A$1:$I$89,3,0)*0.475*44/12</f>
        <v>7.4700135120608258E-21</v>
      </c>
      <c r="AC170" s="24">
        <f t="shared" si="163"/>
        <v>9.4664971639757151E-2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-4.5474735088646412E-13</v>
      </c>
      <c r="AJ170" s="14">
        <f>AI170*VLOOKUP('Données projet'!$B$10,Paramètres!$A$1:$I$89,3,0)*VLOOKUP('Données projet'!$B$10,Paramètres!$A$1:$I$89,5,0)</f>
        <v>-2.1282176021486519E-13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348.76787471354476</v>
      </c>
      <c r="AO170" s="62">
        <f t="shared" si="144"/>
        <v>258.31503417978615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59.385225562404884</v>
      </c>
      <c r="BJ170" s="62">
        <f t="shared" si="146"/>
        <v>285.5244298970598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3.3056689335086218</v>
      </c>
      <c r="BQ170" s="23">
        <f>EXP(-LN(2)/25)*BQ169+(1-EXP(-LN(2)/25))/(LN(2)/25)*Calculateur!BL170*Calculateur!BN170*VLOOKUP('Données projet'!$B$11,Paramètres!$A$1:$I$89,3,0)*0.475*44/12</f>
        <v>0.25689497785029686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3.5625639113589185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520.80494930257237</v>
      </c>
      <c r="CE170" s="62">
        <f t="shared" si="148"/>
        <v>325.72635759450861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4.0537770528501167E-2</v>
      </c>
      <c r="CL170" s="23">
        <f>EXP(-LN(2)/25)*CL169+(1-EXP(-LN(2)/25))/(LN(2)/25)*Calculateur!CG170*Calculateur!CI170*VLOOKUP('Données projet'!$B$12,Paramètres!$A$1:$I$89,3,0)*0.475*44/12</f>
        <v>6.5552283895364688E-2</v>
      </c>
      <c r="CM170" s="23">
        <f>EXP(-LN(2)/2)*CM169+(1-EXP(-LN(2)/2))/(LN(2)/2)*CG170*CJ170*VLOOKUP('Données projet'!$B$12,Paramètres!$A$1:$I$89,3,0)*0.475*44/12</f>
        <v>8.3715668669647168E-21</v>
      </c>
      <c r="CN170" s="24">
        <f t="shared" si="172"/>
        <v>0.10609005442386585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472.83070477639035</v>
      </c>
      <c r="T171" s="62">
        <f t="shared" si="142"/>
        <v>297.32483725004136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3.5462850389139627E-2</v>
      </c>
      <c r="AA171" s="23">
        <f>EXP(-LN(2)/25)*AA170+(1-EXP(-LN(2)/25))/(LN(2)/25)*Calculateur!V171*Calculateur!X171*VLOOKUP('Données projet'!$B$9,Paramètres!$A$1:$I$89,3,0)*0.475*44/12</f>
        <v>5.6893318280154842E-2</v>
      </c>
      <c r="AB171" s="23">
        <f>EXP(-LN(2)/2)*AB170+(1-EXP(-LN(2)/2))/(LN(2)/2)*V171*Y171*VLOOKUP('Données projet'!$B$9,Paramètres!$A$1:$I$89,3,0)*0.475*44/12</f>
        <v>5.2820972099333479E-21</v>
      </c>
      <c r="AC171" s="24">
        <f t="shared" si="163"/>
        <v>9.2356168669294469E-2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-4.5474735088646412E-13</v>
      </c>
      <c r="AJ171" s="14">
        <f>AI171*VLOOKUP('Données projet'!$B$10,Paramètres!$A$1:$I$89,3,0)*VLOOKUP('Données projet'!$B$10,Paramètres!$A$1:$I$89,5,0)</f>
        <v>-2.1282176021486519E-13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348.76787471354476</v>
      </c>
      <c r="AO171" s="62">
        <f t="shared" si="144"/>
        <v>258.31503417978615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59.385225562404884</v>
      </c>
      <c r="BJ171" s="62">
        <f t="shared" si="146"/>
        <v>285.5244298970598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3.2408467819814781</v>
      </c>
      <c r="BQ171" s="23">
        <f>EXP(-LN(2)/25)*BQ170+(1-EXP(-LN(2)/25))/(LN(2)/25)*Calculateur!BL171*Calculateur!BN171*VLOOKUP('Données projet'!$B$11,Paramètres!$A$1:$I$89,3,0)*0.475*44/12</f>
        <v>0.24987017117146074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3.4907169531529387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520.80494930257237</v>
      </c>
      <c r="CE171" s="62">
        <f t="shared" si="148"/>
        <v>325.72635759450861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3.974284957403583E-2</v>
      </c>
      <c r="CL171" s="23">
        <f>EXP(-LN(2)/25)*CL170+(1-EXP(-LN(2)/25))/(LN(2)/25)*Calculateur!CG171*Calculateur!CI171*VLOOKUP('Données projet'!$B$12,Paramètres!$A$1:$I$89,3,0)*0.475*44/12</f>
        <v>6.3759753245001147E-2</v>
      </c>
      <c r="CM171" s="23">
        <f>EXP(-LN(2)/2)*CM170+(1-EXP(-LN(2)/2))/(LN(2)/2)*CG171*CJ171*VLOOKUP('Données projet'!$B$12,Paramètres!$A$1:$I$89,3,0)*0.475*44/12</f>
        <v>5.9195917007873713E-21</v>
      </c>
      <c r="CN171" s="24">
        <f t="shared" si="172"/>
        <v>0.10350260281903698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472.83070477639035</v>
      </c>
      <c r="T172" s="62">
        <f t="shared" si="142"/>
        <v>297.32483725004136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3.4767445523211531E-2</v>
      </c>
      <c r="AA172" s="23">
        <f>EXP(-LN(2)/25)*AA171+(1-EXP(-LN(2)/25))/(LN(2)/25)*Calculateur!V172*Calculateur!X172*VLOOKUP('Données projet'!$B$9,Paramètres!$A$1:$I$89,3,0)*0.475*44/12</f>
        <v>5.5337567499894429E-2</v>
      </c>
      <c r="AB172" s="23">
        <f>EXP(-LN(2)/2)*AB171+(1-EXP(-LN(2)/2))/(LN(2)/2)*V172*Y172*VLOOKUP('Données projet'!$B$9,Paramètres!$A$1:$I$89,3,0)*0.475*44/12</f>
        <v>3.7350067560304129E-21</v>
      </c>
      <c r="AC172" s="24">
        <f t="shared" si="163"/>
        <v>9.0105013023105959E-2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-4.5474735088646412E-13</v>
      </c>
      <c r="AJ172" s="14">
        <f>AI172*VLOOKUP('Données projet'!$B$10,Paramètres!$A$1:$I$89,3,0)*VLOOKUP('Données projet'!$B$10,Paramètres!$A$1:$I$89,5,0)</f>
        <v>-2.1282176021486519E-13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348.76787471354476</v>
      </c>
      <c r="AO172" s="62">
        <f t="shared" si="144"/>
        <v>258.31503417978615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59.385225562404884</v>
      </c>
      <c r="BJ172" s="62">
        <f t="shared" si="146"/>
        <v>285.5244298970598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3.1772957533081732</v>
      </c>
      <c r="BQ172" s="23">
        <f>EXP(-LN(2)/25)*BQ171+(1-EXP(-LN(2)/25))/(LN(2)/25)*Calculateur!BL172*Calculateur!BN172*VLOOKUP('Données projet'!$B$11,Paramètres!$A$1:$I$89,3,0)*0.475*44/12</f>
        <v>0.24303745820067593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3.4203332115088489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520.80494930257237</v>
      </c>
      <c r="CE172" s="62">
        <f t="shared" si="148"/>
        <v>325.72635759450861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3.8963516534633653E-2</v>
      </c>
      <c r="CL172" s="23">
        <f>EXP(-LN(2)/25)*CL171+(1-EXP(-LN(2)/25))/(LN(2)/25)*Calculateur!CG172*Calculateur!CI172*VLOOKUP('Données projet'!$B$12,Paramètres!$A$1:$I$89,3,0)*0.475*44/12</f>
        <v>6.2016239439536894E-2</v>
      </c>
      <c r="CM172" s="23">
        <f>EXP(-LN(2)/2)*CM171+(1-EXP(-LN(2)/2))/(LN(2)/2)*CG172*CJ172*VLOOKUP('Données projet'!$B$12,Paramètres!$A$1:$I$89,3,0)*0.475*44/12</f>
        <v>4.1857834334823584E-21</v>
      </c>
      <c r="CN172" s="24">
        <f t="shared" si="172"/>
        <v>0.10097975597417055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472.83070477639035</v>
      </c>
      <c r="T173" s="62">
        <f t="shared" si="142"/>
        <v>297.32483725004136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3.4085677122549202E-2</v>
      </c>
      <c r="AA173" s="23">
        <f>EXP(-LN(2)/25)*AA172+(1-EXP(-LN(2)/25))/(LN(2)/25)*Calculateur!V173*Calculateur!X173*VLOOKUP('Données projet'!$B$9,Paramètres!$A$1:$I$89,3,0)*0.475*44/12</f>
        <v>5.3824358806533613E-2</v>
      </c>
      <c r="AB173" s="23">
        <f>EXP(-LN(2)/2)*AB172+(1-EXP(-LN(2)/2))/(LN(2)/2)*V173*Y173*VLOOKUP('Données projet'!$B$9,Paramètres!$A$1:$I$89,3,0)*0.475*44/12</f>
        <v>2.6410486049666739E-21</v>
      </c>
      <c r="AC173" s="24">
        <f t="shared" si="163"/>
        <v>8.7910035929082808E-2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-4.5474735088646412E-13</v>
      </c>
      <c r="AJ173" s="14">
        <f>AI173*VLOOKUP('Données projet'!$B$10,Paramètres!$A$1:$I$89,3,0)*VLOOKUP('Données projet'!$B$10,Paramètres!$A$1:$I$89,5,0)</f>
        <v>-2.1282176021486519E-13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348.76787471354476</v>
      </c>
      <c r="AO173" s="62">
        <f t="shared" si="144"/>
        <v>258.31503417978615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59.385225562404884</v>
      </c>
      <c r="BJ173" s="62">
        <f t="shared" si="146"/>
        <v>285.5244298970598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3.1149909215448517</v>
      </c>
      <c r="BQ173" s="23">
        <f>EXP(-LN(2)/25)*BQ172+(1-EXP(-LN(2)/25))/(LN(2)/25)*Calculateur!BL173*Calculateur!BN173*VLOOKUP('Données projet'!$B$11,Paramètres!$A$1:$I$89,3,0)*0.475*44/12</f>
        <v>0.23639158612539399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3.3513825076702455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520.80494930257237</v>
      </c>
      <c r="CE173" s="62">
        <f t="shared" si="148"/>
        <v>325.72635759450861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3.8199465740787933E-2</v>
      </c>
      <c r="CL173" s="23">
        <f>EXP(-LN(2)/25)*CL172+(1-EXP(-LN(2)/25))/(LN(2)/25)*Calculateur!CG173*Calculateur!CI173*VLOOKUP('Données projet'!$B$12,Paramètres!$A$1:$I$89,3,0)*0.475*44/12</f>
        <v>6.0320402110770464E-2</v>
      </c>
      <c r="CM173" s="23">
        <f>EXP(-LN(2)/2)*CM172+(1-EXP(-LN(2)/2))/(LN(2)/2)*CG173*CJ173*VLOOKUP('Données projet'!$B$12,Paramètres!$A$1:$I$89,3,0)*0.475*44/12</f>
        <v>2.9597958503936857E-21</v>
      </c>
      <c r="CN173" s="24">
        <f t="shared" si="172"/>
        <v>9.851986785155839E-2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472.83070477639035</v>
      </c>
      <c r="T174" s="62">
        <f t="shared" si="142"/>
        <v>297.32483725004136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3.3417277784386197E-2</v>
      </c>
      <c r="AA174" s="23">
        <f>EXP(-LN(2)/25)*AA173+(1-EXP(-LN(2)/25))/(LN(2)/25)*Calculateur!V174*Calculateur!X174*VLOOKUP('Données projet'!$B$9,Paramètres!$A$1:$I$89,3,0)*0.475*44/12</f>
        <v>5.2352528884468938E-2</v>
      </c>
      <c r="AB174" s="23">
        <f>EXP(-LN(2)/2)*AB173+(1-EXP(-LN(2)/2))/(LN(2)/2)*V174*Y174*VLOOKUP('Données projet'!$B$9,Paramètres!$A$1:$I$89,3,0)*0.475*44/12</f>
        <v>1.8675033780152065E-21</v>
      </c>
      <c r="AC174" s="24">
        <f t="shared" si="163"/>
        <v>8.5769806668855142E-2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-4.5474735088646412E-13</v>
      </c>
      <c r="AJ174" s="14">
        <f>AI174*VLOOKUP('Données projet'!$B$10,Paramètres!$A$1:$I$89,3,0)*VLOOKUP('Données projet'!$B$10,Paramètres!$A$1:$I$89,5,0)</f>
        <v>-2.1282176021486519E-13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348.76787471354476</v>
      </c>
      <c r="AO174" s="62">
        <f t="shared" si="144"/>
        <v>258.31503417978615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59.385225562404884</v>
      </c>
      <c r="BJ174" s="62">
        <f t="shared" si="146"/>
        <v>285.5244298970598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3.0539078495302143</v>
      </c>
      <c r="BQ174" s="23">
        <f>EXP(-LN(2)/25)*BQ173+(1-EXP(-LN(2)/25))/(LN(2)/25)*Calculateur!BL174*Calculateur!BN174*VLOOKUP('Données projet'!$B$11,Paramètres!$A$1:$I$89,3,0)*0.475*44/12</f>
        <v>0.22992744577150184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3.2838352953017163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520.80494930257237</v>
      </c>
      <c r="CE174" s="62">
        <f t="shared" si="148"/>
        <v>325.72635759450861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3.7450397516984563E-2</v>
      </c>
      <c r="CL174" s="23">
        <f>EXP(-LN(2)/25)*CL173+(1-EXP(-LN(2)/25))/(LN(2)/25)*Calculateur!CG174*Calculateur!CI174*VLOOKUP('Données projet'!$B$12,Paramètres!$A$1:$I$89,3,0)*0.475*44/12</f>
        <v>5.8670937542939366E-2</v>
      </c>
      <c r="CM174" s="23">
        <f>EXP(-LN(2)/2)*CM173+(1-EXP(-LN(2)/2))/(LN(2)/2)*CG174*CJ174*VLOOKUP('Données projet'!$B$12,Paramètres!$A$1:$I$89,3,0)*0.475*44/12</f>
        <v>2.0928917167411792E-21</v>
      </c>
      <c r="CN174" s="24">
        <f t="shared" si="172"/>
        <v>9.6121335059923929E-2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472.83070477639035</v>
      </c>
      <c r="T175" s="62">
        <f t="shared" si="142"/>
        <v>297.32483725004136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3.2761985349561228E-2</v>
      </c>
      <c r="AA175" s="23">
        <f>EXP(-LN(2)/25)*AA174+(1-EXP(-LN(2)/25))/(LN(2)/25)*Calculateur!V175*Calculateur!X175*VLOOKUP('Données projet'!$B$9,Paramètres!$A$1:$I$89,3,0)*0.475*44/12</f>
        <v>5.0920946229023295E-2</v>
      </c>
      <c r="AB175" s="23">
        <f>EXP(-LN(2)/2)*AB174+(1-EXP(-LN(2)/2))/(LN(2)/2)*V175*Y175*VLOOKUP('Données projet'!$B$9,Paramètres!$A$1:$I$89,3,0)*0.475*44/12</f>
        <v>1.320524302483337E-21</v>
      </c>
      <c r="AC175" s="24">
        <f t="shared" si="163"/>
        <v>8.368293157858453E-2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-4.5474735088646412E-13</v>
      </c>
      <c r="AJ175" s="14">
        <f>AI175*VLOOKUP('Données projet'!$B$10,Paramètres!$A$1:$I$89,3,0)*VLOOKUP('Données projet'!$B$10,Paramètres!$A$1:$I$89,5,0)</f>
        <v>-2.1282176021486519E-13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348.76787471354476</v>
      </c>
      <c r="AO175" s="62">
        <f t="shared" si="144"/>
        <v>258.31503417978615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59.385225562404884</v>
      </c>
      <c r="BJ175" s="62">
        <f t="shared" si="146"/>
        <v>285.5244298970598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2.9940225793007889</v>
      </c>
      <c r="BQ175" s="23">
        <f>EXP(-LN(2)/25)*BQ174+(1-EXP(-LN(2)/25))/(LN(2)/25)*Calculateur!BL175*Calculateur!BN175*VLOOKUP('Données projet'!$B$11,Paramètres!$A$1:$I$89,3,0)*0.475*44/12</f>
        <v>0.22364006767552125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3.2176626469763101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520.80494930257237</v>
      </c>
      <c r="CE175" s="62">
        <f t="shared" si="148"/>
        <v>325.72635759450861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3.6716018064163469E-2</v>
      </c>
      <c r="CL175" s="23">
        <f>EXP(-LN(2)/25)*CL174+(1-EXP(-LN(2)/25))/(LN(2)/25)*Calculateur!CG175*Calculateur!CI175*VLOOKUP('Données projet'!$B$12,Paramètres!$A$1:$I$89,3,0)*0.475*44/12</f>
        <v>5.7066577670457176E-2</v>
      </c>
      <c r="CM175" s="23">
        <f>EXP(-LN(2)/2)*CM174+(1-EXP(-LN(2)/2))/(LN(2)/2)*CG175*CJ175*VLOOKUP('Données projet'!$B$12,Paramètres!$A$1:$I$89,3,0)*0.475*44/12</f>
        <v>1.4798979251968428E-21</v>
      </c>
      <c r="CN175" s="24">
        <f t="shared" si="172"/>
        <v>9.3782595734620638E-2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472.83070477639035</v>
      </c>
      <c r="T176" s="62">
        <f t="shared" si="142"/>
        <v>297.32483725004136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3.2119542799694256E-2</v>
      </c>
      <c r="AA176" s="23">
        <f>EXP(-LN(2)/25)*AA175+(1-EXP(-LN(2)/25))/(LN(2)/25)*Calculateur!V176*Calculateur!X176*VLOOKUP('Données projet'!$B$9,Paramètres!$A$1:$I$89,3,0)*0.475*44/12</f>
        <v>4.9528510276574469E-2</v>
      </c>
      <c r="AB176" s="23">
        <f>EXP(-LN(2)/2)*AB175+(1-EXP(-LN(2)/2))/(LN(2)/2)*V176*Y176*VLOOKUP('Données projet'!$B$9,Paramètres!$A$1:$I$89,3,0)*0.475*44/12</f>
        <v>9.3375168900760323E-22</v>
      </c>
      <c r="AC176" s="24">
        <f t="shared" si="163"/>
        <v>8.1648053076268726E-2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-4.5474735088646412E-13</v>
      </c>
      <c r="AJ176" s="14">
        <f>AI176*VLOOKUP('Données projet'!$B$10,Paramètres!$A$1:$I$89,3,0)*VLOOKUP('Données projet'!$B$10,Paramètres!$A$1:$I$89,5,0)</f>
        <v>-2.1282176021486519E-13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348.76787471354476</v>
      </c>
      <c r="AO176" s="62">
        <f t="shared" si="144"/>
        <v>258.31503417978615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59.385225562404884</v>
      </c>
      <c r="BJ176" s="62">
        <f t="shared" si="146"/>
        <v>285.5244298970598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2.935311622694154</v>
      </c>
      <c r="BQ176" s="23">
        <f>EXP(-LN(2)/25)*BQ175+(1-EXP(-LN(2)/25))/(LN(2)/25)*Calculateur!BL176*Calculateur!BN176*VLOOKUP('Données projet'!$B$11,Paramètres!$A$1:$I$89,3,0)*0.475*44/12</f>
        <v>0.2175246182642141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3.1528362409583681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520.80494930257237</v>
      </c>
      <c r="CE176" s="62">
        <f t="shared" si="148"/>
        <v>325.72635759450861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3.5996039344484962E-2</v>
      </c>
      <c r="CL176" s="23">
        <f>EXP(-LN(2)/25)*CL175+(1-EXP(-LN(2)/25))/(LN(2)/25)*Calculateur!CG176*Calculateur!CI176*VLOOKUP('Données projet'!$B$12,Paramètres!$A$1:$I$89,3,0)*0.475*44/12</f>
        <v>5.5506089103057633E-2</v>
      </c>
      <c r="CM176" s="23">
        <f>EXP(-LN(2)/2)*CM175+(1-EXP(-LN(2)/2))/(LN(2)/2)*CG176*CJ176*VLOOKUP('Données projet'!$B$12,Paramètres!$A$1:$I$89,3,0)*0.475*44/12</f>
        <v>1.0464458583705896E-21</v>
      </c>
      <c r="CN176" s="24">
        <f t="shared" si="172"/>
        <v>9.1502128447542602E-2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472.83070477639035</v>
      </c>
      <c r="T177" s="62">
        <f t="shared" si="142"/>
        <v>297.32483725004136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3.1489698156378913E-2</v>
      </c>
      <c r="AA177" s="23">
        <f>EXP(-LN(2)/25)*AA176+(1-EXP(-LN(2)/25))/(LN(2)/25)*Calculateur!V177*Calculateur!X177*VLOOKUP('Données projet'!$B$9,Paramètres!$A$1:$I$89,3,0)*0.475*44/12</f>
        <v>4.8174150558470387E-2</v>
      </c>
      <c r="AB177" s="23">
        <f>EXP(-LN(2)/2)*AB176+(1-EXP(-LN(2)/2))/(LN(2)/2)*V177*Y177*VLOOKUP('Données projet'!$B$9,Paramètres!$A$1:$I$89,3,0)*0.475*44/12</f>
        <v>6.6026215124166848E-22</v>
      </c>
      <c r="AC177" s="24">
        <f t="shared" si="163"/>
        <v>7.96638487148493E-2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-4.5474735088646412E-13</v>
      </c>
      <c r="AJ177" s="14">
        <f>AI177*VLOOKUP('Données projet'!$B$10,Paramètres!$A$1:$I$89,3,0)*VLOOKUP('Données projet'!$B$10,Paramètres!$A$1:$I$89,5,0)</f>
        <v>-2.1282176021486519E-13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348.76787471354476</v>
      </c>
      <c r="AO177" s="62">
        <f t="shared" si="144"/>
        <v>258.31503417978615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59.385225562404884</v>
      </c>
      <c r="BJ177" s="62">
        <f t="shared" si="146"/>
        <v>285.5244298970598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2.8777519521364279</v>
      </c>
      <c r="BQ177" s="23">
        <f>EXP(-LN(2)/25)*BQ176+(1-EXP(-LN(2)/25))/(LN(2)/25)*Calculateur!BL177*Calculateur!BN177*VLOOKUP('Données projet'!$B$11,Paramètres!$A$1:$I$89,3,0)*0.475*44/12</f>
        <v>0.21157639613865664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3.0893283482750844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520.80494930257237</v>
      </c>
      <c r="CE177" s="62">
        <f t="shared" si="148"/>
        <v>325.72635759450861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3.5290178968355693E-2</v>
      </c>
      <c r="CL177" s="23">
        <f>EXP(-LN(2)/25)*CL176+(1-EXP(-LN(2)/25))/(LN(2)/25)*Calculateur!CG177*Calculateur!CI177*VLOOKUP('Données projet'!$B$12,Paramètres!$A$1:$I$89,3,0)*0.475*44/12</f>
        <v>5.3988272177596157E-2</v>
      </c>
      <c r="CM177" s="23">
        <f>EXP(-LN(2)/2)*CM176+(1-EXP(-LN(2)/2))/(LN(2)/2)*CG177*CJ177*VLOOKUP('Données projet'!$B$12,Paramètres!$A$1:$I$89,3,0)*0.475*44/12</f>
        <v>7.3994896259842142E-22</v>
      </c>
      <c r="CN177" s="24">
        <f t="shared" si="172"/>
        <v>8.9278451145951843E-2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472.83070477639035</v>
      </c>
      <c r="T178" s="62">
        <f t="shared" si="142"/>
        <v>297.32483725004136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3.0872204382351682E-2</v>
      </c>
      <c r="AA178" s="23">
        <f>EXP(-LN(2)/25)*AA177+(1-EXP(-LN(2)/25))/(LN(2)/25)*Calculateur!V178*Calculateur!X178*VLOOKUP('Données projet'!$B$9,Paramètres!$A$1:$I$89,3,0)*0.475*44/12</f>
        <v>4.6856825878080537E-2</v>
      </c>
      <c r="AB178" s="23">
        <f>EXP(-LN(2)/2)*AB177+(1-EXP(-LN(2)/2))/(LN(2)/2)*V178*Y178*VLOOKUP('Données projet'!$B$9,Paramètres!$A$1:$I$89,3,0)*0.475*44/12</f>
        <v>4.6687584450380161E-22</v>
      </c>
      <c r="AC178" s="24">
        <f t="shared" si="163"/>
        <v>7.7729030260432222E-2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-4.5474735088646412E-13</v>
      </c>
      <c r="AJ178" s="14">
        <f>AI178*VLOOKUP('Données projet'!$B$10,Paramètres!$A$1:$I$89,3,0)*VLOOKUP('Données projet'!$B$10,Paramètres!$A$1:$I$89,5,0)</f>
        <v>-2.1282176021486519E-13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348.76787471354476</v>
      </c>
      <c r="AO178" s="62">
        <f t="shared" si="144"/>
        <v>258.31503417978615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59.385225562404884</v>
      </c>
      <c r="BJ178" s="62">
        <f t="shared" si="146"/>
        <v>285.5244298970598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2.8213209916104063</v>
      </c>
      <c r="BQ178" s="23">
        <f>EXP(-LN(2)/25)*BQ177+(1-EXP(-LN(2)/25))/(LN(2)/25)*Calculateur!BL178*Calculateur!BN178*VLOOKUP('Données projet'!$B$11,Paramètres!$A$1:$I$89,3,0)*0.475*44/12</f>
        <v>0.20579082845992597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3.0271118200703322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520.80494930257237</v>
      </c>
      <c r="CE178" s="62">
        <f t="shared" si="148"/>
        <v>325.72635759450861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3.4598160083670004E-2</v>
      </c>
      <c r="CL178" s="23">
        <f>EXP(-LN(2)/25)*CL177+(1-EXP(-LN(2)/25))/(LN(2)/25)*Calculateur!CG178*Calculateur!CI178*VLOOKUP('Données projet'!$B$12,Paramètres!$A$1:$I$89,3,0)*0.475*44/12</f>
        <v>5.2511960035779945E-2</v>
      </c>
      <c r="CM178" s="23">
        <f>EXP(-LN(2)/2)*CM177+(1-EXP(-LN(2)/2))/(LN(2)/2)*CG178*CJ178*VLOOKUP('Données projet'!$B$12,Paramètres!$A$1:$I$89,3,0)*0.475*44/12</f>
        <v>5.232229291852948E-22</v>
      </c>
      <c r="CN178" s="24">
        <f t="shared" si="172"/>
        <v>8.7110120119449949E-2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472.83070477639035</v>
      </c>
      <c r="T179" s="62">
        <f t="shared" si="142"/>
        <v>297.32483725004136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3.0266819284599112E-2</v>
      </c>
      <c r="AA179" s="23">
        <f>EXP(-LN(2)/25)*AA178+(1-EXP(-LN(2)/25))/(LN(2)/25)*Calculateur!V179*Calculateur!X179*VLOOKUP('Données projet'!$B$9,Paramètres!$A$1:$I$89,3,0)*0.475*44/12</f>
        <v>4.5575523510351046E-2</v>
      </c>
      <c r="AB179" s="23">
        <f>EXP(-LN(2)/2)*AB178+(1-EXP(-LN(2)/2))/(LN(2)/2)*V179*Y179*VLOOKUP('Données projet'!$B$9,Paramètres!$A$1:$I$89,3,0)*0.475*44/12</f>
        <v>3.3013107562083424E-22</v>
      </c>
      <c r="AC179" s="24">
        <f t="shared" si="163"/>
        <v>7.5842342794950154E-2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-4.5474735088646412E-13</v>
      </c>
      <c r="AJ179" s="14">
        <f>AI179*VLOOKUP('Données projet'!$B$10,Paramètres!$A$1:$I$89,3,0)*VLOOKUP('Données projet'!$B$10,Paramètres!$A$1:$I$89,5,0)</f>
        <v>-2.1282176021486519E-13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348.76787471354476</v>
      </c>
      <c r="AO179" s="62">
        <f t="shared" si="144"/>
        <v>258.31503417978615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59.385225562404884</v>
      </c>
      <c r="BJ179" s="62">
        <f t="shared" si="146"/>
        <v>285.5244298970598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2.7659966078008127</v>
      </c>
      <c r="BQ179" s="23">
        <f>EXP(-LN(2)/25)*BQ178+(1-EXP(-LN(2)/25))/(LN(2)/25)*Calculateur!BL179*Calculateur!BN179*VLOOKUP('Données projet'!$B$11,Paramètres!$A$1:$I$89,3,0)*0.475*44/12</f>
        <v>0.20016346743361996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2.9661600752344328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520.80494930257237</v>
      </c>
      <c r="CE179" s="62">
        <f t="shared" si="148"/>
        <v>325.72635759450861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3.3919711267223158E-2</v>
      </c>
      <c r="CL179" s="23">
        <f>EXP(-LN(2)/25)*CL178+(1-EXP(-LN(2)/25))/(LN(2)/25)*Calculateur!CG179*Calculateur!CI179*VLOOKUP('Données projet'!$B$12,Paramètres!$A$1:$I$89,3,0)*0.475*44/12</f>
        <v>5.1076017727117583E-2</v>
      </c>
      <c r="CM179" s="23">
        <f>EXP(-LN(2)/2)*CM178+(1-EXP(-LN(2)/2))/(LN(2)/2)*CG179*CJ179*VLOOKUP('Données projet'!$B$12,Paramètres!$A$1:$I$89,3,0)*0.475*44/12</f>
        <v>3.6997448129921071E-22</v>
      </c>
      <c r="CN179" s="24">
        <f t="shared" si="172"/>
        <v>8.4995728994340741E-2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472.83070477639035</v>
      </c>
      <c r="T180" s="62">
        <f t="shared" si="142"/>
        <v>297.32483725004136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2.9673305419365022E-2</v>
      </c>
      <c r="AA180" s="23">
        <f>EXP(-LN(2)/25)*AA179+(1-EXP(-LN(2)/25))/(LN(2)/25)*Calculateur!V180*Calculateur!X180*VLOOKUP('Données projet'!$B$9,Paramètres!$A$1:$I$89,3,0)*0.475*44/12</f>
        <v>4.4329258423247878E-2</v>
      </c>
      <c r="AB180" s="23">
        <f>EXP(-LN(2)/2)*AB179+(1-EXP(-LN(2)/2))/(LN(2)/2)*V180*Y180*VLOOKUP('Données projet'!$B$9,Paramètres!$A$1:$I$89,3,0)*0.475*44/12</f>
        <v>2.3343792225190081E-22</v>
      </c>
      <c r="AC180" s="24">
        <f t="shared" si="163"/>
        <v>7.4002563842612903E-2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-4.5474735088646412E-13</v>
      </c>
      <c r="AJ180" s="14">
        <f>AI180*VLOOKUP('Données projet'!$B$10,Paramètres!$A$1:$I$89,3,0)*VLOOKUP('Données projet'!$B$10,Paramètres!$A$1:$I$89,5,0)</f>
        <v>-2.1282176021486519E-13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348.76787471354476</v>
      </c>
      <c r="AO180" s="62">
        <f t="shared" si="144"/>
        <v>258.31503417978615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59.385225562404884</v>
      </c>
      <c r="BJ180" s="62">
        <f t="shared" si="146"/>
        <v>285.5244298970598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2.7117571014131832</v>
      </c>
      <c r="BQ180" s="23">
        <f>EXP(-LN(2)/25)*BQ179+(1-EXP(-LN(2)/25))/(LN(2)/25)*Calculateur!BL180*Calculateur!BN180*VLOOKUP('Données projet'!$B$11,Paramètres!$A$1:$I$89,3,0)*0.475*44/12</f>
        <v>0.19468998689050834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2.9064470883036915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520.80494930257237</v>
      </c>
      <c r="CE180" s="62">
        <f t="shared" si="148"/>
        <v>325.72635759450861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3.3254566418253917E-2</v>
      </c>
      <c r="CL180" s="23">
        <f>EXP(-LN(2)/25)*CL179+(1-EXP(-LN(2)/25))/(LN(2)/25)*Calculateur!CG180*Calculateur!CI180*VLOOKUP('Données projet'!$B$12,Paramètres!$A$1:$I$89,3,0)*0.475*44/12</f>
        <v>4.9679341336398515E-2</v>
      </c>
      <c r="CM180" s="23">
        <f>EXP(-LN(2)/2)*CM179+(1-EXP(-LN(2)/2))/(LN(2)/2)*CG180*CJ180*VLOOKUP('Données projet'!$B$12,Paramètres!$A$1:$I$89,3,0)*0.475*44/12</f>
        <v>2.616114645926474E-22</v>
      </c>
      <c r="CN180" s="24">
        <f t="shared" si="172"/>
        <v>8.2933907754652425E-2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472.83070477639035</v>
      </c>
      <c r="T181" s="62">
        <f t="shared" si="142"/>
        <v>297.32483725004136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2.9091429999020459E-2</v>
      </c>
      <c r="AA181" s="23">
        <f>EXP(-LN(2)/25)*AA180+(1-EXP(-LN(2)/25))/(LN(2)/25)*Calculateur!V181*Calculateur!X181*VLOOKUP('Données projet'!$B$9,Paramètres!$A$1:$I$89,3,0)*0.475*44/12</f>
        <v>4.3117072520489783E-2</v>
      </c>
      <c r="AB181" s="23">
        <f>EXP(-LN(2)/2)*AB180+(1-EXP(-LN(2)/2))/(LN(2)/2)*V181*Y181*VLOOKUP('Données projet'!$B$9,Paramètres!$A$1:$I$89,3,0)*0.475*44/12</f>
        <v>1.6506553781041712E-22</v>
      </c>
      <c r="AC181" s="24">
        <f t="shared" si="163"/>
        <v>7.2208502519510248E-2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-4.5474735088646412E-13</v>
      </c>
      <c r="AJ181" s="14">
        <f>AI181*VLOOKUP('Données projet'!$B$10,Paramètres!$A$1:$I$89,3,0)*VLOOKUP('Données projet'!$B$10,Paramètres!$A$1:$I$89,5,0)</f>
        <v>-2.1282176021486519E-13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348.76787471354476</v>
      </c>
      <c r="AO181" s="62">
        <f t="shared" si="144"/>
        <v>258.31503417978615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59.385225562404884</v>
      </c>
      <c r="BJ181" s="62">
        <f t="shared" si="146"/>
        <v>285.5244298970598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2.6585811986629828</v>
      </c>
      <c r="BQ181" s="23">
        <f>EXP(-LN(2)/25)*BQ180+(1-EXP(-LN(2)/25))/(LN(2)/25)*Calculateur!BL181*Calculateur!BN181*VLOOKUP('Données projet'!$B$11,Paramètres!$A$1:$I$89,3,0)*0.475*44/12</f>
        <v>0.18936617896068594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2.8479473776236688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520.80494930257237</v>
      </c>
      <c r="CE181" s="62">
        <f t="shared" si="148"/>
        <v>325.72635759450861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3.2602464654074667E-2</v>
      </c>
      <c r="CL181" s="23">
        <f>EXP(-LN(2)/25)*CL180+(1-EXP(-LN(2)/25))/(LN(2)/25)*Calculateur!CG181*Calculateur!CI181*VLOOKUP('Données projet'!$B$12,Paramètres!$A$1:$I$89,3,0)*0.475*44/12</f>
        <v>4.8320857135031682E-2</v>
      </c>
      <c r="CM181" s="23">
        <f>EXP(-LN(2)/2)*CM180+(1-EXP(-LN(2)/2))/(LN(2)/2)*CG181*CJ181*VLOOKUP('Données projet'!$B$12,Paramètres!$A$1:$I$89,3,0)*0.475*44/12</f>
        <v>1.8498724064960535E-22</v>
      </c>
      <c r="CN181" s="24">
        <f t="shared" si="172"/>
        <v>8.0923321789106356E-2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472.83070477639035</v>
      </c>
      <c r="T182" s="62">
        <f t="shared" si="142"/>
        <v>297.32483725004136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2.8520964800759892E-2</v>
      </c>
      <c r="AA182" s="23">
        <f>EXP(-LN(2)/25)*AA181+(1-EXP(-LN(2)/25))/(LN(2)/25)*Calculateur!V182*Calculateur!X182*VLOOKUP('Données projet'!$B$9,Paramètres!$A$1:$I$89,3,0)*0.475*44/12</f>
        <v>4.1938033904988688E-2</v>
      </c>
      <c r="AB182" s="23">
        <f>EXP(-LN(2)/2)*AB181+(1-EXP(-LN(2)/2))/(LN(2)/2)*V182*Y182*VLOOKUP('Données projet'!$B$9,Paramètres!$A$1:$I$89,3,0)*0.475*44/12</f>
        <v>1.167189611259504E-22</v>
      </c>
      <c r="AC182" s="24">
        <f t="shared" si="163"/>
        <v>7.0458998705748579E-2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-4.5474735088646412E-13</v>
      </c>
      <c r="AJ182" s="14">
        <f>AI182*VLOOKUP('Données projet'!$B$10,Paramètres!$A$1:$I$89,3,0)*VLOOKUP('Données projet'!$B$10,Paramètres!$A$1:$I$89,5,0)</f>
        <v>-2.1282176021486519E-13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348.76787471354476</v>
      </c>
      <c r="AO182" s="62">
        <f t="shared" si="144"/>
        <v>258.31503417978615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59.385225562404884</v>
      </c>
      <c r="BJ182" s="62">
        <f t="shared" si="146"/>
        <v>285.5244298970598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2.6064480429316159</v>
      </c>
      <c r="BQ182" s="23">
        <f>EXP(-LN(2)/25)*BQ181+(1-EXP(-LN(2)/25))/(LN(2)/25)*Calculateur!BL182*Calculateur!BN182*VLOOKUP('Données projet'!$B$11,Paramètres!$A$1:$I$89,3,0)*0.475*44/12</f>
        <v>0.18418795083867143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2.7906359937702874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520.80494930257237</v>
      </c>
      <c r="CE182" s="62">
        <f t="shared" si="148"/>
        <v>325.72635759450861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3.1963150207748169E-2</v>
      </c>
      <c r="CL182" s="23">
        <f>EXP(-LN(2)/25)*CL181+(1-EXP(-LN(2)/25))/(LN(2)/25)*Calculateur!CG182*Calculateur!CI182*VLOOKUP('Données projet'!$B$12,Paramètres!$A$1:$I$89,3,0)*0.475*44/12</f>
        <v>4.6999520755590801E-2</v>
      </c>
      <c r="CM182" s="23">
        <f>EXP(-LN(2)/2)*CM181+(1-EXP(-LN(2)/2))/(LN(2)/2)*CG182*CJ182*VLOOKUP('Données projet'!$B$12,Paramètres!$A$1:$I$89,3,0)*0.475*44/12</f>
        <v>1.308057322963237E-22</v>
      </c>
      <c r="CN182" s="24">
        <f t="shared" si="172"/>
        <v>7.8962670963338977E-2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472.83070477639035</v>
      </c>
      <c r="T183" s="62">
        <f t="shared" si="142"/>
        <v>297.32483725004136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2.7961686077087801E-2</v>
      </c>
      <c r="AA183" s="23">
        <f>EXP(-LN(2)/25)*AA182+(1-EXP(-LN(2)/25))/(LN(2)/25)*Calculateur!V183*Calculateur!X183*VLOOKUP('Données projet'!$B$9,Paramètres!$A$1:$I$89,3,0)*0.475*44/12</f>
        <v>4.0791236162431417E-2</v>
      </c>
      <c r="AB183" s="23">
        <f>EXP(-LN(2)/2)*AB182+(1-EXP(-LN(2)/2))/(LN(2)/2)*V183*Y183*VLOOKUP('Données projet'!$B$9,Paramètres!$A$1:$I$89,3,0)*0.475*44/12</f>
        <v>8.253276890520856E-23</v>
      </c>
      <c r="AC183" s="24">
        <f t="shared" si="163"/>
        <v>6.8752922239519218E-2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-4.5474735088646412E-13</v>
      </c>
      <c r="AJ183" s="14">
        <f>AI183*VLOOKUP('Données projet'!$B$10,Paramètres!$A$1:$I$89,3,0)*VLOOKUP('Données projet'!$B$10,Paramètres!$A$1:$I$89,5,0)</f>
        <v>-2.1282176021486519E-13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348.76787471354476</v>
      </c>
      <c r="AO183" s="62">
        <f t="shared" si="144"/>
        <v>258.31503417978615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59.385225562404884</v>
      </c>
      <c r="BJ183" s="62">
        <f t="shared" si="146"/>
        <v>285.5244298970598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2.5553371865860557</v>
      </c>
      <c r="BQ183" s="23">
        <f>EXP(-LN(2)/25)*BQ182+(1-EXP(-LN(2)/25))/(LN(2)/25)*Calculateur!BL183*Calculateur!BN183*VLOOKUP('Données projet'!$B$11,Paramètres!$A$1:$I$89,3,0)*0.475*44/12</f>
        <v>0.17915132163696459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2.7344885082230204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520.80494930257237</v>
      </c>
      <c r="CE183" s="62">
        <f t="shared" si="148"/>
        <v>325.72635759450861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3.1336372327770826E-2</v>
      </c>
      <c r="CL183" s="23">
        <f>EXP(-LN(2)/25)*CL182+(1-EXP(-LN(2)/25))/(LN(2)/25)*Calculateur!CG183*Calculateur!CI183*VLOOKUP('Données projet'!$B$12,Paramètres!$A$1:$I$89,3,0)*0.475*44/12</f>
        <v>4.5714316388931794E-2</v>
      </c>
      <c r="CM183" s="23">
        <f>EXP(-LN(2)/2)*CM182+(1-EXP(-LN(2)/2))/(LN(2)/2)*CG183*CJ183*VLOOKUP('Données projet'!$B$12,Paramètres!$A$1:$I$89,3,0)*0.475*44/12</f>
        <v>9.2493620324802677E-23</v>
      </c>
      <c r="CN183" s="24">
        <f t="shared" si="172"/>
        <v>7.705068871670262E-2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472.83070477639035</v>
      </c>
      <c r="T184" s="62">
        <f t="shared" si="142"/>
        <v>297.32483725004136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2.7413374468060581E-2</v>
      </c>
      <c r="AA184" s="23">
        <f>EXP(-LN(2)/25)*AA183+(1-EXP(-LN(2)/25))/(LN(2)/25)*Calculateur!V184*Calculateur!X184*VLOOKUP('Données projet'!$B$9,Paramètres!$A$1:$I$89,3,0)*0.475*44/12</f>
        <v>3.9675797664451846E-2</v>
      </c>
      <c r="AB184" s="23">
        <f>EXP(-LN(2)/2)*AB183+(1-EXP(-LN(2)/2))/(LN(2)/2)*V184*Y184*VLOOKUP('Données projet'!$B$9,Paramètres!$A$1:$I$89,3,0)*0.475*44/12</f>
        <v>5.8359480562975202E-23</v>
      </c>
      <c r="AC184" s="24">
        <f t="shared" si="163"/>
        <v>6.708917213251242E-2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-4.5474735088646412E-13</v>
      </c>
      <c r="AJ184" s="14">
        <f>AI184*VLOOKUP('Données projet'!$B$10,Paramètres!$A$1:$I$89,3,0)*VLOOKUP('Données projet'!$B$10,Paramètres!$A$1:$I$89,5,0)</f>
        <v>-2.1282176021486519E-13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348.76787471354476</v>
      </c>
      <c r="AO184" s="62">
        <f t="shared" si="144"/>
        <v>258.31503417978615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59.385225562404884</v>
      </c>
      <c r="BJ184" s="62">
        <f t="shared" si="146"/>
        <v>285.5244298970598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2.5052285829588876</v>
      </c>
      <c r="BQ184" s="23">
        <f>EXP(-LN(2)/25)*BQ183+(1-EXP(-LN(2)/25))/(LN(2)/25)*Calculateur!BL184*Calculateur!BN184*VLOOKUP('Données projet'!$B$11,Paramètres!$A$1:$I$89,3,0)*0.475*44/12</f>
        <v>0.17425241932564325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2.6794810022845308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520.80494930257237</v>
      </c>
      <c r="CE184" s="62">
        <f t="shared" si="148"/>
        <v>325.72635759450861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3.0721885179723078E-2</v>
      </c>
      <c r="CL184" s="23">
        <f>EXP(-LN(2)/25)*CL183+(1-EXP(-LN(2)/25))/(LN(2)/25)*Calculateur!CG184*Calculateur!CI184*VLOOKUP('Données projet'!$B$12,Paramètres!$A$1:$I$89,3,0)*0.475*44/12</f>
        <v>4.4464256003265035E-2</v>
      </c>
      <c r="CM184" s="23">
        <f>EXP(-LN(2)/2)*CM183+(1-EXP(-LN(2)/2))/(LN(2)/2)*CG184*CJ184*VLOOKUP('Données projet'!$B$12,Paramètres!$A$1:$I$89,3,0)*0.475*44/12</f>
        <v>6.540286614816185E-23</v>
      </c>
      <c r="CN184" s="24">
        <f t="shared" si="172"/>
        <v>7.5186141182988109E-2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472.83070477639035</v>
      </c>
      <c r="T185" s="62">
        <f t="shared" si="142"/>
        <v>297.32483725004136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2.6875814915249326E-2</v>
      </c>
      <c r="AA185" s="23">
        <f>EXP(-LN(2)/25)*AA184+(1-EXP(-LN(2)/25))/(LN(2)/25)*Calculateur!V185*Calculateur!X185*VLOOKUP('Données projet'!$B$9,Paramètres!$A$1:$I$89,3,0)*0.475*44/12</f>
        <v>3.8590860890857892E-2</v>
      </c>
      <c r="AB185" s="23">
        <f>EXP(-LN(2)/2)*AB184+(1-EXP(-LN(2)/2))/(LN(2)/2)*V185*Y185*VLOOKUP('Données projet'!$B$9,Paramètres!$A$1:$I$89,3,0)*0.475*44/12</f>
        <v>4.126638445260428E-23</v>
      </c>
      <c r="AC185" s="24">
        <f t="shared" si="163"/>
        <v>6.5466675806107211E-2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-4.5474735088646412E-13</v>
      </c>
      <c r="AJ185" s="14">
        <f>AI185*VLOOKUP('Données projet'!$B$10,Paramètres!$A$1:$I$89,3,0)*VLOOKUP('Données projet'!$B$10,Paramètres!$A$1:$I$89,5,0)</f>
        <v>-2.1282176021486519E-13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348.76787471354476</v>
      </c>
      <c r="AO185" s="62">
        <f t="shared" si="144"/>
        <v>258.31503417978615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59.385225562404884</v>
      </c>
      <c r="BJ185" s="62">
        <f t="shared" si="146"/>
        <v>285.5244298970598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2.4561025784856181</v>
      </c>
      <c r="BQ185" s="23">
        <f>EXP(-LN(2)/25)*BQ184+(1-EXP(-LN(2)/25))/(LN(2)/25)*Calculateur!BL185*Calculateur!BN185*VLOOKUP('Données projet'!$B$11,Paramètres!$A$1:$I$89,3,0)*0.475*44/12</f>
        <v>0.16948747775564707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2.6255900562412653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520.80494930257237</v>
      </c>
      <c r="CE185" s="62">
        <f t="shared" si="148"/>
        <v>325.72635759450861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3.0119447749848396E-2</v>
      </c>
      <c r="CL185" s="23">
        <f>EXP(-LN(2)/25)*CL184+(1-EXP(-LN(2)/25))/(LN(2)/25)*Calculateur!CG185*Calculateur!CI185*VLOOKUP('Données projet'!$B$12,Paramètres!$A$1:$I$89,3,0)*0.475*44/12</f>
        <v>4.3248378584582151E-2</v>
      </c>
      <c r="CM185" s="23">
        <f>EXP(-LN(2)/2)*CM184+(1-EXP(-LN(2)/2))/(LN(2)/2)*CG185*CJ185*VLOOKUP('Données projet'!$B$12,Paramètres!$A$1:$I$89,3,0)*0.475*44/12</f>
        <v>4.6246810162401339E-23</v>
      </c>
      <c r="CN185" s="24">
        <f t="shared" si="172"/>
        <v>7.336782633443055E-2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472.83070477639035</v>
      </c>
      <c r="T186" s="62">
        <f t="shared" si="142"/>
        <v>297.32483725004136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2.6348796577389748E-2</v>
      </c>
      <c r="AA186" s="23">
        <f>EXP(-LN(2)/25)*AA185+(1-EXP(-LN(2)/25))/(LN(2)/25)*Calculateur!V186*Calculateur!X186*VLOOKUP('Données projet'!$B$9,Paramètres!$A$1:$I$89,3,0)*0.475*44/12</f>
        <v>3.7535591770392208E-2</v>
      </c>
      <c r="AB186" s="23">
        <f>EXP(-LN(2)/2)*AB185+(1-EXP(-LN(2)/2))/(LN(2)/2)*V186*Y186*VLOOKUP('Données projet'!$B$9,Paramètres!$A$1:$I$89,3,0)*0.475*44/12</f>
        <v>2.9179740281487601E-23</v>
      </c>
      <c r="AC186" s="24">
        <f t="shared" si="163"/>
        <v>6.3884388347781956E-2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-4.5474735088646412E-13</v>
      </c>
      <c r="AJ186" s="14">
        <f>AI186*VLOOKUP('Données projet'!$B$10,Paramètres!$A$1:$I$89,3,0)*VLOOKUP('Données projet'!$B$10,Paramètres!$A$1:$I$89,5,0)</f>
        <v>-2.1282176021486519E-13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348.76787471354476</v>
      </c>
      <c r="AO186" s="62">
        <f t="shared" si="144"/>
        <v>258.31503417978615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59.385225562404884</v>
      </c>
      <c r="BJ186" s="62">
        <f t="shared" si="146"/>
        <v>285.5244298970598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2.4079399049961654</v>
      </c>
      <c r="BQ186" s="23">
        <f>EXP(-LN(2)/25)*BQ185+(1-EXP(-LN(2)/25))/(LN(2)/25)*Calculateur!BL186*Calculateur!BN186*VLOOKUP('Données projet'!$B$11,Paramètres!$A$1:$I$89,3,0)*0.475*44/12</f>
        <v>0.16485283376345983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2.5727927387596252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520.80494930257237</v>
      </c>
      <c r="CE186" s="62">
        <f t="shared" si="148"/>
        <v>325.72635759450861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2.9528823750523004E-2</v>
      </c>
      <c r="CL186" s="23">
        <f>EXP(-LN(2)/25)*CL185+(1-EXP(-LN(2)/25))/(LN(2)/25)*Calculateur!CG186*Calculateur!CI186*VLOOKUP('Données projet'!$B$12,Paramètres!$A$1:$I$89,3,0)*0.475*44/12</f>
        <v>4.2065749397853368E-2</v>
      </c>
      <c r="CM186" s="23">
        <f>EXP(-LN(2)/2)*CM185+(1-EXP(-LN(2)/2))/(LN(2)/2)*CG186*CJ186*VLOOKUP('Données projet'!$B$12,Paramètres!$A$1:$I$89,3,0)*0.475*44/12</f>
        <v>3.2701433074080925E-23</v>
      </c>
      <c r="CN186" s="24">
        <f t="shared" si="172"/>
        <v>7.1594573148376375E-2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472.83070477639035</v>
      </c>
      <c r="T187" s="62">
        <f t="shared" si="142"/>
        <v>297.32483725004136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2.583211274768615E-2</v>
      </c>
      <c r="AA187" s="23">
        <f>EXP(-LN(2)/25)*AA186+(1-EXP(-LN(2)/25))/(LN(2)/25)*Calculateur!V187*Calculateur!X187*VLOOKUP('Données projet'!$B$9,Paramètres!$A$1:$I$89,3,0)*0.475*44/12</f>
        <v>3.6509179039519848E-2</v>
      </c>
      <c r="AB187" s="23">
        <f>EXP(-LN(2)/2)*AB186+(1-EXP(-LN(2)/2))/(LN(2)/2)*V187*Y187*VLOOKUP('Données projet'!$B$9,Paramètres!$A$1:$I$89,3,0)*0.475*44/12</f>
        <v>2.063319222630214E-23</v>
      </c>
      <c r="AC187" s="24">
        <f t="shared" si="163"/>
        <v>6.2341291787206002E-2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-4.5474735088646412E-13</v>
      </c>
      <c r="AJ187" s="14">
        <f>AI187*VLOOKUP('Données projet'!$B$10,Paramètres!$A$1:$I$89,3,0)*VLOOKUP('Données projet'!$B$10,Paramètres!$A$1:$I$89,5,0)</f>
        <v>-2.1282176021486519E-13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348.76787471354476</v>
      </c>
      <c r="AO187" s="62">
        <f t="shared" si="144"/>
        <v>258.31503417978615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59.385225562404884</v>
      </c>
      <c r="BJ187" s="62">
        <f t="shared" si="146"/>
        <v>285.5244298970598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2.3607216721575108</v>
      </c>
      <c r="BQ187" s="23">
        <f>EXP(-LN(2)/25)*BQ186+(1-EXP(-LN(2)/25))/(LN(2)/25)*Calculateur!BL187*Calculateur!BN187*VLOOKUP('Données projet'!$B$11,Paramètres!$A$1:$I$89,3,0)*0.475*44/12</f>
        <v>0.16034492435496428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2.5210665965124752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520.80494930257237</v>
      </c>
      <c r="CE187" s="62">
        <f t="shared" si="148"/>
        <v>325.72635759450861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2.8949781527579318E-2</v>
      </c>
      <c r="CL187" s="23">
        <f>EXP(-LN(2)/25)*CL186+(1-EXP(-LN(2)/25))/(LN(2)/25)*Calculateur!CG187*Calculateur!CI187*VLOOKUP('Données projet'!$B$12,Paramètres!$A$1:$I$89,3,0)*0.475*44/12</f>
        <v>4.0915459268427448E-2</v>
      </c>
      <c r="CM187" s="23">
        <f>EXP(-LN(2)/2)*CM186+(1-EXP(-LN(2)/2))/(LN(2)/2)*CG187*CJ187*VLOOKUP('Données projet'!$B$12,Paramètres!$A$1:$I$89,3,0)*0.475*44/12</f>
        <v>2.3123405081200669E-23</v>
      </c>
      <c r="CN187" s="24">
        <f t="shared" si="172"/>
        <v>6.986524079600677E-2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472.83070477639035</v>
      </c>
      <c r="T188" s="62">
        <f t="shared" si="142"/>
        <v>297.32483725004136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2.5325560772737021E-2</v>
      </c>
      <c r="AA188" s="23">
        <f>EXP(-LN(2)/25)*AA187+(1-EXP(-LN(2)/25))/(LN(2)/25)*Calculateur!V188*Calculateur!X188*VLOOKUP('Données projet'!$B$9,Paramètres!$A$1:$I$89,3,0)*0.475*44/12</f>
        <v>3.5510833618749897E-2</v>
      </c>
      <c r="AB188" s="23">
        <f>EXP(-LN(2)/2)*AB187+(1-EXP(-LN(2)/2))/(LN(2)/2)*V188*Y188*VLOOKUP('Données projet'!$B$9,Paramètres!$A$1:$I$89,3,0)*0.475*44/12</f>
        <v>1.45898701407438E-23</v>
      </c>
      <c r="AC188" s="24">
        <f t="shared" si="163"/>
        <v>6.0836394391486914E-2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-4.5474735088646412E-13</v>
      </c>
      <c r="AJ188" s="14">
        <f>AI188*VLOOKUP('Données projet'!$B$10,Paramètres!$A$1:$I$89,3,0)*VLOOKUP('Données projet'!$B$10,Paramètres!$A$1:$I$89,5,0)</f>
        <v>-2.1282176021486519E-13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348.76787471354476</v>
      </c>
      <c r="AO188" s="62">
        <f t="shared" si="144"/>
        <v>258.31503417978615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59.385225562404884</v>
      </c>
      <c r="BJ188" s="62">
        <f t="shared" si="146"/>
        <v>285.5244298970598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2.314429360064544</v>
      </c>
      <c r="BQ188" s="23">
        <f>EXP(-LN(2)/25)*BQ187+(1-EXP(-LN(2)/25))/(LN(2)/25)*Calculateur!BL188*Calculateur!BN188*VLOOKUP('Données projet'!$B$11,Paramètres!$A$1:$I$89,3,0)*0.475*44/12</f>
        <v>0.15596028396630468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2.4703896440308486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520.80494930257237</v>
      </c>
      <c r="CE188" s="62">
        <f t="shared" si="148"/>
        <v>325.72635759450861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2.8382093969446673E-2</v>
      </c>
      <c r="CL188" s="23">
        <f>EXP(-LN(2)/25)*CL187+(1-EXP(-LN(2)/25))/(LN(2)/25)*Calculateur!CG188*Calculateur!CI188*VLOOKUP('Données projet'!$B$12,Paramètres!$A$1:$I$89,3,0)*0.475*44/12</f>
        <v>3.9796623883081812E-2</v>
      </c>
      <c r="CM188" s="23">
        <f>EXP(-LN(2)/2)*CM187+(1-EXP(-LN(2)/2))/(LN(2)/2)*CG188*CJ188*VLOOKUP('Données projet'!$B$12,Paramètres!$A$1:$I$89,3,0)*0.475*44/12</f>
        <v>1.6350716537040463E-23</v>
      </c>
      <c r="CN188" s="24">
        <f t="shared" si="172"/>
        <v>6.8178717852528492E-2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472.83070477639035</v>
      </c>
      <c r="T189" s="62">
        <f t="shared" si="142"/>
        <v>297.32483725004136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2.4828941973050449E-2</v>
      </c>
      <c r="AA189" s="23">
        <f>EXP(-LN(2)/25)*AA188+(1-EXP(-LN(2)/25))/(LN(2)/25)*Calculateur!V189*Calculateur!X189*VLOOKUP('Données projet'!$B$9,Paramètres!$A$1:$I$89,3,0)*0.475*44/12</f>
        <v>3.4539788006011603E-2</v>
      </c>
      <c r="AB189" s="23">
        <f>EXP(-LN(2)/2)*AB188+(1-EXP(-LN(2)/2))/(LN(2)/2)*V189*Y189*VLOOKUP('Données projet'!$B$9,Paramètres!$A$1:$I$89,3,0)*0.475*44/12</f>
        <v>1.031659611315107E-23</v>
      </c>
      <c r="AC189" s="24">
        <f t="shared" si="163"/>
        <v>5.9368729979062049E-2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-4.5474735088646412E-13</v>
      </c>
      <c r="AJ189" s="14">
        <f>AI189*VLOOKUP('Données projet'!$B$10,Paramètres!$A$1:$I$89,3,0)*VLOOKUP('Données projet'!$B$10,Paramètres!$A$1:$I$89,5,0)</f>
        <v>-2.1282176021486519E-13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348.76787471354476</v>
      </c>
      <c r="AO189" s="62">
        <f t="shared" si="144"/>
        <v>258.31503417978615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59.385225562404884</v>
      </c>
      <c r="BJ189" s="62">
        <f t="shared" si="146"/>
        <v>285.5244298970598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2.2690448119761979</v>
      </c>
      <c r="BQ189" s="23">
        <f>EXP(-LN(2)/25)*BQ188+(1-EXP(-LN(2)/25))/(LN(2)/25)*Calculateur!BL189*Calculateur!BN189*VLOOKUP('Données projet'!$B$11,Paramètres!$A$1:$I$89,3,0)*0.475*44/12</f>
        <v>0.1516955417996512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2.420740353775849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520.80494930257237</v>
      </c>
      <c r="CE189" s="62">
        <f t="shared" si="148"/>
        <v>325.72635759450861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2.7825538418073788E-2</v>
      </c>
      <c r="CL189" s="23">
        <f>EXP(-LN(2)/25)*CL188+(1-EXP(-LN(2)/25))/(LN(2)/25)*Calculateur!CG189*Calculateur!CI189*VLOOKUP('Données projet'!$B$12,Paramètres!$A$1:$I$89,3,0)*0.475*44/12</f>
        <v>3.8708383110185443E-2</v>
      </c>
      <c r="CM189" s="23">
        <f>EXP(-LN(2)/2)*CM188+(1-EXP(-LN(2)/2))/(LN(2)/2)*CG189*CJ189*VLOOKUP('Données projet'!$B$12,Paramètres!$A$1:$I$89,3,0)*0.475*44/12</f>
        <v>1.1561702540600335E-23</v>
      </c>
      <c r="CN189" s="24">
        <f t="shared" si="172"/>
        <v>6.6533921528259238E-2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472.83070477639035</v>
      </c>
      <c r="T190" s="62">
        <f t="shared" si="142"/>
        <v>297.32483725004136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2.4342061565118173E-2</v>
      </c>
      <c r="AA190" s="23">
        <f>EXP(-LN(2)/25)*AA189+(1-EXP(-LN(2)/25))/(LN(2)/25)*Calculateur!V190*Calculateur!X190*VLOOKUP('Données projet'!$B$9,Paramètres!$A$1:$I$89,3,0)*0.475*44/12</f>
        <v>3.3595295686618704E-2</v>
      </c>
      <c r="AB190" s="23">
        <f>EXP(-LN(2)/2)*AB189+(1-EXP(-LN(2)/2))/(LN(2)/2)*V190*Y190*VLOOKUP('Données projet'!$B$9,Paramètres!$A$1:$I$89,3,0)*0.475*44/12</f>
        <v>7.2949350703719002E-24</v>
      </c>
      <c r="AC190" s="24">
        <f t="shared" si="163"/>
        <v>5.7937357251736876E-2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-4.5474735088646412E-13</v>
      </c>
      <c r="AJ190" s="14">
        <f>AI190*VLOOKUP('Données projet'!$B$10,Paramètres!$A$1:$I$89,3,0)*VLOOKUP('Données projet'!$B$10,Paramètres!$A$1:$I$89,5,0)</f>
        <v>-2.1282176021486519E-13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348.76787471354476</v>
      </c>
      <c r="AO190" s="62">
        <f t="shared" si="144"/>
        <v>258.31503417978615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59.385225562404884</v>
      </c>
      <c r="BJ190" s="62">
        <f t="shared" si="146"/>
        <v>285.5244298970598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2.2245502271940234</v>
      </c>
      <c r="BQ190" s="23">
        <f>EXP(-LN(2)/25)*BQ189+(1-EXP(-LN(2)/25))/(LN(2)/25)*Calculateur!BL190*Calculateur!BN190*VLOOKUP('Données projet'!$B$11,Paramètres!$A$1:$I$89,3,0)*0.475*44/12</f>
        <v>0.14754741923181788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2.3720976464258414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520.80494930257237</v>
      </c>
      <c r="CE190" s="62">
        <f t="shared" si="148"/>
        <v>325.72635759450861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2.7279896581597959E-2</v>
      </c>
      <c r="CL190" s="23">
        <f>EXP(-LN(2)/25)*CL189+(1-EXP(-LN(2)/25))/(LN(2)/25)*Calculateur!CG190*Calculateur!CI190*VLOOKUP('Données projet'!$B$12,Paramètres!$A$1:$I$89,3,0)*0.475*44/12</f>
        <v>3.7649900338452023E-2</v>
      </c>
      <c r="CM190" s="23">
        <f>EXP(-LN(2)/2)*CM189+(1-EXP(-LN(2)/2))/(LN(2)/2)*CG190*CJ190*VLOOKUP('Données projet'!$B$12,Paramètres!$A$1:$I$89,3,0)*0.475*44/12</f>
        <v>8.1753582685202313E-24</v>
      </c>
      <c r="CN190" s="24">
        <f t="shared" si="172"/>
        <v>6.4929796920049979E-2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472.83070477639035</v>
      </c>
      <c r="T191" s="62">
        <f t="shared" si="142"/>
        <v>297.32483725004136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2.386472858501772E-2</v>
      </c>
      <c r="AA191" s="23">
        <f>EXP(-LN(2)/25)*AA190+(1-EXP(-LN(2)/25))/(LN(2)/25)*Calculateur!V191*Calculateur!X191*VLOOKUP('Données projet'!$B$9,Paramètres!$A$1:$I$89,3,0)*0.475*44/12</f>
        <v>3.26766305593683E-2</v>
      </c>
      <c r="AB191" s="23">
        <f>EXP(-LN(2)/2)*AB190+(1-EXP(-LN(2)/2))/(LN(2)/2)*V191*Y191*VLOOKUP('Données projet'!$B$9,Paramètres!$A$1:$I$89,3,0)*0.475*44/12</f>
        <v>5.158298056575535E-24</v>
      </c>
      <c r="AC191" s="24">
        <f t="shared" si="163"/>
        <v>5.6541359144386016E-2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-4.5474735088646412E-13</v>
      </c>
      <c r="AJ191" s="14">
        <f>AI191*VLOOKUP('Données projet'!$B$10,Paramètres!$A$1:$I$89,3,0)*VLOOKUP('Données projet'!$B$10,Paramètres!$A$1:$I$89,5,0)</f>
        <v>-2.1282176021486519E-13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348.76787471354476</v>
      </c>
      <c r="AO191" s="62">
        <f t="shared" si="144"/>
        <v>258.31503417978615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59.385225562404884</v>
      </c>
      <c r="BJ191" s="62">
        <f t="shared" si="146"/>
        <v>285.5244298970598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2.1809281540804104</v>
      </c>
      <c r="BQ191" s="23">
        <f>EXP(-LN(2)/25)*BQ190+(1-EXP(-LN(2)/25))/(LN(2)/25)*Calculateur!BL191*Calculateur!BN191*VLOOKUP('Données projet'!$B$11,Paramètres!$A$1:$I$89,3,0)*0.475*44/12</f>
        <v>0.14351272729374226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2.3244408813741528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520.80494930257237</v>
      </c>
      <c r="CE191" s="62">
        <f t="shared" si="148"/>
        <v>325.72635759450861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2.6744954448726762E-2</v>
      </c>
      <c r="CL191" s="23">
        <f>EXP(-LN(2)/25)*CL190+(1-EXP(-LN(2)/25))/(LN(2)/25)*Calculateur!CG191*Calculateur!CI191*VLOOKUP('Données projet'!$B$12,Paramètres!$A$1:$I$89,3,0)*0.475*44/12</f>
        <v>3.6620361833774845E-2</v>
      </c>
      <c r="CM191" s="23">
        <f>EXP(-LN(2)/2)*CM190+(1-EXP(-LN(2)/2))/(LN(2)/2)*CG191*CJ191*VLOOKUP('Données projet'!$B$12,Paramètres!$A$1:$I$89,3,0)*0.475*44/12</f>
        <v>5.7808512703001673E-24</v>
      </c>
      <c r="CN191" s="24">
        <f t="shared" si="172"/>
        <v>6.336531628250161E-2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472.83070477639035</v>
      </c>
      <c r="T192" s="62">
        <f t="shared" si="142"/>
        <v>297.32483725004136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2.3396755813512669E-2</v>
      </c>
      <c r="AA192" s="23">
        <f>EXP(-LN(2)/25)*AA191+(1-EXP(-LN(2)/25))/(LN(2)/25)*Calculateur!V192*Calculateur!X192*VLOOKUP('Données projet'!$B$9,Paramètres!$A$1:$I$89,3,0)*0.475*44/12</f>
        <v>3.1783086378333054E-2</v>
      </c>
      <c r="AB192" s="23">
        <f>EXP(-LN(2)/2)*AB191+(1-EXP(-LN(2)/2))/(LN(2)/2)*V192*Y192*VLOOKUP('Données projet'!$B$9,Paramètres!$A$1:$I$89,3,0)*0.475*44/12</f>
        <v>3.6474675351859501E-24</v>
      </c>
      <c r="AC192" s="24">
        <f t="shared" si="163"/>
        <v>5.5179842191845727E-2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-4.5474735088646412E-13</v>
      </c>
      <c r="AJ192" s="14">
        <f>AI192*VLOOKUP('Données projet'!$B$10,Paramètres!$A$1:$I$89,3,0)*VLOOKUP('Données projet'!$B$10,Paramètres!$A$1:$I$89,5,0)</f>
        <v>-2.1282176021486519E-13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348.76787471354476</v>
      </c>
      <c r="AO192" s="62">
        <f t="shared" si="144"/>
        <v>258.31503417978615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59.385225562404884</v>
      </c>
      <c r="BJ192" s="62">
        <f t="shared" si="146"/>
        <v>285.5244298970598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2.1381614832137177</v>
      </c>
      <c r="BQ192" s="23">
        <f>EXP(-LN(2)/25)*BQ191+(1-EXP(-LN(2)/25))/(LN(2)/25)*Calculateur!BL192*Calculateur!BN192*VLOOKUP('Données projet'!$B$11,Paramètres!$A$1:$I$89,3,0)*0.475*44/12</f>
        <v>0.13958836421888854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2.2777498474326063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520.80494930257237</v>
      </c>
      <c r="CE192" s="62">
        <f t="shared" si="148"/>
        <v>325.72635759450861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2.6220502204798688E-2</v>
      </c>
      <c r="CL192" s="23">
        <f>EXP(-LN(2)/25)*CL191+(1-EXP(-LN(2)/25))/(LN(2)/25)*Calculateur!CG192*Calculateur!CI192*VLOOKUP('Données projet'!$B$12,Paramètres!$A$1:$I$89,3,0)*0.475*44/12</f>
        <v>3.5618976113649142E-2</v>
      </c>
      <c r="CM192" s="23">
        <f>EXP(-LN(2)/2)*CM191+(1-EXP(-LN(2)/2))/(LN(2)/2)*CG192*CJ192*VLOOKUP('Données projet'!$B$12,Paramètres!$A$1:$I$89,3,0)*0.475*44/12</f>
        <v>4.0876791342601156E-24</v>
      </c>
      <c r="CN192" s="24">
        <f t="shared" si="172"/>
        <v>6.1839478318447827E-2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472.83070477639035</v>
      </c>
      <c r="T193" s="62">
        <f t="shared" si="142"/>
        <v>297.32483725004136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2.2937959702621625E-2</v>
      </c>
      <c r="AA193" s="23">
        <f>EXP(-LN(2)/25)*AA192+(1-EXP(-LN(2)/25))/(LN(2)/25)*Calculateur!V193*Calculateur!X193*VLOOKUP('Données projet'!$B$9,Paramètres!$A$1:$I$89,3,0)*0.475*44/12</f>
        <v>3.0913976209917666E-2</v>
      </c>
      <c r="AB193" s="23">
        <f>EXP(-LN(2)/2)*AB192+(1-EXP(-LN(2)/2))/(LN(2)/2)*V193*Y193*VLOOKUP('Données projet'!$B$9,Paramètres!$A$1:$I$89,3,0)*0.475*44/12</f>
        <v>2.5791490282877675E-24</v>
      </c>
      <c r="AC193" s="24">
        <f t="shared" si="163"/>
        <v>5.3851935912539291E-2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-4.5474735088646412E-13</v>
      </c>
      <c r="AJ193" s="14">
        <f>AI193*VLOOKUP('Données projet'!$B$10,Paramètres!$A$1:$I$89,3,0)*VLOOKUP('Données projet'!$B$10,Paramètres!$A$1:$I$89,5,0)</f>
        <v>-2.1282176021486519E-13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348.76787471354476</v>
      </c>
      <c r="AO193" s="62">
        <f t="shared" si="144"/>
        <v>258.31503417978615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59.385225562404884</v>
      </c>
      <c r="BJ193" s="62">
        <f t="shared" si="146"/>
        <v>285.5244298970598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2.0962334406776275</v>
      </c>
      <c r="BQ193" s="23">
        <f>EXP(-LN(2)/25)*BQ192+(1-EXP(-LN(2)/25))/(LN(2)/25)*Calculateur!BL193*Calculateur!BN193*VLOOKUP('Données projet'!$B$11,Paramètres!$A$1:$I$89,3,0)*0.475*44/12</f>
        <v>0.13577131305869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2.2320047537363177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520.80494930257237</v>
      </c>
      <c r="CE193" s="62">
        <f t="shared" si="148"/>
        <v>325.72635759450861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2.5706334149489762E-2</v>
      </c>
      <c r="CL193" s="23">
        <f>EXP(-LN(2)/25)*CL192+(1-EXP(-LN(2)/25))/(LN(2)/25)*Calculateur!CG193*Calculateur!CI193*VLOOKUP('Données projet'!$B$12,Paramètres!$A$1:$I$89,3,0)*0.475*44/12</f>
        <v>3.4644973338700862E-2</v>
      </c>
      <c r="CM193" s="23">
        <f>EXP(-LN(2)/2)*CM192+(1-EXP(-LN(2)/2))/(LN(2)/2)*CG193*CJ193*VLOOKUP('Données projet'!$B$12,Paramètres!$A$1:$I$89,3,0)*0.475*44/12</f>
        <v>2.8904256351500837E-24</v>
      </c>
      <c r="CN193" s="24">
        <f t="shared" si="172"/>
        <v>6.035130748819062E-2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472.83070477639035</v>
      </c>
      <c r="T194" s="62">
        <f t="shared" si="142"/>
        <v>297.32483725004136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2.2488160303627158E-2</v>
      </c>
      <c r="AA194" s="23">
        <f>EXP(-LN(2)/25)*AA193+(1-EXP(-LN(2)/25))/(LN(2)/25)*Calculateur!V194*Calculateur!X194*VLOOKUP('Données projet'!$B$9,Paramètres!$A$1:$I$89,3,0)*0.475*44/12</f>
        <v>3.0068631904762114E-2</v>
      </c>
      <c r="AB194" s="23">
        <f>EXP(-LN(2)/2)*AB193+(1-EXP(-LN(2)/2))/(LN(2)/2)*V194*Y194*VLOOKUP('Données projet'!$B$9,Paramètres!$A$1:$I$89,3,0)*0.475*44/12</f>
        <v>1.8237337675929751E-24</v>
      </c>
      <c r="AC194" s="24">
        <f t="shared" si="163"/>
        <v>5.2556792208389269E-2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-4.5474735088646412E-13</v>
      </c>
      <c r="AJ194" s="14">
        <f>AI194*VLOOKUP('Données projet'!$B$10,Paramètres!$A$1:$I$89,3,0)*VLOOKUP('Données projet'!$B$10,Paramètres!$A$1:$I$89,5,0)</f>
        <v>-2.1282176021486519E-13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348.76787471354476</v>
      </c>
      <c r="AO194" s="62">
        <f t="shared" si="144"/>
        <v>258.31503417978615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59.385225562404884</v>
      </c>
      <c r="BJ194" s="62">
        <f t="shared" si="146"/>
        <v>285.5244298970598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2.0551275814820893</v>
      </c>
      <c r="BQ194" s="23">
        <f>EXP(-LN(2)/25)*BQ193+(1-EXP(-LN(2)/25))/(LN(2)/25)*Calculateur!BL194*Calculateur!BN194*VLOOKUP('Données projet'!$B$11,Paramètres!$A$1:$I$89,3,0)*0.475*44/12</f>
        <v>0.13205863936319709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2.1871862208452866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520.80494930257237</v>
      </c>
      <c r="CE194" s="62">
        <f t="shared" si="148"/>
        <v>325.72635759450861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2.5202248616133894E-2</v>
      </c>
      <c r="CL194" s="23">
        <f>EXP(-LN(2)/25)*CL193+(1-EXP(-LN(2)/25))/(LN(2)/25)*Calculateur!CG194*Calculateur!CI194*VLOOKUP('Données projet'!$B$12,Paramètres!$A$1:$I$89,3,0)*0.475*44/12</f>
        <v>3.3697604720854119E-2</v>
      </c>
      <c r="CM194" s="23">
        <f>EXP(-LN(2)/2)*CM193+(1-EXP(-LN(2)/2))/(LN(2)/2)*CG194*CJ194*VLOOKUP('Données projet'!$B$12,Paramètres!$A$1:$I$89,3,0)*0.475*44/12</f>
        <v>2.0438395671300578E-24</v>
      </c>
      <c r="CN194" s="24">
        <f t="shared" si="172"/>
        <v>5.8899853336988009E-2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472.83070477639035</v>
      </c>
      <c r="T195" s="62">
        <f t="shared" si="142"/>
        <v>297.32483725004136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2.2047181196496429E-2</v>
      </c>
      <c r="AA195" s="23">
        <f>EXP(-LN(2)/25)*AA194+(1-EXP(-LN(2)/25))/(LN(2)/25)*Calculateur!V195*Calculateur!X195*VLOOKUP('Données projet'!$B$9,Paramètres!$A$1:$I$89,3,0)*0.475*44/12</f>
        <v>2.9246403584085767E-2</v>
      </c>
      <c r="AB195" s="23">
        <f>EXP(-LN(2)/2)*AB194+(1-EXP(-LN(2)/2))/(LN(2)/2)*V195*Y195*VLOOKUP('Données projet'!$B$9,Paramètres!$A$1:$I$89,3,0)*0.475*44/12</f>
        <v>1.2895745141438838E-24</v>
      </c>
      <c r="AC195" s="24">
        <f t="shared" si="163"/>
        <v>5.1293584780582199E-2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-4.5474735088646412E-13</v>
      </c>
      <c r="AJ195" s="14">
        <f>AI195*VLOOKUP('Données projet'!$B$10,Paramètres!$A$1:$I$89,3,0)*VLOOKUP('Données projet'!$B$10,Paramètres!$A$1:$I$89,5,0)</f>
        <v>-2.1282176021486519E-13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348.76787471354476</v>
      </c>
      <c r="AO195" s="62">
        <f t="shared" si="144"/>
        <v>258.31503417978615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59.385225562404884</v>
      </c>
      <c r="BJ195" s="62">
        <f t="shared" si="146"/>
        <v>285.5244298970598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2.0148277831132768</v>
      </c>
      <c r="BQ195" s="23">
        <f>EXP(-LN(2)/25)*BQ194+(1-EXP(-LN(2)/25))/(LN(2)/25)*Calculateur!BL195*Calculateur!BN195*VLOOKUP('Données projet'!$B$11,Paramètres!$A$1:$I$89,3,0)*0.475*44/12</f>
        <v>0.12844748892514846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2.1432752720384252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520.80494930257237</v>
      </c>
      <c r="CE195" s="62">
        <f t="shared" si="148"/>
        <v>325.72635759450861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2.4708047892625321E-2</v>
      </c>
      <c r="CL195" s="23">
        <f>EXP(-LN(2)/25)*CL194+(1-EXP(-LN(2)/25))/(LN(2)/25)*Calculateur!CG195*Calculateur!CI195*VLOOKUP('Données projet'!$B$12,Paramètres!$A$1:$I$89,3,0)*0.475*44/12</f>
        <v>3.2776141947682344E-2</v>
      </c>
      <c r="CM195" s="23">
        <f>EXP(-LN(2)/2)*CM194+(1-EXP(-LN(2)/2))/(LN(2)/2)*CG195*CJ195*VLOOKUP('Données projet'!$B$12,Paramètres!$A$1:$I$89,3,0)*0.475*44/12</f>
        <v>1.4452128175750418E-24</v>
      </c>
      <c r="CN195" s="24">
        <f t="shared" si="172"/>
        <v>5.7484189840307662E-2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472.83070477639035</v>
      </c>
      <c r="T196" s="62">
        <f t="shared" si="142"/>
        <v>297.32483725004136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2.1614849420685839E-2</v>
      </c>
      <c r="AA196" s="23">
        <f>EXP(-LN(2)/25)*AA195+(1-EXP(-LN(2)/25))/(LN(2)/25)*Calculateur!V196*Calculateur!X196*VLOOKUP('Données projet'!$B$9,Paramètres!$A$1:$I$89,3,0)*0.475*44/12</f>
        <v>2.8446659140077421E-2</v>
      </c>
      <c r="AB196" s="23">
        <f>EXP(-LN(2)/2)*AB195+(1-EXP(-LN(2)/2))/(LN(2)/2)*V196*Y196*VLOOKUP('Données projet'!$B$9,Paramètres!$A$1:$I$89,3,0)*0.475*44/12</f>
        <v>9.1186688379648753E-25</v>
      </c>
      <c r="AC196" s="24">
        <f t="shared" si="163"/>
        <v>5.006150856076326E-2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-4.5474735088646412E-13</v>
      </c>
      <c r="AJ196" s="14">
        <f>AI196*VLOOKUP('Données projet'!$B$10,Paramètres!$A$1:$I$89,3,0)*VLOOKUP('Données projet'!$B$10,Paramètres!$A$1:$I$89,5,0)</f>
        <v>-2.1282176021486519E-13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348.76787471354476</v>
      </c>
      <c r="AO196" s="62">
        <f t="shared" si="144"/>
        <v>258.31503417978615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59.385225562404884</v>
      </c>
      <c r="BJ196" s="62">
        <f t="shared" si="146"/>
        <v>285.5244298970598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1.975318239210027</v>
      </c>
      <c r="BQ196" s="23">
        <f>EXP(-LN(2)/25)*BQ195+(1-EXP(-LN(2)/25))/(LN(2)/25)*Calculateur!BL196*Calculateur!BN196*VLOOKUP('Données projet'!$B$11,Paramètres!$A$1:$I$89,3,0)*0.475*44/12</f>
        <v>0.1249350855857304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2.1002533247957573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520.80494930257237</v>
      </c>
      <c r="CE196" s="62">
        <f t="shared" si="148"/>
        <v>325.72635759450861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2.4223538143872073E-2</v>
      </c>
      <c r="CL196" s="23">
        <f>EXP(-LN(2)/25)*CL195+(1-EXP(-LN(2)/25))/(LN(2)/25)*Calculateur!CG196*Calculateur!CI196*VLOOKUP('Données projet'!$B$12,Paramètres!$A$1:$I$89,3,0)*0.475*44/12</f>
        <v>3.1879876622500573E-2</v>
      </c>
      <c r="CM196" s="23">
        <f>EXP(-LN(2)/2)*CM195+(1-EXP(-LN(2)/2))/(LN(2)/2)*CG196*CJ196*VLOOKUP('Données projet'!$B$12,Paramètres!$A$1:$I$89,3,0)*0.475*44/12</f>
        <v>1.0219197835650289E-24</v>
      </c>
      <c r="CN196" s="24">
        <f t="shared" si="172"/>
        <v>5.610341476637265E-2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472.83070477639035</v>
      </c>
      <c r="T197" s="62">
        <f t="shared" ref="T197:T203" si="204">$T$3</f>
        <v>297.32483725004136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2.119099540730255E-2</v>
      </c>
      <c r="AA197" s="23">
        <f>EXP(-LN(2)/25)*AA196+(1-EXP(-LN(2)/25))/(LN(2)/25)*Calculateur!V197*Calculateur!X197*VLOOKUP('Données projet'!$B$9,Paramètres!$A$1:$I$89,3,0)*0.475*44/12</f>
        <v>2.7668783749947214E-2</v>
      </c>
      <c r="AB197" s="23">
        <f>EXP(-LN(2)/2)*AB196+(1-EXP(-LN(2)/2))/(LN(2)/2)*V197*Y197*VLOOKUP('Données projet'!$B$9,Paramètres!$A$1:$I$89,3,0)*0.475*44/12</f>
        <v>6.4478725707194188E-25</v>
      </c>
      <c r="AC197" s="24">
        <f t="shared" si="163"/>
        <v>4.8859779157249761E-2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-4.5474735088646412E-13</v>
      </c>
      <c r="AJ197" s="14">
        <f>AI197*VLOOKUP('Données projet'!$B$10,Paramètres!$A$1:$I$89,3,0)*VLOOKUP('Données projet'!$B$10,Paramètres!$A$1:$I$89,5,0)</f>
        <v>-2.1282176021486519E-13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348.76787471354476</v>
      </c>
      <c r="AO197" s="62">
        <f t="shared" ref="AO197:AO203" si="205">$AO$3</f>
        <v>258.31503417978615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59.385225562404884</v>
      </c>
      <c r="BJ197" s="62">
        <f t="shared" ref="BJ197:BJ203" si="206">$BJ$3</f>
        <v>285.5244298970598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1.9365834533642776</v>
      </c>
      <c r="BQ197" s="23">
        <f>EXP(-LN(2)/25)*BQ196+(1-EXP(-LN(2)/25))/(LN(2)/25)*Calculateur!BL197*Calculateur!BN197*VLOOKUP('Données projet'!$B$11,Paramètres!$A$1:$I$89,3,0)*0.475*44/12</f>
        <v>0.12151872910033799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2.0581021824646157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520.80494930257237</v>
      </c>
      <c r="CE197" s="62">
        <f t="shared" ref="CE197:CE203" si="207">$CE$3</f>
        <v>325.72635759450861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2.374852933577011E-2</v>
      </c>
      <c r="CL197" s="23">
        <f>EXP(-LN(2)/25)*CL196+(1-EXP(-LN(2)/25))/(LN(2)/25)*Calculateur!CG197*Calculateur!CI197*VLOOKUP('Données projet'!$B$12,Paramètres!$A$1:$I$89,3,0)*0.475*44/12</f>
        <v>3.1008119719768447E-2</v>
      </c>
      <c r="CM197" s="23">
        <f>EXP(-LN(2)/2)*CM196+(1-EXP(-LN(2)/2))/(LN(2)/2)*CG197*CJ197*VLOOKUP('Données projet'!$B$12,Paramètres!$A$1:$I$89,3,0)*0.475*44/12</f>
        <v>7.2260640878752091E-25</v>
      </c>
      <c r="CN197" s="24">
        <f t="shared" si="172"/>
        <v>5.4756649055538557E-2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472.83070477639035</v>
      </c>
      <c r="T198" s="62">
        <f t="shared" si="204"/>
        <v>297.32483725004136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2.0775452912596287E-2</v>
      </c>
      <c r="AA198" s="23">
        <f>EXP(-LN(2)/25)*AA197+(1-EXP(-LN(2)/25))/(LN(2)/25)*Calculateur!V198*Calculateur!X198*VLOOKUP('Données projet'!$B$9,Paramètres!$A$1:$I$89,3,0)*0.475*44/12</f>
        <v>2.6912179403266807E-2</v>
      </c>
      <c r="AB198" s="23">
        <f>EXP(-LN(2)/2)*AB197+(1-EXP(-LN(2)/2))/(LN(2)/2)*V198*Y198*VLOOKUP('Données projet'!$B$9,Paramètres!$A$1:$I$89,3,0)*0.475*44/12</f>
        <v>4.5593344189824376E-25</v>
      </c>
      <c r="AC198" s="24">
        <f t="shared" si="163"/>
        <v>4.7687632315863093E-2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-4.5474735088646412E-13</v>
      </c>
      <c r="AJ198" s="14">
        <f>AI198*VLOOKUP('Données projet'!$B$10,Paramètres!$A$1:$I$89,3,0)*VLOOKUP('Données projet'!$B$10,Paramètres!$A$1:$I$89,5,0)</f>
        <v>-2.1282176021486519E-13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348.76787471354476</v>
      </c>
      <c r="AO198" s="62">
        <f t="shared" si="205"/>
        <v>258.31503417978615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59.385225562404884</v>
      </c>
      <c r="BJ198" s="62">
        <f t="shared" si="206"/>
        <v>285.5244298970598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1.8986082330430769</v>
      </c>
      <c r="BQ198" s="23">
        <f>EXP(-LN(2)/25)*BQ197+(1-EXP(-LN(2)/25))/(LN(2)/25)*Calculateur!BL198*Calculateur!BN198*VLOOKUP('Données projet'!$B$11,Paramètres!$A$1:$I$89,3,0)*0.475*44/12</f>
        <v>0.11819579306269702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2.016804026105774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520.80494930257237</v>
      </c>
      <c r="CE198" s="62">
        <f t="shared" si="207"/>
        <v>325.72635759450861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2.3282835160668262E-2</v>
      </c>
      <c r="CL198" s="23">
        <f>EXP(-LN(2)/25)*CL197+(1-EXP(-LN(2)/25))/(LN(2)/25)*Calculateur!CG198*Calculateur!CI198*VLOOKUP('Données projet'!$B$12,Paramètres!$A$1:$I$89,3,0)*0.475*44/12</f>
        <v>3.0160201055385232E-2</v>
      </c>
      <c r="CM198" s="23">
        <f>EXP(-LN(2)/2)*CM197+(1-EXP(-LN(2)/2))/(LN(2)/2)*CG198*CJ198*VLOOKUP('Données projet'!$B$12,Paramètres!$A$1:$I$89,3,0)*0.475*44/12</f>
        <v>5.1095989178251445E-25</v>
      </c>
      <c r="CN198" s="24">
        <f t="shared" si="172"/>
        <v>5.3443036216053494E-2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472.83070477639035</v>
      </c>
      <c r="T199" s="62">
        <f t="shared" si="204"/>
        <v>297.32483725004136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2.0368058952755317E-2</v>
      </c>
      <c r="AA199" s="23">
        <f>EXP(-LN(2)/25)*AA198+(1-EXP(-LN(2)/25))/(LN(2)/25)*Calculateur!V199*Calculateur!X199*VLOOKUP('Données projet'!$B$9,Paramètres!$A$1:$I$89,3,0)*0.475*44/12</f>
        <v>2.6176264442234469E-2</v>
      </c>
      <c r="AB199" s="23">
        <f>EXP(-LN(2)/2)*AB198+(1-EXP(-LN(2)/2))/(LN(2)/2)*V199*Y199*VLOOKUP('Données projet'!$B$9,Paramètres!$A$1:$I$89,3,0)*0.475*44/12</f>
        <v>3.2239362853597094E-25</v>
      </c>
      <c r="AC199" s="24">
        <f t="shared" si="163"/>
        <v>4.6544323394989789E-2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-4.5474735088646412E-13</v>
      </c>
      <c r="AJ199" s="14">
        <f>AI199*VLOOKUP('Données projet'!$B$10,Paramètres!$A$1:$I$89,3,0)*VLOOKUP('Données projet'!$B$10,Paramètres!$A$1:$I$89,5,0)</f>
        <v>-2.1282176021486519E-13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348.76787471354476</v>
      </c>
      <c r="AO199" s="62">
        <f t="shared" si="205"/>
        <v>258.31503417978615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59.385225562404884</v>
      </c>
      <c r="BJ199" s="62">
        <f t="shared" si="206"/>
        <v>285.5244298970598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1.8613776836297777</v>
      </c>
      <c r="BQ199" s="23">
        <f>EXP(-LN(2)/25)*BQ198+(1-EXP(-LN(2)/25))/(LN(2)/25)*Calculateur!BL199*Calculateur!BN199*VLOOKUP('Données projet'!$B$11,Paramètres!$A$1:$I$89,3,0)*0.475*44/12</f>
        <v>0.11496372288575095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1.9763414065155287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520.80494930257237</v>
      </c>
      <c r="CE199" s="62">
        <f t="shared" si="207"/>
        <v>325.72635759450861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2.282627296429476E-2</v>
      </c>
      <c r="CL199" s="23">
        <f>EXP(-LN(2)/25)*CL198+(1-EXP(-LN(2)/25))/(LN(2)/25)*Calculateur!CG199*Calculateur!CI199*VLOOKUP('Données projet'!$B$12,Paramètres!$A$1:$I$89,3,0)*0.475*44/12</f>
        <v>2.9335468771469683E-2</v>
      </c>
      <c r="CM199" s="23">
        <f>EXP(-LN(2)/2)*CM198+(1-EXP(-LN(2)/2))/(LN(2)/2)*CG199*CJ199*VLOOKUP('Données projet'!$B$12,Paramètres!$A$1:$I$89,3,0)*0.475*44/12</f>
        <v>3.6130320439376046E-25</v>
      </c>
      <c r="CN199" s="24">
        <f t="shared" si="172"/>
        <v>5.2161741735764447E-2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472.83070477639035</v>
      </c>
      <c r="T200" s="62">
        <f t="shared" si="204"/>
        <v>297.32483725004136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1.9968653739981048E-2</v>
      </c>
      <c r="AA200" s="23">
        <f>EXP(-LN(2)/25)*AA199+(1-EXP(-LN(2)/25))/(LN(2)/25)*Calculateur!V200*Calculateur!X200*VLOOKUP('Données projet'!$B$9,Paramètres!$A$1:$I$89,3,0)*0.475*44/12</f>
        <v>2.5460473114511648E-2</v>
      </c>
      <c r="AB200" s="23">
        <f>EXP(-LN(2)/2)*AB199+(1-EXP(-LN(2)/2))/(LN(2)/2)*V200*Y200*VLOOKUP('Données projet'!$B$9,Paramètres!$A$1:$I$89,3,0)*0.475*44/12</f>
        <v>2.2796672094912188E-25</v>
      </c>
      <c r="AC200" s="24">
        <f t="shared" si="163"/>
        <v>4.5429126854492699E-2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-4.5474735088646412E-13</v>
      </c>
      <c r="AJ200" s="14">
        <f>AI200*VLOOKUP('Données projet'!$B$10,Paramètres!$A$1:$I$89,3,0)*VLOOKUP('Données projet'!$B$10,Paramètres!$A$1:$I$89,5,0)</f>
        <v>-2.1282176021486519E-13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348.76787471354476</v>
      </c>
      <c r="AO200" s="62">
        <f t="shared" si="205"/>
        <v>258.31503417978615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59.385225562404884</v>
      </c>
      <c r="BJ200" s="62">
        <f t="shared" si="206"/>
        <v>285.5244298970598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1.8248772025820805</v>
      </c>
      <c r="BQ200" s="23">
        <f>EXP(-LN(2)/25)*BQ199+(1-EXP(-LN(2)/25))/(LN(2)/25)*Calculateur!BL200*Calculateur!BN200*VLOOKUP('Données projet'!$B$11,Paramètres!$A$1:$I$89,3,0)*0.475*44/12</f>
        <v>0.11182003383776065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1.9366972364198412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520.80494930257237</v>
      </c>
      <c r="CE200" s="62">
        <f t="shared" si="207"/>
        <v>325.72635759450861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2.23786636741167E-2</v>
      </c>
      <c r="CL200" s="23">
        <f>EXP(-LN(2)/25)*CL199+(1-EXP(-LN(2)/25))/(LN(2)/25)*Calculateur!CG200*Calculateur!CI200*VLOOKUP('Données projet'!$B$12,Paramètres!$A$1:$I$89,3,0)*0.475*44/12</f>
        <v>2.8533288835228588E-2</v>
      </c>
      <c r="CM200" s="23">
        <f>EXP(-LN(2)/2)*CM199+(1-EXP(-LN(2)/2))/(LN(2)/2)*CG200*CJ200*VLOOKUP('Données projet'!$B$12,Paramètres!$A$1:$I$89,3,0)*0.475*44/12</f>
        <v>2.5547994589125723E-25</v>
      </c>
      <c r="CN200" s="24">
        <f t="shared" si="172"/>
        <v>5.0911952509345285E-2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472.83070477639035</v>
      </c>
      <c r="T201" s="62">
        <f t="shared" si="204"/>
        <v>297.32483725004136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1.9577080619816157E-2</v>
      </c>
      <c r="AA201" s="23">
        <f>EXP(-LN(2)/25)*AA200+(1-EXP(-LN(2)/25))/(LN(2)/25)*Calculateur!V201*Calculateur!X201*VLOOKUP('Données projet'!$B$9,Paramètres!$A$1:$I$89,3,0)*0.475*44/12</f>
        <v>2.4764255138287235E-2</v>
      </c>
      <c r="AB201" s="23">
        <f>EXP(-LN(2)/2)*AB200+(1-EXP(-LN(2)/2))/(LN(2)/2)*V201*Y201*VLOOKUP('Données projet'!$B$9,Paramètres!$A$1:$I$89,3,0)*0.475*44/12</f>
        <v>1.6119681426798547E-25</v>
      </c>
      <c r="AC201" s="24">
        <f t="shared" si="163"/>
        <v>4.4341335758103395E-2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-4.5474735088646412E-13</v>
      </c>
      <c r="AJ201" s="14">
        <f>AI201*VLOOKUP('Données projet'!$B$10,Paramètres!$A$1:$I$89,3,0)*VLOOKUP('Données projet'!$B$10,Paramètres!$A$1:$I$89,5,0)</f>
        <v>-2.1282176021486519E-13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348.76787471354476</v>
      </c>
      <c r="AO201" s="62">
        <f t="shared" si="205"/>
        <v>258.31503417978615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59.385225562404884</v>
      </c>
      <c r="BJ201" s="62">
        <f t="shared" si="206"/>
        <v>285.5244298970598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1.7890924737046334</v>
      </c>
      <c r="BQ201" s="23">
        <f>EXP(-LN(2)/25)*BQ200+(1-EXP(-LN(2)/25))/(LN(2)/25)*Calculateur!BL201*Calculateur!BN201*VLOOKUP('Données projet'!$B$11,Paramètres!$A$1:$I$89,3,0)*0.475*44/12</f>
        <v>0.10876230913210708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1.8978547828367405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520.80494930257237</v>
      </c>
      <c r="CE201" s="62">
        <f t="shared" si="207"/>
        <v>325.72635759450861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2.1939831729104322E-2</v>
      </c>
      <c r="CL201" s="23">
        <f>EXP(-LN(2)/25)*CL200+(1-EXP(-LN(2)/25))/(LN(2)/25)*Calculateur!CG201*Calculateur!CI201*VLOOKUP('Données projet'!$B$12,Paramètres!$A$1:$I$89,3,0)*0.475*44/12</f>
        <v>2.7753044551528817E-2</v>
      </c>
      <c r="CM201" s="23">
        <f>EXP(-LN(2)/2)*CM200+(1-EXP(-LN(2)/2))/(LN(2)/2)*CG201*CJ201*VLOOKUP('Données projet'!$B$12,Paramètres!$A$1:$I$89,3,0)*0.475*44/12</f>
        <v>1.8065160219688023E-25</v>
      </c>
      <c r="CN201" s="24">
        <f t="shared" si="172"/>
        <v>4.9692876280633139E-2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472.83070477639035</v>
      </c>
      <c r="T202" s="62">
        <f t="shared" si="204"/>
        <v>297.32483725004136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1.9193186009701681E-2</v>
      </c>
      <c r="AA202" s="23">
        <f>EXP(-LN(2)/25)*AA201+(1-EXP(-LN(2)/25))/(LN(2)/25)*Calculateur!V202*Calculateur!X202*VLOOKUP('Données projet'!$B$9,Paramètres!$A$1:$I$89,3,0)*0.475*44/12</f>
        <v>2.4087075279235193E-2</v>
      </c>
      <c r="AB202" s="23">
        <f>EXP(-LN(2)/2)*AB201+(1-EXP(-LN(2)/2))/(LN(2)/2)*V202*Y202*VLOOKUP('Données projet'!$B$9,Paramètres!$A$1:$I$89,3,0)*0.475*44/12</f>
        <v>1.1398336047456094E-25</v>
      </c>
      <c r="AC202" s="24">
        <f t="shared" si="163"/>
        <v>4.3280261288936875E-2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-4.5474735088646412E-13</v>
      </c>
      <c r="AJ202" s="14">
        <f>AI202*VLOOKUP('Données projet'!$B$10,Paramètres!$A$1:$I$89,3,0)*VLOOKUP('Données projet'!$B$10,Paramètres!$A$1:$I$89,5,0)</f>
        <v>-2.1282176021486519E-13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348.76787471354476</v>
      </c>
      <c r="AO202" s="62">
        <f t="shared" si="205"/>
        <v>258.31503417978615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59.385225562404884</v>
      </c>
      <c r="BJ202" s="62">
        <f t="shared" si="206"/>
        <v>285.5244298970598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1.7540094615339437</v>
      </c>
      <c r="BQ202" s="23">
        <f>EXP(-LN(2)/25)*BQ201+(1-EXP(-LN(2)/25))/(LN(2)/25)*Calculateur!BL202*Calculateur!BN202*VLOOKUP('Données projet'!$B$11,Paramètres!$A$1:$I$89,3,0)*0.475*44/12</f>
        <v>0.10578819806932835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1.8597976596032719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520.80494930257237</v>
      </c>
      <c r="CE202" s="62">
        <f t="shared" si="207"/>
        <v>325.72635759450861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2.1509605010872582E-2</v>
      </c>
      <c r="CL202" s="23">
        <f>EXP(-LN(2)/25)*CL201+(1-EXP(-LN(2)/25))/(LN(2)/25)*Calculateur!CG202*Calculateur!CI202*VLOOKUP('Données projet'!$B$12,Paramètres!$A$1:$I$89,3,0)*0.475*44/12</f>
        <v>2.6994136088798078E-2</v>
      </c>
      <c r="CM202" s="23">
        <f>EXP(-LN(2)/2)*CM201+(1-EXP(-LN(2)/2))/(LN(2)/2)*CG202*CJ202*VLOOKUP('Données projet'!$B$12,Paramètres!$A$1:$I$89,3,0)*0.475*44/12</f>
        <v>1.2773997294562861E-25</v>
      </c>
      <c r="CN202" s="24">
        <f t="shared" si="172"/>
        <v>4.8503741099670664E-2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472.83070477639035</v>
      </c>
      <c r="T203" s="62">
        <f t="shared" si="204"/>
        <v>297.32483725004136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1.8816819338738959E-2</v>
      </c>
      <c r="AA203" s="23">
        <f>EXP(-LN(2)/25)*AA202+(1-EXP(-LN(2)/25))/(LN(2)/25)*Calculateur!V203*Calculateur!X203*VLOOKUP('Données projet'!$B$9,Paramètres!$A$1:$I$89,3,0)*0.475*44/12</f>
        <v>2.3428412939040268E-2</v>
      </c>
      <c r="AB203" s="23">
        <f>EXP(-LN(2)/2)*AB202+(1-EXP(-LN(2)/2))/(LN(2)/2)*V203*Y203*VLOOKUP('Données projet'!$B$9,Paramètres!$A$1:$I$89,3,0)*0.475*44/12</f>
        <v>8.0598407133992735E-26</v>
      </c>
      <c r="AC203" s="24">
        <f t="shared" si="163"/>
        <v>4.2245232277779224E-2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-4.5474735088646412E-13</v>
      </c>
      <c r="AJ203" s="14">
        <f>AI203*VLOOKUP('Données projet'!$B$10,Paramètres!$A$1:$I$89,3,0)*VLOOKUP('Données projet'!$B$10,Paramètres!$A$1:$I$89,5,0)</f>
        <v>-2.1282176021486519E-13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348.76787471354476</v>
      </c>
      <c r="AO203" s="62">
        <f t="shared" si="205"/>
        <v>258.31503417978615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59.385225562404884</v>
      </c>
      <c r="BJ203" s="62">
        <f t="shared" si="206"/>
        <v>285.5244298970598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1.7196144058333966</v>
      </c>
      <c r="BQ203" s="23">
        <f>EXP(-LN(2)/25)*BQ202+(1-EXP(-LN(2)/25))/(LN(2)/25)*Calculateur!BL203*Calculateur!BN203*VLOOKUP('Données projet'!$B$11,Paramètres!$A$1:$I$89,3,0)*0.475*44/12</f>
        <v>0.10289541422996301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1.8225098200633596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520.80494930257237</v>
      </c>
      <c r="CE203" s="62">
        <f t="shared" si="207"/>
        <v>325.72635759450861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2.1087814776172976E-2</v>
      </c>
      <c r="CL203" s="23">
        <f>EXP(-LN(2)/25)*CL202+(1-EXP(-LN(2)/25))/(LN(2)/25)*Calculateur!CG203*Calculateur!CI203*VLOOKUP('Données projet'!$B$12,Paramètres!$A$1:$I$89,3,0)*0.475*44/12</f>
        <v>2.6255980017889972E-2</v>
      </c>
      <c r="CM203" s="23">
        <f>EXP(-LN(2)/2)*CM202+(1-EXP(-LN(2)/2))/(LN(2)/2)*CG203*CJ203*VLOOKUP('Données projet'!$B$12,Paramètres!$A$1:$I$89,3,0)*0.475*44/12</f>
        <v>9.0325801098440114E-26</v>
      </c>
      <c r="CN203" s="24">
        <f t="shared" si="172"/>
        <v>4.7343794794062949E-2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1.1922168590978506</v>
      </c>
      <c r="BA205" s="88">
        <f>EXP(LN('Données projet'!B88)/'Données projet'!A88)</f>
        <v>1.3141519994188957</v>
      </c>
      <c r="BV205" s="88">
        <f>EXP(LN('Données projet'!B114)/'Données projet'!A114)</f>
        <v>1.2392705892426346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1" workbookViewId="0">
      <selection activeCell="J10" sqref="J1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1.5912500000000001</v>
      </c>
      <c r="C6" s="156">
        <f ca="1">IF(OR('Données projet'!B9="",'Données projet'!C9="",'Données projet'!C9=0%),0,Calculateur!S3)</f>
        <v>472.83070477639035</v>
      </c>
      <c r="D6" s="156">
        <f>IF(OR('Données projet'!B9="",'Données projet'!C9="",'Données projet'!C9=0%),0,Calculateur!T3)</f>
        <v>297.32483725004136</v>
      </c>
      <c r="E6" s="156">
        <f ca="1">MIN(C6,D6)</f>
        <v>297.32483725004136</v>
      </c>
      <c r="F6" s="156">
        <f ca="1">E6*B6</f>
        <v>473.11814727412832</v>
      </c>
      <c r="G6" s="156">
        <f ca="1">F6*(100%-'Données projet'!$C$24)*(100%-'Données projet'!$C$25)*(100%-'Données projet'!$C$26)*(100%-'Données projet'!$C$27)</f>
        <v>361.93538266470819</v>
      </c>
      <c r="H6" s="157">
        <f>IF(OR('Données projet'!B9="",'Données projet'!C9="",'Données projet'!C9=0%),0,AVERAGE(Calculateur!$AC$3:$AC$33)*B6)</f>
        <v>4.4830454265397028</v>
      </c>
      <c r="I6" s="158">
        <f>H6*(100%-'Données projet'!$C$24)*(100%-'Données projet'!$C$25)*(100%-'Données projet'!$C$26)*(100%-'Données projet'!$C$27)</f>
        <v>3.4295297513028729</v>
      </c>
      <c r="J6" s="159">
        <f>IF(OR('Données projet'!B9="",'Données projet'!C9="",'Données projet'!C9=0%),0,SUM(Calculateur!$V$3:$V$33)*VLOOKUP('Données projet'!$B$9,Paramètres!$A$1:$I$89,9,0)*B6)</f>
        <v>24.664375</v>
      </c>
      <c r="K6" s="160">
        <f>J6*(100%-'Données projet'!$C$24)*(100%-'Données projet'!$C$25)*(100%-'Données projet'!$C$26)*(100%-'Données projet'!$C$27)</f>
        <v>18.868246875000001</v>
      </c>
      <c r="L6" s="161">
        <f ca="1">G6+I6+K6</f>
        <v>384.23315929101108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9.6238799999999998</v>
      </c>
      <c r="C7" s="156">
        <f ca="1">IF(OR('Données projet'!B10="",'Données projet'!C10="",'Données projet'!C10=0%),0,Calculateur!AN3)</f>
        <v>348.76787471354476</v>
      </c>
      <c r="D7" s="156">
        <f>IF(OR('Données projet'!B10="",'Données projet'!C10="",'Données projet'!C10=0%),0,Calculateur!AO3)</f>
        <v>258.31503417978615</v>
      </c>
      <c r="E7" s="156">
        <f t="shared" ref="E7:E15" ca="1" si="0">MIN(C7,D7)</f>
        <v>258.31503417978615</v>
      </c>
      <c r="F7" s="156">
        <f t="shared" ref="F7:F15" ca="1" si="1">E7*B7</f>
        <v>2485.9928911421603</v>
      </c>
      <c r="G7" s="156">
        <f ca="1">F7*(100%-'Données projet'!$C$24)*(100%-'Données projet'!$C$25)*(100%-'Données projet'!$C$26)*(100%-'Données projet'!$C$27)</f>
        <v>1901.7845617237526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1901.7845617237526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Peuplier Blanc du Poitou</v>
      </c>
      <c r="B8" s="163">
        <f>'Données projet'!D11</f>
        <v>1.1456999999999999</v>
      </c>
      <c r="C8" s="156">
        <f ca="1">IF(OR('Données projet'!B11="",'Données projet'!C11="",'Données projet'!C11=0%),0,Calculateur!BI3)</f>
        <v>59.385225562404884</v>
      </c>
      <c r="D8" s="156">
        <f>IF(OR('Données projet'!B11="",'Données projet'!C11="",'Données projet'!C11=0%),0,Calculateur!BJ3)</f>
        <v>285.5244298970598</v>
      </c>
      <c r="E8" s="156">
        <f t="shared" ca="1" si="0"/>
        <v>59.385225562404884</v>
      </c>
      <c r="F8" s="156">
        <f t="shared" ca="1" si="1"/>
        <v>68.037652926847272</v>
      </c>
      <c r="G8" s="156">
        <f ca="1">F8*(100%-'Données projet'!$C$24)*(100%-'Données projet'!$C$25)*(100%-'Données projet'!$C$26)*(100%-'Données projet'!$C$27)</f>
        <v>52.048804489038169</v>
      </c>
      <c r="H8" s="164">
        <f>IF(OR('Données projet'!B11="",'Données projet'!C11="",'Données projet'!C11=0%),0,AVERAGE(Calculateur!$BS$3:$BS$33)*B8)</f>
        <v>27.789737505420675</v>
      </c>
      <c r="I8" s="158">
        <f>H8*(100%-'Données projet'!$C$24)*(100%-'Données projet'!$C$25)*(100%-'Données projet'!$C$26)*(100%-'Données projet'!$C$27)</f>
        <v>21.259149191646816</v>
      </c>
      <c r="J8" s="159">
        <f>IF(OR('Données projet'!B11="",'Données projet'!C11="",'Données projet'!C11=0%),0,SUM(Calculateur!$BL$3:$BL$33)*VLOOKUP('Données projet'!$B$11,Paramètres!$A$1:$I$89,9,0)*B8)</f>
        <v>278.496756</v>
      </c>
      <c r="K8" s="160">
        <f>J8*(100%-'Données projet'!$C$24)*(100%-'Données projet'!$C$25)*(100%-'Données projet'!$C$26)*(100%-'Données projet'!$C$27)</f>
        <v>213.05001834000001</v>
      </c>
      <c r="L8" s="161">
        <f t="shared" ca="1" si="2"/>
        <v>286.357972020685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pubescent</v>
      </c>
      <c r="B9" s="163">
        <f>'Données projet'!D12</f>
        <v>0.36917000000000005</v>
      </c>
      <c r="C9" s="156">
        <f ca="1">IF(OR('Données projet'!B12="",'Données projet'!C12="",'Données projet'!C12=0%),0,Calculateur!CD3)</f>
        <v>520.80494930257237</v>
      </c>
      <c r="D9" s="156">
        <f>IF(OR('Données projet'!B12="",'Données projet'!C12="",'Données projet'!C12=0%),0,Calculateur!CE3)</f>
        <v>325.72635759450861</v>
      </c>
      <c r="E9" s="156">
        <f t="shared" ca="1" si="0"/>
        <v>325.72635759450861</v>
      </c>
      <c r="F9" s="156">
        <f t="shared" ca="1" si="1"/>
        <v>120.24839943316476</v>
      </c>
      <c r="G9" s="156">
        <f ca="1">F9*(100%-'Données projet'!$C$24)*(100%-'Données projet'!$C$25)*(100%-'Données projet'!$C$26)*(100%-'Données projet'!$C$27)</f>
        <v>91.990025566371045</v>
      </c>
      <c r="H9" s="164">
        <f>IF(OR('Données projet'!B12="",'Données projet'!C12="",'Données projet'!C12=0%),0,AVERAGE(Calculateur!$CN$3:$CN$33)*B9)</f>
        <v>1.1655918109003229</v>
      </c>
      <c r="I9" s="158">
        <f>H9*(100%-'Données projet'!$C$24)*(100%-'Données projet'!$C$25)*(100%-'Données projet'!$C$26)*(100%-'Données projet'!$C$27)</f>
        <v>0.89167773533874717</v>
      </c>
      <c r="J9" s="159">
        <f>IF(OR('Données projet'!B12="",'Données projet'!C12="",'Données projet'!C12=0%),0,SUM(Calculateur!$CG$3:$CG$33)*VLOOKUP('Données projet'!$B$12,Paramètres!$A$1:$I$89,9,0)*B9)</f>
        <v>5.7221350000000006</v>
      </c>
      <c r="K9" s="160">
        <f>J9*(100%-'Données projet'!$C$24)*(100%-'Données projet'!$C$25)*(100%-'Données projet'!$C$26)*(100%-'Données projet'!$C$27)</f>
        <v>4.3774332750000005</v>
      </c>
      <c r="L9" s="161">
        <f t="shared" ca="1" si="2"/>
        <v>97.259136576709793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3147.3970907763005</v>
      </c>
      <c r="G16" s="175">
        <f t="shared" ca="1" si="3"/>
        <v>2407.7587744438702</v>
      </c>
      <c r="H16" s="176">
        <f t="shared" si="3"/>
        <v>33.438374742860702</v>
      </c>
      <c r="I16" s="176">
        <f t="shared" si="3"/>
        <v>25.580356678288435</v>
      </c>
      <c r="J16" s="177">
        <f t="shared" si="3"/>
        <v>308.88326599999999</v>
      </c>
      <c r="K16" s="177">
        <f t="shared" si="3"/>
        <v>236.29569849000001</v>
      </c>
      <c r="L16" s="178">
        <f t="shared" ca="1" si="3"/>
        <v>2669.6348296121582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Peuplier Blanc du Poitou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pubescent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J18" sqref="J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1478.7985477937882</v>
      </c>
      <c r="U10" s="190">
        <f>'Données projet'!D9</f>
        <v>1.5912500000000001</v>
      </c>
      <c r="V10" s="189">
        <f>U10*T10</f>
        <v>2353.1381891768656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1301.229476507016</v>
      </c>
      <c r="U11" s="190">
        <f>'Données projet'!D10</f>
        <v>9.6238799999999998</v>
      </c>
      <c r="V11" s="189">
        <f t="shared" ref="V11" si="0">U11*T11</f>
        <v>12522.876334366341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Blanc du Poitou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4892.7857442780978</v>
      </c>
      <c r="U12" s="190">
        <f>'Données projet'!D11</f>
        <v>1.1456999999999999</v>
      </c>
      <c r="V12" s="189">
        <f t="shared" ref="V12:V19" si="1">U12*T12</f>
        <v>5605.6646272194166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pubescent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1478.7985477937882</v>
      </c>
      <c r="U13" s="190">
        <f>'Données projet'!D12</f>
        <v>0.36917000000000005</v>
      </c>
      <c r="V13" s="189">
        <f t="shared" si="1"/>
        <v>545.92805988903285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f>46525.47/12.73</f>
        <v>3654.7894736842104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17904.7/12.73</f>
        <v>1406.496465043205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14059.7/12.73</f>
        <v>1104.4540455616655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06">
        <v>15</v>
      </c>
      <c r="D23" s="194">
        <f>B23*C23</f>
        <v>90</v>
      </c>
      <c r="E23" s="206"/>
      <c r="F23" s="261"/>
      <c r="H23" s="203">
        <v>3</v>
      </c>
      <c r="I23" s="204">
        <f>11134.7/12.73</f>
        <v>874.68185388845245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-74779.273126132917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06">
        <v>15</v>
      </c>
      <c r="D24" s="194">
        <f t="shared" ref="D24:D42" si="2">B24*C24</f>
        <v>420</v>
      </c>
      <c r="E24" s="206"/>
      <c r="F24" s="264"/>
      <c r="H24" s="203">
        <v>4</v>
      </c>
      <c r="I24" s="204">
        <f>5348.7/12.73</f>
        <v>420.16496465043201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06">
        <v>15</v>
      </c>
      <c r="D25" s="194">
        <f t="shared" si="2"/>
        <v>420</v>
      </c>
      <c r="E25" s="206"/>
      <c r="F25" s="264"/>
      <c r="G25" s="1"/>
      <c r="H25" s="203">
        <v>5</v>
      </c>
      <c r="I25" s="204">
        <f>6268.7/12.73</f>
        <v>492.43519245875882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-74779.273126132917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06">
        <v>15</v>
      </c>
      <c r="D26" s="194">
        <f t="shared" si="2"/>
        <v>420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06">
        <v>15</v>
      </c>
      <c r="D27" s="194">
        <f t="shared" si="2"/>
        <v>420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06">
        <v>15</v>
      </c>
      <c r="D28" s="194">
        <f t="shared" si="2"/>
        <v>420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06">
        <v>15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06">
        <v>30</v>
      </c>
      <c r="D30" s="194">
        <f t="shared" si="2"/>
        <v>840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06">
        <v>30</v>
      </c>
      <c r="D31" s="194">
        <f t="shared" si="2"/>
        <v>840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06">
        <v>30</v>
      </c>
      <c r="D32" s="194">
        <f t="shared" si="2"/>
        <v>840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06">
        <v>30</v>
      </c>
      <c r="D33" s="194">
        <f t="shared" si="2"/>
        <v>840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06">
        <v>50</v>
      </c>
      <c r="D34" s="194">
        <f t="shared" si="2"/>
        <v>1400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06">
        <v>50</v>
      </c>
      <c r="D35" s="194">
        <f t="shared" si="2"/>
        <v>1400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06">
        <v>50</v>
      </c>
      <c r="D36" s="194">
        <f t="shared" si="2"/>
        <v>1400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06">
        <v>50</v>
      </c>
      <c r="D37" s="194">
        <f t="shared" si="2"/>
        <v>1400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06">
        <v>100</v>
      </c>
      <c r="D38" s="194">
        <f t="shared" si="2"/>
        <v>2800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06">
        <v>100</v>
      </c>
      <c r="D39" s="194">
        <f t="shared" si="2"/>
        <v>2700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06">
        <v>100</v>
      </c>
      <c r="D40" s="194">
        <f t="shared" si="2"/>
        <v>2600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06">
        <v>150</v>
      </c>
      <c r="D41" s="194">
        <f t="shared" si="2"/>
        <v>3750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330</v>
      </c>
      <c r="C42" s="206">
        <v>200</v>
      </c>
      <c r="D42" s="194">
        <f t="shared" si="2"/>
        <v>66000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/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/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/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/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/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30</v>
      </c>
      <c r="B54" s="193">
        <f>'Données projet'!D62</f>
        <v>0</v>
      </c>
      <c r="C54" s="206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35</v>
      </c>
      <c r="B55" s="193">
        <f>'Données projet'!D63</f>
        <v>0</v>
      </c>
      <c r="C55" s="206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42</v>
      </c>
      <c r="B56" s="193">
        <f>'Données projet'!D64</f>
        <v>182.39</v>
      </c>
      <c r="C56" s="206">
        <v>6</v>
      </c>
      <c r="D56" s="191">
        <f t="shared" si="4"/>
        <v>1094.3399999999999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43</v>
      </c>
      <c r="B57" s="193">
        <f>'Données projet'!D65</f>
        <v>0</v>
      </c>
      <c r="C57" s="206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49</v>
      </c>
      <c r="B58" s="193">
        <f>'Données projet'!D66</f>
        <v>100.16</v>
      </c>
      <c r="C58" s="206">
        <v>15</v>
      </c>
      <c r="D58" s="191">
        <f t="shared" si="4"/>
        <v>1502.3999999999999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0</v>
      </c>
      <c r="C59" s="206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56</v>
      </c>
      <c r="B60" s="193">
        <f>'Données projet'!D68</f>
        <v>79.39</v>
      </c>
      <c r="C60" s="206">
        <v>25</v>
      </c>
      <c r="D60" s="191">
        <f t="shared" si="4"/>
        <v>1984.75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57</v>
      </c>
      <c r="B61" s="193">
        <f>'Données projet'!D69</f>
        <v>0</v>
      </c>
      <c r="C61" s="206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63</v>
      </c>
      <c r="B62" s="193">
        <f>'Données projet'!D70</f>
        <v>79.099999999999994</v>
      </c>
      <c r="C62" s="206">
        <v>25</v>
      </c>
      <c r="D62" s="191">
        <f t="shared" si="4"/>
        <v>1977.4999999999998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64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71</v>
      </c>
      <c r="B64" s="193">
        <f>'Données projet'!D72</f>
        <v>90.8</v>
      </c>
      <c r="C64" s="204">
        <v>30</v>
      </c>
      <c r="D64" s="191">
        <f t="shared" si="4"/>
        <v>2724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72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79</v>
      </c>
      <c r="B66" s="193">
        <f>'Données projet'!D74</f>
        <v>87.99</v>
      </c>
      <c r="C66" s="204">
        <v>35</v>
      </c>
      <c r="D66" s="191">
        <f t="shared" si="4"/>
        <v>3079.6499999999996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87</v>
      </c>
      <c r="B68" s="193">
        <f>'Données projet'!D76</f>
        <v>88.62</v>
      </c>
      <c r="C68" s="204">
        <v>35</v>
      </c>
      <c r="D68" s="191">
        <f t="shared" si="4"/>
        <v>3101.7000000000003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88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94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95</v>
      </c>
      <c r="B71" s="193">
        <f>'Données projet'!D79</f>
        <v>268.81</v>
      </c>
      <c r="C71" s="204">
        <v>50</v>
      </c>
      <c r="D71" s="191">
        <f t="shared" si="4"/>
        <v>13440.5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96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105</v>
      </c>
      <c r="B73" s="193">
        <f>'Données projet'!D81</f>
        <v>356.68</v>
      </c>
      <c r="C73" s="204">
        <v>50</v>
      </c>
      <c r="D73" s="191">
        <f t="shared" si="4"/>
        <v>17834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Peuplier Blanc du Poitou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236</v>
      </c>
      <c r="C85" s="204">
        <v>50</v>
      </c>
      <c r="D85" s="191">
        <f>B85*C85</f>
        <v>11800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pubescent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6</v>
      </c>
      <c r="C116" s="206">
        <v>15</v>
      </c>
      <c r="D116" s="191">
        <f>B116*C116</f>
        <v>90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28</v>
      </c>
      <c r="C117" s="206">
        <v>15</v>
      </c>
      <c r="D117" s="191">
        <f t="shared" ref="D117:D135" si="8">B117*C117</f>
        <v>420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28</v>
      </c>
      <c r="C118" s="206">
        <v>15</v>
      </c>
      <c r="D118" s="191">
        <f t="shared" si="8"/>
        <v>420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28</v>
      </c>
      <c r="C119" s="206">
        <v>15</v>
      </c>
      <c r="D119" s="191">
        <f t="shared" si="8"/>
        <v>420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28</v>
      </c>
      <c r="C120" s="206">
        <v>15</v>
      </c>
      <c r="D120" s="191">
        <f t="shared" si="8"/>
        <v>420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28</v>
      </c>
      <c r="C121" s="206">
        <v>15</v>
      </c>
      <c r="D121" s="191">
        <f t="shared" si="8"/>
        <v>420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28</v>
      </c>
      <c r="C122" s="206">
        <v>15</v>
      </c>
      <c r="D122" s="191">
        <f t="shared" si="8"/>
        <v>420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55</v>
      </c>
      <c r="B123" s="193">
        <f>'Données projet'!D121</f>
        <v>28</v>
      </c>
      <c r="C123" s="206">
        <v>30</v>
      </c>
      <c r="D123" s="191">
        <f t="shared" si="8"/>
        <v>840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60</v>
      </c>
      <c r="B124" s="193">
        <f>'Données projet'!D122</f>
        <v>28</v>
      </c>
      <c r="C124" s="206">
        <v>30</v>
      </c>
      <c r="D124" s="191">
        <f t="shared" si="8"/>
        <v>840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65</v>
      </c>
      <c r="B125" s="193">
        <f>'Données projet'!D123</f>
        <v>28</v>
      </c>
      <c r="C125" s="206">
        <v>30</v>
      </c>
      <c r="D125" s="191">
        <f t="shared" si="8"/>
        <v>840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28</v>
      </c>
      <c r="C126" s="206">
        <v>30</v>
      </c>
      <c r="D126" s="191">
        <f t="shared" si="8"/>
        <v>840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75</v>
      </c>
      <c r="B127" s="193">
        <f>'Données projet'!D125</f>
        <v>28</v>
      </c>
      <c r="C127" s="206">
        <v>50</v>
      </c>
      <c r="D127" s="191">
        <f t="shared" si="8"/>
        <v>1400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80</v>
      </c>
      <c r="B128" s="193">
        <f>'Données projet'!D126</f>
        <v>28</v>
      </c>
      <c r="C128" s="206">
        <v>50</v>
      </c>
      <c r="D128" s="191">
        <f t="shared" si="8"/>
        <v>1400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85</v>
      </c>
      <c r="B129" s="193">
        <f>'Données projet'!D127</f>
        <v>28</v>
      </c>
      <c r="C129" s="206">
        <v>50</v>
      </c>
      <c r="D129" s="191">
        <f t="shared" si="8"/>
        <v>1400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90</v>
      </c>
      <c r="B130" s="193">
        <f>'Données projet'!D128</f>
        <v>28</v>
      </c>
      <c r="C130" s="206">
        <v>50</v>
      </c>
      <c r="D130" s="191">
        <f t="shared" si="8"/>
        <v>1400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95</v>
      </c>
      <c r="B131" s="193">
        <f>'Données projet'!D129</f>
        <v>28</v>
      </c>
      <c r="C131" s="206">
        <v>100</v>
      </c>
      <c r="D131" s="191">
        <f t="shared" si="8"/>
        <v>2800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100</v>
      </c>
      <c r="B132" s="193">
        <f>'Données projet'!D130</f>
        <v>27</v>
      </c>
      <c r="C132" s="206">
        <v>100</v>
      </c>
      <c r="D132" s="191">
        <f t="shared" si="8"/>
        <v>2700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105</v>
      </c>
      <c r="B133" s="193">
        <f>'Données projet'!D131</f>
        <v>26</v>
      </c>
      <c r="C133" s="206">
        <v>100</v>
      </c>
      <c r="D133" s="191">
        <f t="shared" si="8"/>
        <v>2600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110</v>
      </c>
      <c r="B134" s="193">
        <f>'Données projet'!D132</f>
        <v>25</v>
      </c>
      <c r="C134" s="206">
        <v>150</v>
      </c>
      <c r="D134" s="191">
        <f t="shared" si="8"/>
        <v>3750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115</v>
      </c>
      <c r="B135" s="193">
        <f>'Données projet'!D133</f>
        <v>330</v>
      </c>
      <c r="C135" s="206">
        <v>200</v>
      </c>
      <c r="D135" s="191">
        <f t="shared" si="8"/>
        <v>66000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2025-01-06T12:56:47Z</dcterms:modified>
</cp:coreProperties>
</file>