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Desktop\Cadre de travail\Les projets\~Pierre Fabre~ CNPF C+for n° 196 Labarthe (Pierre Fabre n° 6)\"/>
    </mc:Choice>
  </mc:AlternateContent>
  <bookViews>
    <workbookView xWindow="0" yWindow="0" windowWidth="11748" windowHeight="5316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2" i="1" l="1"/>
  <c r="D47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A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B201" i="2" l="1"/>
  <c r="EA201" i="2"/>
  <c r="DI200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47" i="2" a="1"/>
  <c r="BC47" i="2" s="1"/>
  <c r="BC126" i="2" a="1"/>
  <c r="BC126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56" i="2" l="1" a="1"/>
  <c r="CS56" i="2" s="1"/>
  <c r="CS38" i="2" a="1"/>
  <c r="CS38" i="2" s="1"/>
  <c r="CS116" i="2" a="1"/>
  <c r="CS116" i="2" s="1"/>
  <c r="CS66" i="2" a="1"/>
  <c r="CS66" i="2" s="1"/>
  <c r="CS185" i="2" a="1"/>
  <c r="CS185" i="2" s="1"/>
  <c r="CS161" i="2" a="1"/>
  <c r="CS161" i="2" s="1"/>
  <c r="CS134" i="2" a="1"/>
  <c r="CS134" i="2" s="1"/>
  <c r="CS77" i="2" a="1"/>
  <c r="CS77" i="2" s="1"/>
  <c r="CS72" i="2" a="1"/>
  <c r="CS72" i="2" s="1"/>
  <c r="CS24" i="2" a="1"/>
  <c r="CS24" i="2" s="1"/>
  <c r="CS105" i="2" a="1"/>
  <c r="CS105" i="2" s="1"/>
  <c r="CS120" i="2" a="1"/>
  <c r="CS120" i="2" s="1"/>
  <c r="CS137" i="2" a="1"/>
  <c r="CS137" i="2" s="1"/>
  <c r="CS129" i="2" a="1"/>
  <c r="CS129" i="2" s="1"/>
  <c r="BC65" i="2" a="1"/>
  <c r="BC65" i="2" s="1"/>
  <c r="BC114" i="2" a="1"/>
  <c r="BC114" i="2" s="1"/>
  <c r="BC82" i="2" a="1"/>
  <c r="BC82" i="2" s="1"/>
  <c r="BC68" i="2" a="1"/>
  <c r="BC68" i="2" s="1"/>
  <c r="BC58" i="2" a="1"/>
  <c r="BC58" i="2" s="1"/>
  <c r="AH151" i="2" a="1"/>
  <c r="AH151" i="2" s="1"/>
  <c r="AH62" i="2" a="1"/>
  <c r="AH62" i="2" s="1"/>
  <c r="AH199" i="2" a="1"/>
  <c r="AH199" i="2" s="1"/>
  <c r="AH166" i="2" a="1"/>
  <c r="AH166" i="2" s="1"/>
  <c r="BX107" i="2" a="1"/>
  <c r="BX107" i="2" s="1"/>
  <c r="AH19" i="2" a="1"/>
  <c r="AH19" i="2" s="1"/>
  <c r="AH90" i="2" a="1"/>
  <c r="AH90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<sst xmlns="http://schemas.openxmlformats.org/spreadsheetml/2006/main" count="1173" uniqueCount="326">
  <si>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</si>
  <si>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</si>
  <si>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</si>
  <si>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</si>
  <si>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</si>
  <si>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</si>
  <si>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</si>
  <si>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</si>
  <si>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</si>
  <si>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</si>
  <si>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</si>
  <si>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</si>
  <si>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</si>
  <si>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</si>
  <si>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</si>
  <si>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</si>
  <si>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</si>
  <si>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</si>
  <si>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</si>
  <si>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</si>
  <si>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</si>
  <si>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</si>
  <si>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</si>
  <si>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</si>
  <si>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</si>
  <si>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</si>
  <si>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</si>
  <si>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</si>
  <si>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</si>
  <si>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</si>
  <si>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</si>
  <si>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</si>
  <si>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</si>
  <si>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</si>
  <si>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</si>
  <si>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</si>
  <si>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</si>
  <si>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</si>
  <si>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</si>
  <si>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</si>
  <si>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</si>
  <si>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</si>
  <si>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</si>
  <si>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</si>
  <si>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</si>
  <si>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</si>
  <si>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</si>
  <si>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</si>
  <si>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</si>
  <si>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</si>
  <si>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</si>
  <si>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</si>
  <si>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</si>
  <si>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</si>
  <si>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</si>
  <si>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</si>
  <si>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</si>
  <si>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</si>
  <si>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</si>
  <si>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</si>
  <si>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</si>
  <si>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</si>
  <si>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</si>
  <si>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</si>
  <si>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</si>
  <si>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</si>
  <si>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</si>
  <si>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</si>
  <si>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</si>
  <si>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</si>
  <si>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</si>
  <si>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</si>
  <si>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</si>
  <si>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</si>
  <si>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</si>
  <si>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</si>
  <si>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</si>
  <si>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</si>
  <si>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</si>
  <si>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</si>
  <si>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</si>
  <si>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</si>
  <si>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</si>
  <si>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</si>
  <si>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</si>
  <si>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</si>
  <si>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</si>
  <si>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</si>
  <si>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</si>
  <si>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</si>
  <si>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</si>
  <si>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</si>
  <si>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</si>
  <si>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</si>
  <si>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</si>
  <si>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</si>
  <si>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</si>
  <si>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</si>
  <si>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</si>
  <si>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</si>
  <si>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</si>
  <si>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</si>
  <si>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</si>
  <si>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</si>
  <si>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</si>
  <si>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</si>
  <si>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</si>
  <si>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</si>
  <si>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</si>
  <si>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</si>
  <si>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</si>
  <si>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</si>
  <si>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</si>
  <si>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</si>
  <si>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</si>
  <si>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</si>
  <si>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</si>
  <si>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</si>
  <si>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</si>
  <si>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</si>
  <si>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</si>
  <si>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</si>
  <si>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</si>
  <si>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</si>
  <si>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</si>
  <si>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</si>
  <si>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</si>
  <si>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</si>
  <si>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</si>
  <si>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</si>
  <si>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</si>
  <si>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</si>
  <si>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</si>
  <si>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</si>
  <si>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</si>
  <si>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</si>
  <si>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</si>
  <si>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</si>
  <si>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</si>
  <si>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</si>
  <si>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</si>
  <si>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</si>
  <si>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</si>
  <si>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</si>
  <si>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</si>
  <si>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</si>
  <si>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</si>
  <si>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</si>
  <si>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</si>
  <si>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</si>
  <si>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</si>
  <si>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</si>
  <si>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</si>
  <si>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</si>
  <si>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</si>
  <si>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</si>
  <si>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</si>
  <si>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</si>
  <si>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</si>
  <si>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</si>
  <si>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</si>
  <si>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</si>
  <si>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</si>
  <si>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</si>
  <si>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</si>
  <si>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</si>
  <si>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</si>
  <si>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</si>
  <si>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</si>
  <si>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</si>
  <si>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</si>
  <si>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</si>
  <si>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</si>
  <si>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</si>
  <si>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</si>
  <si>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</si>
  <si>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</si>
  <si>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</si>
  <si>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</si>
  <si>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</si>
  <si>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</si>
  <si>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</si>
  <si>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</si>
  <si>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</si>
  <si>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</si>
  <si>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</si>
  <si>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</si>
  <si>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</si>
  <si>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</si>
  <si>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</si>
  <si>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</si>
  <si>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</si>
  <si>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</si>
  <si>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</si>
  <si>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</si>
  <si>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</si>
  <si>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</si>
  <si>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</si>
  <si>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</si>
  <si>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</si>
  <si>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</si>
  <si>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</si>
  <si>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</si>
  <si>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</si>
  <si>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</si>
  <si>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</si>
  <si>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</si>
  <si>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</si>
  <si>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</si>
  <si>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</si>
  <si>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</si>
  <si>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</si>
  <si>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</si>
  <si>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</si>
  <si>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</si>
  <si>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</si>
  <si>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</si>
  <si>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</si>
  <si>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</si>
  <si>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</si>
  <si>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</si>
  <si>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</si>
  <si>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</si>
  <si>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</si>
  <si>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</si>
  <si>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</si>
  <si>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</si>
  <si>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</si>
  <si>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</si>
  <si>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</si>
  <si>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</si>
  <si>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</si>
  <si>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</si>
  <si>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</si>
  <si>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</si>
  <si>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</si>
  <si>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</si>
  <si>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</si>
  <si>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</si>
  <si>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</si>
  <si>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</si>
  <si>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</si>
  <si>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</si>
  <si>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</si>
  <si>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</si>
  <si>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</si>
  <si>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</si>
  <si>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</si>
  <si>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</si>
  <si>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</si>
  <si>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</si>
  <si>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</si>
  <si>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</si>
  <si>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</si>
  <si>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</si>
  <si>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</si>
  <si>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</si>
  <si>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</si>
  <si>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</si>
  <si>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</si>
  <si>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</si>
  <si>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</si>
  <si>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</si>
  <si>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</si>
  <si>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</si>
  <si>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</si>
  <si>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</si>
  <si>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</si>
  <si>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</si>
  <si>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</si>
  <si>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</si>
  <si>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</si>
  <si>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</si>
  <si>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</si>
  <si>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</si>
  <si>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</si>
  <si>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</si>
  <si>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</si>
  <si>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</si>
  <si>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</si>
  <si>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</si>
  <si>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</si>
  <si>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</si>
  <si>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</si>
  <si>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</si>
  <si>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</si>
  <si>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</si>
  <si>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</si>
  <si>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</si>
  <si>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</si>
  <si>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</si>
  <si>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</si>
  <si>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</si>
  <si>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</si>
  <si>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</si>
  <si>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</si>
  <si>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</si>
  <si>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</si>
  <si>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</si>
  <si>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</si>
  <si>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</si>
  <si>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</si>
  <si>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</si>
  <si>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</si>
  <si>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</si>
  <si>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</si>
  <si>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</si>
  <si>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</si>
  <si>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</si>
  <si>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</si>
  <si>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</si>
  <si>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</si>
  <si>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</si>
  <si>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</si>
  <si>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</si>
  <si>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</si>
  <si>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</si>
  <si>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</si>
  <si>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</si>
  <si>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</si>
  <si>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</si>
  <si>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</si>
  <si>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</si>
  <si>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</si>
  <si>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Limoneuse profonde</t>
  </si>
  <si>
    <t>Ludo - Argileuse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</si>
</sst>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quotePrefix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1.7940130667046246</c:v>
                </c:pt>
                <c:pt idx="2">
                  <c:v>2.5861009963320445</c:v>
                </c:pt>
                <c:pt idx="3">
                  <c:v>3.7294822795025944</c:v>
                </c:pt>
                <c:pt idx="4">
                  <c:v>5.380612971588814</c:v>
                </c:pt>
                <c:pt idx="5">
                  <c:v>7.765902929007491</c:v>
                </c:pt>
                <c:pt idx="6">
                  <c:v>11.213106021919666</c:v>
                </c:pt>
                <c:pt idx="7">
                  <c:v>16.196842512023562</c:v>
                </c:pt>
                <c:pt idx="8">
                  <c:v>38.295391670699246</c:v>
                </c:pt>
                <c:pt idx="9">
                  <c:v>62.186570984062314</c:v>
                </c:pt>
                <c:pt idx="10">
                  <c:v>87.975117439185894</c:v>
                </c:pt>
                <c:pt idx="11">
                  <c:v>115.69791530827148</c:v>
                </c:pt>
                <c:pt idx="12">
                  <c:v>143.25724164304287</c:v>
                </c:pt>
                <c:pt idx="13">
                  <c:v>172.79475770327392</c:v>
                </c:pt>
                <c:pt idx="14">
                  <c:v>200.11543096763447</c:v>
                </c:pt>
                <c:pt idx="15">
                  <c:v>227.34955936741798</c:v>
                </c:pt>
                <c:pt idx="16">
                  <c:v>252.42221840907519</c:v>
                </c:pt>
                <c:pt idx="17">
                  <c:v>277.43845031227971</c:v>
                </c:pt>
                <c:pt idx="18">
                  <c:v>300.32540061814672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25669776"/>
        <c:axId val="-1325668688"/>
      </c:scatterChart>
      <c:valAx>
        <c:axId val="-13256697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5668688"/>
        <c:crosses val="autoZero"/>
        <c:crossBetween val="midCat"/>
      </c:valAx>
      <c:valAx>
        <c:axId val="-1325668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5669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65470240"/>
        <c:axId val="-1265469696"/>
      </c:scatterChart>
      <c:valAx>
        <c:axId val="-126547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65469696"/>
        <c:crosses val="autoZero"/>
        <c:crossBetween val="midCat"/>
      </c:valAx>
      <c:valAx>
        <c:axId val="-1265469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6547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1.6502724380576954</c:v>
                </c:pt>
                <c:pt idx="2">
                  <c:v>2.0520637521134897</c:v>
                </c:pt>
                <c:pt idx="3">
                  <c:v>2.5520655556388459</c:v>
                </c:pt>
                <c:pt idx="4">
                  <c:v>3.1743729541770755</c:v>
                </c:pt>
                <c:pt idx="5">
                  <c:v>3.9490131614440194</c:v>
                </c:pt>
                <c:pt idx="6">
                  <c:v>4.9134106800084432</c:v>
                </c:pt>
                <c:pt idx="7">
                  <c:v>6.1142154489211284</c:v>
                </c:pt>
                <c:pt idx="8">
                  <c:v>7.6095841216093447</c:v>
                </c:pt>
                <c:pt idx="9">
                  <c:v>26.775347848615567</c:v>
                </c:pt>
                <c:pt idx="10">
                  <c:v>47.839203878787579</c:v>
                </c:pt>
                <c:pt idx="11">
                  <c:v>68.648693059353946</c:v>
                </c:pt>
                <c:pt idx="12">
                  <c:v>91.579961179254283</c:v>
                </c:pt>
                <c:pt idx="13">
                  <c:v>112.09336297762279</c:v>
                </c:pt>
                <c:pt idx="14">
                  <c:v>132.51441668148763</c:v>
                </c:pt>
                <c:pt idx="15">
                  <c:v>152.85940013041144</c:v>
                </c:pt>
                <c:pt idx="16">
                  <c:v>170.88939076239592</c:v>
                </c:pt>
                <c:pt idx="17">
                  <c:v>186.62871184754752</c:v>
                </c:pt>
                <c:pt idx="18">
                  <c:v>202.33705570258329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25667600"/>
        <c:axId val="-1325667056"/>
      </c:scatterChart>
      <c:valAx>
        <c:axId val="-13256676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5667056"/>
        <c:crosses val="autoZero"/>
        <c:crossBetween val="midCat"/>
      </c:valAx>
      <c:valAx>
        <c:axId val="-1325667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5667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25666512"/>
        <c:axId val="-1325665424"/>
      </c:scatterChart>
      <c:valAx>
        <c:axId val="-13256665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5665424"/>
        <c:crosses val="autoZero"/>
        <c:crossBetween val="midCat"/>
      </c:valAx>
      <c:valAx>
        <c:axId val="-1325665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5666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325664880"/>
        <c:axId val="-1265469152"/>
      </c:scatterChart>
      <c:valAx>
        <c:axId val="-13256648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65469152"/>
        <c:crosses val="autoZero"/>
        <c:crossBetween val="midCat"/>
      </c:valAx>
      <c:valAx>
        <c:axId val="-126546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3256648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65471328"/>
        <c:axId val="-1265472416"/>
      </c:scatterChart>
      <c:valAx>
        <c:axId val="-1265471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65472416"/>
        <c:crosses val="autoZero"/>
        <c:crossBetween val="midCat"/>
      </c:valAx>
      <c:valAx>
        <c:axId val="-126547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65471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65475136"/>
        <c:axId val="-1265475680"/>
      </c:scatterChart>
      <c:valAx>
        <c:axId val="-12654751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65475680"/>
        <c:crosses val="autoZero"/>
        <c:crossBetween val="midCat"/>
      </c:valAx>
      <c:valAx>
        <c:axId val="-1265475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65475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65472960"/>
        <c:axId val="-1265474592"/>
      </c:scatterChart>
      <c:valAx>
        <c:axId val="-12654729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65474592"/>
        <c:crosses val="autoZero"/>
        <c:crossBetween val="midCat"/>
      </c:valAx>
      <c:valAx>
        <c:axId val="-126547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65472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65471872"/>
        <c:axId val="-1265474048"/>
      </c:scatterChart>
      <c:valAx>
        <c:axId val="-12654718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65474048"/>
        <c:crosses val="autoZero"/>
        <c:crossBetween val="midCat"/>
      </c:valAx>
      <c:valAx>
        <c:axId val="-1265474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65471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65468608"/>
        <c:axId val="-1265470784"/>
      </c:scatterChart>
      <c:valAx>
        <c:axId val="-12654686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65470784"/>
        <c:crosses val="autoZero"/>
        <c:crossBetween val="midCat"/>
      </c:valAx>
      <c:valAx>
        <c:axId val="-126547078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65468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1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zoomScale="80" zoomScaleNormal="80" workbookViewId="0">
      <selection activeCell="D47" sqref="D47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1.8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116</v>
      </c>
      <c r="C9" s="35">
        <v>0.55600000000000005</v>
      </c>
      <c r="D9" s="36">
        <f t="shared" ref="D9:D18" si="0">C9*$C$5</f>
        <v>1.0008000000000001</v>
      </c>
      <c r="E9" s="37">
        <v>18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112</v>
      </c>
      <c r="C10" s="35">
        <v>0.44400000000000001</v>
      </c>
      <c r="D10" s="36">
        <f t="shared" si="0"/>
        <v>0.79920000000000002</v>
      </c>
      <c r="E10" s="37">
        <v>18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1.8000000000000003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Peuplier Polargo</v>
      </c>
      <c r="C32" s="292" t="s">
        <v>324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7</v>
      </c>
      <c r="B36" s="63">
        <v>14.28</v>
      </c>
      <c r="C36" s="63"/>
      <c r="D36" s="63"/>
      <c r="E36" s="54"/>
      <c r="F36" s="54"/>
      <c r="G36" s="54"/>
      <c r="H36" s="54"/>
      <c r="I36" s="52">
        <f>IFERROR(B36/A36,"")</f>
        <v>2.04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8</v>
      </c>
      <c r="B37" s="63">
        <v>34.68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20.399999999999999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9</v>
      </c>
      <c r="B38" s="63">
        <v>57.12</v>
      </c>
      <c r="C38" s="63"/>
      <c r="D38" s="63"/>
      <c r="E38" s="54"/>
      <c r="F38" s="54"/>
      <c r="G38" s="54"/>
      <c r="H38" s="54"/>
      <c r="I38" s="56">
        <f t="shared" si="1"/>
        <v>22.439999999999998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10</v>
      </c>
      <c r="B39" s="63">
        <v>81.599999999999994</v>
      </c>
      <c r="C39" s="63"/>
      <c r="D39" s="63"/>
      <c r="E39" s="54"/>
      <c r="F39" s="54"/>
      <c r="G39" s="54"/>
      <c r="H39" s="54"/>
      <c r="I39" s="52">
        <f t="shared" si="1"/>
        <v>24.479999999999997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11</v>
      </c>
      <c r="B40" s="63">
        <v>108.12</v>
      </c>
      <c r="C40" s="63"/>
      <c r="D40" s="63"/>
      <c r="E40" s="54"/>
      <c r="F40" s="54"/>
      <c r="G40" s="54"/>
      <c r="H40" s="54"/>
      <c r="I40" s="52">
        <f t="shared" si="1"/>
        <v>26.52000000000001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12</v>
      </c>
      <c r="B41" s="63">
        <v>134.63999999999999</v>
      </c>
      <c r="C41" s="63"/>
      <c r="D41" s="63"/>
      <c r="E41" s="54"/>
      <c r="F41" s="54"/>
      <c r="G41" s="54"/>
      <c r="H41" s="54"/>
      <c r="I41" s="56">
        <f t="shared" si="1"/>
        <v>26.519999999999982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13</v>
      </c>
      <c r="B42" s="63">
        <v>163.19999999999999</v>
      </c>
      <c r="C42" s="63"/>
      <c r="D42" s="63"/>
      <c r="E42" s="54"/>
      <c r="F42" s="54"/>
      <c r="G42" s="54"/>
      <c r="H42" s="54"/>
      <c r="I42" s="56">
        <f t="shared" si="1"/>
        <v>28.560000000000002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14</v>
      </c>
      <c r="B43" s="63">
        <v>189.72</v>
      </c>
      <c r="C43" s="63"/>
      <c r="D43" s="63"/>
      <c r="E43" s="54"/>
      <c r="F43" s="54"/>
      <c r="G43" s="54"/>
      <c r="H43" s="54"/>
      <c r="I43" s="52">
        <f t="shared" si="1"/>
        <v>26.52000000000001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15</v>
      </c>
      <c r="B44" s="63">
        <v>216.24</v>
      </c>
      <c r="C44" s="63"/>
      <c r="D44" s="63"/>
      <c r="E44" s="54"/>
      <c r="F44" s="54"/>
      <c r="G44" s="54"/>
      <c r="H44" s="54"/>
      <c r="I44" s="52">
        <f t="shared" si="1"/>
        <v>26.52000000000001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16</v>
      </c>
      <c r="B45" s="63">
        <v>240.72</v>
      </c>
      <c r="C45" s="63"/>
      <c r="D45" s="63"/>
      <c r="E45" s="54"/>
      <c r="F45" s="54"/>
      <c r="G45" s="54"/>
      <c r="H45" s="54"/>
      <c r="I45" s="52">
        <f t="shared" si="1"/>
        <v>24.47999999999999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17</v>
      </c>
      <c r="B46" s="63">
        <v>265.2</v>
      </c>
      <c r="C46" s="63"/>
      <c r="D46" s="63"/>
      <c r="E46" s="54"/>
      <c r="F46" s="54"/>
      <c r="G46" s="54"/>
      <c r="H46" s="54"/>
      <c r="I46" s="52">
        <f t="shared" si="1"/>
        <v>24.47999999999999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18</v>
      </c>
      <c r="B47" s="63">
        <v>287.64</v>
      </c>
      <c r="C47" s="63">
        <v>1</v>
      </c>
      <c r="D47" s="63">
        <f>B47</f>
        <v>287.64</v>
      </c>
      <c r="E47" s="54">
        <v>0.78</v>
      </c>
      <c r="F47" s="54"/>
      <c r="G47" s="54">
        <v>0.1</v>
      </c>
      <c r="H47" s="54">
        <v>0.12</v>
      </c>
      <c r="I47" s="52">
        <f t="shared" si="1"/>
        <v>22.439999999999998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63"/>
      <c r="C50" s="63"/>
      <c r="D50" s="6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63"/>
      <c r="C51" s="63"/>
      <c r="D51" s="6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63"/>
      <c r="C52" s="63"/>
      <c r="D52" s="6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63"/>
      <c r="C53" s="63"/>
      <c r="D53" s="6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63"/>
      <c r="C54" s="63"/>
      <c r="D54" s="6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Peuplier Koster</v>
      </c>
      <c r="C58" s="25" t="s">
        <v>325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8</v>
      </c>
      <c r="B62" s="63">
        <v>6.12</v>
      </c>
      <c r="C62" s="63"/>
      <c r="D62" s="63"/>
      <c r="E62" s="54"/>
      <c r="F62" s="54"/>
      <c r="G62" s="54"/>
      <c r="H62" s="54"/>
      <c r="I62" s="56">
        <f>IFERROR(B62/A62,"")</f>
        <v>0.76500000000000001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9</v>
      </c>
      <c r="B63" s="63">
        <v>22.44</v>
      </c>
      <c r="C63" s="63"/>
      <c r="D63" s="63"/>
      <c r="E63" s="54"/>
      <c r="F63" s="54"/>
      <c r="G63" s="54"/>
      <c r="H63" s="54"/>
      <c r="I63" s="52">
        <f>IF(A63&lt;&gt;0,(B63-(B62-D62))/(A63-A62),"")</f>
        <v>16.32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10</v>
      </c>
      <c r="B64" s="63">
        <v>40.799999999999997</v>
      </c>
      <c r="C64" s="63"/>
      <c r="D64" s="63"/>
      <c r="E64" s="54"/>
      <c r="F64" s="54"/>
      <c r="G64" s="54"/>
      <c r="H64" s="54"/>
      <c r="I64" s="52">
        <f>IF(A64&lt;&gt;0,(B64-(B63-D63))/(A64-A63),"")</f>
        <v>18.359999999999996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11</v>
      </c>
      <c r="B65" s="63">
        <v>59.16</v>
      </c>
      <c r="C65" s="63"/>
      <c r="D65" s="63"/>
      <c r="E65" s="54"/>
      <c r="F65" s="54"/>
      <c r="G65" s="54"/>
      <c r="H65" s="54"/>
      <c r="I65" s="52">
        <f>IF(A65&lt;&gt;0,(B65-(B64-D64))/(A65-A64),"")</f>
        <v>18.36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12</v>
      </c>
      <c r="B66" s="63">
        <v>79.56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20.400000000000006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13</v>
      </c>
      <c r="B67" s="63">
        <v>97.92</v>
      </c>
      <c r="C67" s="63"/>
      <c r="D67" s="63"/>
      <c r="E67" s="54"/>
      <c r="F67" s="54"/>
      <c r="G67" s="54"/>
      <c r="H67" s="54"/>
      <c r="I67" s="52">
        <f t="shared" si="2"/>
        <v>18.36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14</v>
      </c>
      <c r="B68" s="63">
        <v>116.28</v>
      </c>
      <c r="C68" s="63"/>
      <c r="D68" s="63"/>
      <c r="E68" s="54"/>
      <c r="F68" s="54"/>
      <c r="G68" s="54"/>
      <c r="H68" s="54"/>
      <c r="I68" s="52">
        <f t="shared" si="2"/>
        <v>18.36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15</v>
      </c>
      <c r="B69" s="63">
        <v>134.63999999999999</v>
      </c>
      <c r="C69" s="63"/>
      <c r="D69" s="63"/>
      <c r="E69" s="54"/>
      <c r="F69" s="54"/>
      <c r="G69" s="54"/>
      <c r="H69" s="54"/>
      <c r="I69" s="52">
        <f t="shared" si="2"/>
        <v>18.359999999999985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16</v>
      </c>
      <c r="B70" s="63">
        <v>150.96</v>
      </c>
      <c r="C70" s="63"/>
      <c r="D70" s="63"/>
      <c r="E70" s="54"/>
      <c r="F70" s="54"/>
      <c r="G70" s="54"/>
      <c r="H70" s="54"/>
      <c r="I70" s="52">
        <f t="shared" si="2"/>
        <v>16.320000000000022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17</v>
      </c>
      <c r="B71" s="63">
        <v>165.24</v>
      </c>
      <c r="C71" s="63"/>
      <c r="D71" s="63"/>
      <c r="E71" s="54"/>
      <c r="F71" s="54"/>
      <c r="G71" s="54"/>
      <c r="H71" s="54"/>
      <c r="I71" s="52">
        <f t="shared" si="2"/>
        <v>14.280000000000001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18</v>
      </c>
      <c r="B72" s="63">
        <v>179.52</v>
      </c>
      <c r="C72" s="63">
        <v>1</v>
      </c>
      <c r="D72" s="63">
        <f>B72</f>
        <v>179.52</v>
      </c>
      <c r="E72" s="54">
        <v>0.78</v>
      </c>
      <c r="F72" s="54"/>
      <c r="G72" s="54"/>
      <c r="H72" s="54">
        <v>0.22</v>
      </c>
      <c r="I72" s="52">
        <f t="shared" si="2"/>
        <v>14.280000000000001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63"/>
      <c r="C73" s="63"/>
      <c r="D73" s="6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63"/>
      <c r="D75" s="6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93"/>
      <c r="F100" s="93"/>
      <c r="G100" s="93"/>
      <c r="H100" s="93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4"/>
      <c r="F153" s="54"/>
      <c r="G153" s="54"/>
      <c r="H153" s="54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7" sqref="B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Peuplier Polargo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Peuplier Koster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112.39600606316674</v>
      </c>
      <c r="T3" s="62">
        <f>IF('Données projet'!E9&gt;30,$R$33-$H$33,LOOKUP('Données projet'!$E$9,$A$3:$A$203,R3:R203)-LOOKUP('Données projet'!$E$9,$A$3:$A$203,$H$3:$H$203))</f>
        <v>322.32540061814672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75.430554851580496</v>
      </c>
      <c r="AO3" s="62">
        <f>IF('Données projet'!E10&gt;30,$AM$33-$H$33,LOOKUP('Données projet'!$E$10,$A$3:$A$203,AM3:AM203)-LOOKUP('Données projet'!$E$10,$A$3:$A$203,$H$3:$H$203))</f>
        <v>224.33705570258331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2.04</v>
      </c>
      <c r="N4" s="14">
        <f>IF('Données projet'!$A$36&gt;35,N3+M4-V3,IF(A4&lt;'Données projet'!$A$36,$K$205^A4,IF(A4='Données projet'!$A$36,'Données projet'!$B$36,N3+M4-V3)))</f>
        <v>1.4620464563349369</v>
      </c>
      <c r="O4" s="14">
        <f>N4*VLOOKUP('Données projet'!$B$9,Paramètres!$A$1:$I$89,3,0)*VLOOKUP('Données projet'!$B$9,Paramètres!$A$1:$I$89,5,0)</f>
        <v>0.69564170392416302</v>
      </c>
      <c r="P4" s="14">
        <f>EXP(-1.0587+0.8836*LN(O4)+0.284)</f>
        <v>0.33441364537992763</v>
      </c>
      <c r="Q4" s="22">
        <f t="shared" ref="Q4:Q34" si="2">(O4+P4)*0.475*44/12</f>
        <v>1.7940130667046246</v>
      </c>
      <c r="R4" s="62">
        <f t="shared" si="0"/>
        <v>259.68290195559348</v>
      </c>
      <c r="S4" s="62">
        <f ca="1">AVERAGE(OFFSET($R$3,0,0,'Données projet'!$E$9+1,1))-AVERAGE(OFFSET($H$3,0,0,'Données projet'!$E$9+1,1))</f>
        <v>112.39600606316674</v>
      </c>
      <c r="T4" s="62">
        <f>$T$3</f>
        <v>322.32540061814672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0.76500000000000001</v>
      </c>
      <c r="AI4" s="14">
        <f>IF('Données projet'!$A$62&gt;35,AI3+AH4-AQ3,IF(A4&lt;'Données projet'!$A$62,$AF$205^A4,IF(A4='Données projet'!$A$62,'Données projet'!$B$62,AI3+AH4-AQ3)))</f>
        <v>1.2541339592525462</v>
      </c>
      <c r="AJ4" s="14">
        <f>AI4*VLOOKUP('Données projet'!$B$10,Paramètres!$A$1:$I$89,3,0)*VLOOKUP('Données projet'!$B$10,Paramètres!$A$1:$I$89,5,0)</f>
        <v>0.637802366317475</v>
      </c>
      <c r="AK4" s="14">
        <f>EXP(-1.0587+0.8836*LN(AJ4)+0.284)</f>
        <v>0.30972247850034074</v>
      </c>
      <c r="AL4" s="22">
        <f t="shared" ref="AL4:AL67" si="4">(AJ4+AK4)*0.475*44/12</f>
        <v>1.6502724380576954</v>
      </c>
      <c r="AM4" s="62">
        <f t="shared" ref="AM4:AM67" si="5">AL4+(AD4+AE4)*44/12</f>
        <v>259.53916132694656</v>
      </c>
      <c r="AN4" s="62">
        <f ca="1">AVERAGE(OFFSET($AM$3,0,0,'Données projet'!$E$10+1,1))-AVERAGE(OFFSET($H$3,0,0,'Données projet'!$E$10+1,1))</f>
        <v>75.430554851580496</v>
      </c>
      <c r="AO4" s="62">
        <f>$AO$3</f>
        <v>224.33705570258331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2.04</v>
      </c>
      <c r="N5" s="14">
        <f>IF('Données projet'!$A$36&gt;35,N4+M5-V4,IF(A5&lt;'Données projet'!$A$36,$K$205^A5,IF(A5='Données projet'!$A$36,'Données projet'!$B$36,N4+M5-V4)))</f>
        <v>2.1375798404815467</v>
      </c>
      <c r="O5" s="14">
        <f>N5*VLOOKUP('Données projet'!$B$9,Paramètres!$A$1:$I$89,3,0)*VLOOKUP('Données projet'!$B$9,Paramètres!$A$1:$I$89,5,0)</f>
        <v>1.0170604881011198</v>
      </c>
      <c r="P5" s="14">
        <f t="shared" ref="P5:P68" si="33">EXP(-1.0587+0.8836*LN(O5)+0.284)</f>
        <v>0.46778218921871434</v>
      </c>
      <c r="Q5" s="22">
        <f t="shared" si="2"/>
        <v>2.5861009963320445</v>
      </c>
      <c r="R5" s="62">
        <f t="shared" si="0"/>
        <v>261.69721210744319</v>
      </c>
      <c r="S5" s="62">
        <f ca="1">AVERAGE(OFFSET($R$3,0,0,'Données projet'!$E$9+1,1))-AVERAGE(OFFSET($H$3,0,0,'Données projet'!$E$9+1,1))</f>
        <v>112.39600606316674</v>
      </c>
      <c r="T5" s="62">
        <f t="shared" ref="T5:T68" si="34">$T$3</f>
        <v>322.32540061814672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0.76500000000000001</v>
      </c>
      <c r="AI5" s="14">
        <f>IF('Données projet'!$A$62&gt;35,AI4+AH5-AQ4,IF(A5&lt;'Données projet'!$A$62,$AF$205^A5,IF(A5='Données projet'!$A$62,'Données projet'!$B$62,AI4+AH5-AQ4)))</f>
        <v>1.5728519877504672</v>
      </c>
      <c r="AJ5" s="14">
        <f>AI5*VLOOKUP('Données projet'!$B$10,Paramètres!$A$1:$I$89,3,0)*VLOOKUP('Données projet'!$B$10,Paramètres!$A$1:$I$89,5,0)</f>
        <v>0.79988960689037758</v>
      </c>
      <c r="AK5" s="14">
        <f t="shared" ref="AK5:AK68" si="35">EXP(-1.0587+0.8836*LN(AJ5)+0.284)</f>
        <v>0.37832881537574087</v>
      </c>
      <c r="AL5" s="22">
        <f t="shared" si="4"/>
        <v>2.0520637521134897</v>
      </c>
      <c r="AM5" s="62">
        <f t="shared" si="5"/>
        <v>261.16317486322464</v>
      </c>
      <c r="AN5" s="62">
        <f ca="1">AVERAGE(OFFSET($AM$3,0,0,'Données projet'!$E$10+1,1))-AVERAGE(OFFSET($H$3,0,0,'Données projet'!$E$10+1,1))</f>
        <v>75.430554851580496</v>
      </c>
      <c r="AO5" s="62">
        <f t="shared" ref="AO5:AO68" si="36">$AO$3</f>
        <v>224.33705570258331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2.04</v>
      </c>
      <c r="N6" s="14">
        <f>IF('Données projet'!$A$36&gt;35,N5+M6-V5,IF(A6&lt;'Données projet'!$A$36,$K$205^A6,IF(A6='Données projet'!$A$36,'Données projet'!$B$36,N5+M6-V5)))</f>
        <v>3.125241030909045</v>
      </c>
      <c r="O6" s="14">
        <f>N6*VLOOKUP('Données projet'!$B$9,Paramètres!$A$1:$I$89,3,0)*VLOOKUP('Données projet'!$B$9,Paramètres!$A$1:$I$89,5,0)</f>
        <v>1.4869896825065236</v>
      </c>
      <c r="P6" s="14">
        <f t="shared" si="33"/>
        <v>0.65433985596386557</v>
      </c>
      <c r="Q6" s="22">
        <f t="shared" si="2"/>
        <v>3.7294822795025944</v>
      </c>
      <c r="R6" s="62">
        <f t="shared" si="0"/>
        <v>264.06281561283589</v>
      </c>
      <c r="S6" s="62">
        <f ca="1">AVERAGE(OFFSET($R$3,0,0,'Données projet'!$E$9+1,1))-AVERAGE(OFFSET($H$3,0,0,'Données projet'!$E$9+1,1))</f>
        <v>112.39600606316674</v>
      </c>
      <c r="T6" s="62">
        <f t="shared" si="34"/>
        <v>322.32540061814672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0.76500000000000001</v>
      </c>
      <c r="AI6" s="14">
        <f>IF('Données projet'!$A$62&gt;35,AI5+AH6-AQ5,IF(A6&lt;'Données projet'!$A$62,$AF$205^A6,IF(A6='Données projet'!$A$62,'Données projet'!$B$62,AI5+AH6-AQ5)))</f>
        <v>1.9725670907157307</v>
      </c>
      <c r="AJ6" s="14">
        <f>AI6*VLOOKUP('Données projet'!$B$10,Paramètres!$A$1:$I$89,3,0)*VLOOKUP('Données projet'!$B$10,Paramètres!$A$1:$I$89,5,0)</f>
        <v>1.0031687196543921</v>
      </c>
      <c r="AK6" s="14">
        <f t="shared" si="35"/>
        <v>0.46213207784159582</v>
      </c>
      <c r="AL6" s="22">
        <f t="shared" si="4"/>
        <v>2.5520655556388459</v>
      </c>
      <c r="AM6" s="62">
        <f t="shared" si="5"/>
        <v>262.88539888897213</v>
      </c>
      <c r="AN6" s="62">
        <f ca="1">AVERAGE(OFFSET($AM$3,0,0,'Données projet'!$E$10+1,1))-AVERAGE(OFFSET($H$3,0,0,'Données projet'!$E$10+1,1))</f>
        <v>75.430554851580496</v>
      </c>
      <c r="AO6" s="62">
        <f t="shared" si="36"/>
        <v>224.33705570258331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2.04</v>
      </c>
      <c r="N7" s="14">
        <f>IF('Données projet'!$A$36&gt;35,N6+M7-V6,IF(A7&lt;'Données projet'!$A$36,$K$205^A7,IF(A7='Données projet'!$A$36,'Données projet'!$B$36,N6+M7-V6)))</f>
        <v>4.5692475744331142</v>
      </c>
      <c r="O7" s="14">
        <f>N7*VLOOKUP('Données projet'!$B$9,Paramètres!$A$1:$I$89,3,0)*VLOOKUP('Données projet'!$B$9,Paramètres!$A$1:$I$89,5,0)</f>
        <v>2.1740479959152759</v>
      </c>
      <c r="P7" s="14">
        <f t="shared" si="33"/>
        <v>0.91529916480557427</v>
      </c>
      <c r="Q7" s="22">
        <f t="shared" si="2"/>
        <v>5.380612971588814</v>
      </c>
      <c r="R7" s="62">
        <f t="shared" si="0"/>
        <v>266.93616852714433</v>
      </c>
      <c r="S7" s="62">
        <f ca="1">AVERAGE(OFFSET($R$3,0,0,'Données projet'!$E$9+1,1))-AVERAGE(OFFSET($H$3,0,0,'Données projet'!$E$9+1,1))</f>
        <v>112.39600606316674</v>
      </c>
      <c r="T7" s="62">
        <f t="shared" si="34"/>
        <v>322.32540061814672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0.76500000000000001</v>
      </c>
      <c r="AI7" s="14">
        <f>IF('Données projet'!$A$62&gt;35,AI6+AH7-AQ6,IF(A7&lt;'Données projet'!$A$62,$AF$205^A7,IF(A7='Données projet'!$A$62,'Données projet'!$B$62,AI6+AH7-AQ6)))</f>
        <v>2.4738633753705956</v>
      </c>
      <c r="AJ7" s="14">
        <f>AI7*VLOOKUP('Données projet'!$B$10,Paramètres!$A$1:$I$89,3,0)*VLOOKUP('Données projet'!$B$10,Paramètres!$A$1:$I$89,5,0)</f>
        <v>1.2581079581784702</v>
      </c>
      <c r="AK7" s="14">
        <f t="shared" si="35"/>
        <v>0.56449852268875045</v>
      </c>
      <c r="AL7" s="22">
        <f t="shared" si="4"/>
        <v>3.1743729541770755</v>
      </c>
      <c r="AM7" s="62">
        <f t="shared" si="5"/>
        <v>264.72992850973264</v>
      </c>
      <c r="AN7" s="62">
        <f ca="1">AVERAGE(OFFSET($AM$3,0,0,'Données projet'!$E$10+1,1))-AVERAGE(OFFSET($H$3,0,0,'Données projet'!$E$10+1,1))</f>
        <v>75.430554851580496</v>
      </c>
      <c r="AO7" s="62">
        <f t="shared" si="36"/>
        <v>224.33705570258331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2.04</v>
      </c>
      <c r="N8" s="14">
        <f>IF('Données projet'!$A$36&gt;35,N7+M8-V7,IF(A8&lt;'Données projet'!$A$36,$K$205^A8,IF(A8='Données projet'!$A$36,'Données projet'!$B$36,N7+M8-V7)))</f>
        <v>6.6804522243169409</v>
      </c>
      <c r="O8" s="14">
        <f>N8*VLOOKUP('Données projet'!$B$9,Paramètres!$A$1:$I$89,3,0)*VLOOKUP('Données projet'!$B$9,Paramètres!$A$1:$I$89,5,0)</f>
        <v>3.1785591683300005</v>
      </c>
      <c r="P8" s="14">
        <f t="shared" si="33"/>
        <v>1.2803324655498989</v>
      </c>
      <c r="Q8" s="22">
        <f t="shared" si="2"/>
        <v>7.765902929007491</v>
      </c>
      <c r="R8" s="62">
        <f t="shared" si="0"/>
        <v>270.54368070678527</v>
      </c>
      <c r="S8" s="62">
        <f ca="1">AVERAGE(OFFSET($R$3,0,0,'Données projet'!$E$9+1,1))-AVERAGE(OFFSET($H$3,0,0,'Données projet'!$E$9+1,1))</f>
        <v>112.39600606316674</v>
      </c>
      <c r="T8" s="62">
        <f t="shared" si="34"/>
        <v>322.32540061814672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0.76500000000000001</v>
      </c>
      <c r="AI8" s="14">
        <f>IF('Données projet'!$A$62&gt;35,AI7+AH8-AQ7,IF(A8&lt;'Données projet'!$A$62,$AF$205^A8,IF(A8='Données projet'!$A$62,'Données projet'!$B$62,AI7+AH8-AQ7)))</f>
        <v>3.1025560696033931</v>
      </c>
      <c r="AJ8" s="14">
        <f>AI8*VLOOKUP('Données projet'!$B$10,Paramètres!$A$1:$I$89,3,0)*VLOOKUP('Données projet'!$B$10,Paramètres!$A$1:$I$89,5,0)</f>
        <v>1.5778359147575016</v>
      </c>
      <c r="AK8" s="14">
        <f t="shared" si="35"/>
        <v>0.68954006310509297</v>
      </c>
      <c r="AL8" s="22">
        <f t="shared" si="4"/>
        <v>3.9490131614440194</v>
      </c>
      <c r="AM8" s="62">
        <f t="shared" si="5"/>
        <v>266.72679093922181</v>
      </c>
      <c r="AN8" s="62">
        <f ca="1">AVERAGE(OFFSET($AM$3,0,0,'Données projet'!$E$10+1,1))-AVERAGE(OFFSET($H$3,0,0,'Données projet'!$E$10+1,1))</f>
        <v>75.430554851580496</v>
      </c>
      <c r="AO8" s="62">
        <f t="shared" si="36"/>
        <v>224.33705570258331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2.04</v>
      </c>
      <c r="N9" s="14">
        <f>IF('Données projet'!$A$36&gt;35,N8+M9-V8,IF(A9&lt;'Données projet'!$A$36,$K$205^A9,IF(A9='Données projet'!$A$36,'Données projet'!$B$36,N8+M9-V8)))</f>
        <v>9.7671315012774311</v>
      </c>
      <c r="O9" s="14">
        <f>N9*VLOOKUP('Données projet'!$B$9,Paramètres!$A$1:$I$89,3,0)*VLOOKUP('Données projet'!$B$9,Paramètres!$A$1:$I$89,5,0)</f>
        <v>4.6472011683078023</v>
      </c>
      <c r="P9" s="14">
        <f t="shared" si="33"/>
        <v>1.7909458299235852</v>
      </c>
      <c r="Q9" s="22">
        <f t="shared" si="2"/>
        <v>11.213106021919666</v>
      </c>
      <c r="R9" s="62">
        <f t="shared" si="0"/>
        <v>275.21310602191966</v>
      </c>
      <c r="S9" s="62">
        <f ca="1">AVERAGE(OFFSET($R$3,0,0,'Données projet'!$E$9+1,1))-AVERAGE(OFFSET($H$3,0,0,'Données projet'!$E$9+1,1))</f>
        <v>112.39600606316674</v>
      </c>
      <c r="T9" s="62">
        <f t="shared" si="34"/>
        <v>322.32540061814672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0.76500000000000001</v>
      </c>
      <c r="AI9" s="14">
        <f>IF('Données projet'!$A$62&gt;35,AI8+AH9-AQ8,IF(A9&lt;'Données projet'!$A$62,$AF$205^A9,IF(A9='Données projet'!$A$62,'Données projet'!$B$62,AI8+AH9-AQ8)))</f>
        <v>3.8910209273747216</v>
      </c>
      <c r="AJ9" s="14">
        <f>AI9*VLOOKUP('Données projet'!$B$10,Paramètres!$A$1:$I$89,3,0)*VLOOKUP('Données projet'!$B$10,Paramètres!$A$1:$I$89,5,0)</f>
        <v>1.9788176028256885</v>
      </c>
      <c r="AK9" s="14">
        <f t="shared" si="35"/>
        <v>0.84227943832748475</v>
      </c>
      <c r="AL9" s="22">
        <f t="shared" si="4"/>
        <v>4.9134106800084432</v>
      </c>
      <c r="AM9" s="62">
        <f t="shared" si="5"/>
        <v>268.91341068000844</v>
      </c>
      <c r="AN9" s="62">
        <f ca="1">AVERAGE(OFFSET($AM$3,0,0,'Données projet'!$E$10+1,1))-AVERAGE(OFFSET($H$3,0,0,'Données projet'!$E$10+1,1))</f>
        <v>75.430554851580496</v>
      </c>
      <c r="AO9" s="62">
        <f t="shared" si="36"/>
        <v>224.33705570258331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>
        <f>VLOOKUP(A10,'Données projet'!$A$35:$I$55,2,0)</f>
        <v>14.28</v>
      </c>
      <c r="L10" s="13">
        <f>VLOOKUP(A10,'Données projet'!$A$35:$I$55,9,0)</f>
        <v>2.04</v>
      </c>
      <c r="M10" s="13">
        <f t="array" ref="M10">INDEX(L:L,MIN(IF(ISNUMBER(L10:L206),ROW(L10:L206),"")))</f>
        <v>2.04</v>
      </c>
      <c r="N10" s="14">
        <f>IF('Données projet'!$A$36&gt;35,N9+M10-V9,IF(A10&lt;'Données projet'!$A$36,$K$205^A10,IF(A10='Données projet'!$A$36,'Données projet'!$B$36,N9+M10-V9)))</f>
        <v>14.28</v>
      </c>
      <c r="O10" s="14">
        <f>N10*VLOOKUP('Données projet'!$B$9,Paramètres!$A$1:$I$89,3,0)*VLOOKUP('Données projet'!$B$9,Paramètres!$A$1:$I$89,5,0)</f>
        <v>6.7944239999999994</v>
      </c>
      <c r="P10" s="14">
        <f t="shared" si="33"/>
        <v>2.5051984949417587</v>
      </c>
      <c r="Q10" s="22">
        <f t="shared" si="2"/>
        <v>16.196842512023562</v>
      </c>
      <c r="R10" s="62">
        <f t="shared" si="0"/>
        <v>281.41906473424581</v>
      </c>
      <c r="S10" s="62">
        <f ca="1">AVERAGE(OFFSET($R$3,0,0,'Données projet'!$E$9+1,1))-AVERAGE(OFFSET($H$3,0,0,'Données projet'!$E$9+1,1))</f>
        <v>112.39600606316674</v>
      </c>
      <c r="T10" s="62">
        <f t="shared" si="34"/>
        <v>322.32540061814672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0.76500000000000001</v>
      </c>
      <c r="AI10" s="14">
        <f>IF('Données projet'!$A$62&gt;35,AI9+AH10-AQ9,IF(A10&lt;'Données projet'!$A$62,$AF$205^A10,IF(A10='Données projet'!$A$62,'Données projet'!$B$62,AI9+AH10-AQ9)))</f>
        <v>4.8798614811829735</v>
      </c>
      <c r="AJ10" s="14">
        <f>AI10*VLOOKUP('Données projet'!$B$10,Paramètres!$A$1:$I$89,3,0)*VLOOKUP('Données projet'!$B$10,Paramètres!$A$1:$I$89,5,0)</f>
        <v>2.4817023548704129</v>
      </c>
      <c r="AK10" s="14">
        <f t="shared" si="35"/>
        <v>1.0288519698689909</v>
      </c>
      <c r="AL10" s="22">
        <f t="shared" si="4"/>
        <v>6.1142154489211284</v>
      </c>
      <c r="AM10" s="62">
        <f t="shared" si="5"/>
        <v>271.33643767114336</v>
      </c>
      <c r="AN10" s="62">
        <f ca="1">AVERAGE(OFFSET($AM$3,0,0,'Données projet'!$E$10+1,1))-AVERAGE(OFFSET($H$3,0,0,'Données projet'!$E$10+1,1))</f>
        <v>75.430554851580496</v>
      </c>
      <c r="AO10" s="62">
        <f t="shared" si="36"/>
        <v>224.33705570258331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>
        <f>VLOOKUP(A11,'Données projet'!$A$35:$I$55,2,0)</f>
        <v>34.68</v>
      </c>
      <c r="L11" s="13">
        <f>VLOOKUP(A11,'Données projet'!$A$35:$I$55,9,0)</f>
        <v>20.399999999999999</v>
      </c>
      <c r="M11" s="13">
        <f t="array" ref="M11">INDEX(L:L,MIN(IF(ISNUMBER(L11:L207),ROW(L11:L207),"")))</f>
        <v>20.399999999999999</v>
      </c>
      <c r="N11" s="14">
        <f>IF('Données projet'!$A$36&gt;35,N10+M11-V10,IF(A11&lt;'Données projet'!$A$36,$K$205^A11,IF(A11='Données projet'!$A$36,'Données projet'!$B$36,N10+M11-V10)))</f>
        <v>34.68</v>
      </c>
      <c r="O11" s="14">
        <f>N11*VLOOKUP('Données projet'!$B$9,Paramètres!$A$1:$I$89,3,0)*VLOOKUP('Données projet'!$B$9,Paramètres!$A$1:$I$89,5,0)</f>
        <v>16.500743999999997</v>
      </c>
      <c r="P11" s="14">
        <f t="shared" si="33"/>
        <v>5.4870406913105736</v>
      </c>
      <c r="Q11" s="22">
        <f t="shared" si="2"/>
        <v>38.295391670699246</v>
      </c>
      <c r="R11" s="62">
        <f t="shared" si="0"/>
        <v>304.7398361151437</v>
      </c>
      <c r="S11" s="62">
        <f ca="1">AVERAGE(OFFSET($R$3,0,0,'Données projet'!$E$9+1,1))-AVERAGE(OFFSET($H$3,0,0,'Données projet'!$E$9+1,1))</f>
        <v>112.39600606316674</v>
      </c>
      <c r="T11" s="62">
        <f t="shared" si="34"/>
        <v>322.32540061814672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>
        <f>VLOOKUP(A11,'Données projet'!$A$61:$I$81,2,0)</f>
        <v>6.12</v>
      </c>
      <c r="AG11" s="13">
        <f>VLOOKUP(A11,'Données projet'!$A$61:$I$81,9,0)</f>
        <v>0.76500000000000001</v>
      </c>
      <c r="AH11" s="13">
        <f t="array" ref="AH11">INDEX(AG:AG,MIN(IF(ISNUMBER(AG11:AG207),ROW(AG11:AG207),"")))</f>
        <v>0.76500000000000001</v>
      </c>
      <c r="AI11" s="14">
        <f>IF('Données projet'!$A$62&gt;35,AI10+AH11-AQ10,IF(A11&lt;'Données projet'!$A$62,$AF$205^A11,IF(A11='Données projet'!$A$62,'Données projet'!$B$62,AI10+AH11-AQ10)))</f>
        <v>6.12</v>
      </c>
      <c r="AJ11" s="14">
        <f>AI11*VLOOKUP('Données projet'!$B$10,Paramètres!$A$1:$I$89,3,0)*VLOOKUP('Données projet'!$B$10,Paramètres!$A$1:$I$89,5,0)</f>
        <v>3.1123872000000001</v>
      </c>
      <c r="AK11" s="14">
        <f t="shared" si="35"/>
        <v>1.2567520085795281</v>
      </c>
      <c r="AL11" s="22">
        <f t="shared" si="4"/>
        <v>7.6095841216093447</v>
      </c>
      <c r="AM11" s="62">
        <f t="shared" si="5"/>
        <v>274.05402856605383</v>
      </c>
      <c r="AN11" s="62">
        <f ca="1">AVERAGE(OFFSET($AM$3,0,0,'Données projet'!$E$10+1,1))-AVERAGE(OFFSET($H$3,0,0,'Données projet'!$E$10+1,1))</f>
        <v>75.430554851580496</v>
      </c>
      <c r="AO11" s="62">
        <f t="shared" si="36"/>
        <v>224.33705570258331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>
        <f>VLOOKUP(A12,'Données projet'!$A$35:$I$55,2,0)</f>
        <v>57.12</v>
      </c>
      <c r="L12" s="13">
        <f>VLOOKUP(A12,'Données projet'!$A$35:$I$55,9,0)</f>
        <v>22.439999999999998</v>
      </c>
      <c r="M12" s="13">
        <f t="array" ref="M12">INDEX(L:L,MIN(IF(ISNUMBER(L12:L208),ROW(L12:L208),"")))</f>
        <v>22.439999999999998</v>
      </c>
      <c r="N12" s="14">
        <f>IF('Données projet'!$A$36&gt;35,N11+M12-V11,IF(A12&lt;'Données projet'!$A$36,$K$205^A12,IF(A12='Données projet'!$A$36,'Données projet'!$B$36,N11+M12-V11)))</f>
        <v>57.12</v>
      </c>
      <c r="O12" s="14">
        <f>N12*VLOOKUP('Données projet'!$B$9,Paramètres!$A$1:$I$89,3,0)*VLOOKUP('Données projet'!$B$9,Paramètres!$A$1:$I$89,5,0)</f>
        <v>27.177695999999997</v>
      </c>
      <c r="P12" s="14">
        <f t="shared" si="33"/>
        <v>8.5275122205142448</v>
      </c>
      <c r="Q12" s="22">
        <f t="shared" si="2"/>
        <v>62.186570984062314</v>
      </c>
      <c r="R12" s="62">
        <f t="shared" si="0"/>
        <v>329.853237650729</v>
      </c>
      <c r="S12" s="62">
        <f ca="1">AVERAGE(OFFSET($R$3,0,0,'Données projet'!$E$9+1,1))-AVERAGE(OFFSET($H$3,0,0,'Données projet'!$E$9+1,1))</f>
        <v>112.39600606316674</v>
      </c>
      <c r="T12" s="62">
        <f t="shared" si="34"/>
        <v>322.32540061814672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>
        <f>VLOOKUP(A12,'Données projet'!$A$61:$I$81,2,0)</f>
        <v>22.44</v>
      </c>
      <c r="AG12" s="13">
        <f>VLOOKUP(A12,'Données projet'!$A$61:$I$81,9,0)</f>
        <v>16.32</v>
      </c>
      <c r="AH12" s="13">
        <f t="array" ref="AH12">INDEX(AG:AG,MIN(IF(ISNUMBER(AG12:AG208),ROW(AG12:AG208),"")))</f>
        <v>16.32</v>
      </c>
      <c r="AI12" s="14">
        <f>IF('Données projet'!$A$62&gt;35,AI11+AH12-AQ11,IF(A12&lt;'Données projet'!$A$62,$AF$205^A12,IF(A12='Données projet'!$A$62,'Données projet'!$B$62,AI11+AH12-AQ11)))</f>
        <v>22.44</v>
      </c>
      <c r="AJ12" s="14">
        <f>AI12*VLOOKUP('Données projet'!$B$10,Paramètres!$A$1:$I$89,3,0)*VLOOKUP('Données projet'!$B$10,Paramètres!$A$1:$I$89,5,0)</f>
        <v>11.412086400000002</v>
      </c>
      <c r="AK12" s="14">
        <f t="shared" si="35"/>
        <v>3.9613190633199435</v>
      </c>
      <c r="AL12" s="22">
        <f t="shared" si="4"/>
        <v>26.775347848615567</v>
      </c>
      <c r="AM12" s="62">
        <f t="shared" si="5"/>
        <v>294.44201451528227</v>
      </c>
      <c r="AN12" s="62">
        <f ca="1">AVERAGE(OFFSET($AM$3,0,0,'Données projet'!$E$10+1,1))-AVERAGE(OFFSET($H$3,0,0,'Données projet'!$E$10+1,1))</f>
        <v>75.430554851580496</v>
      </c>
      <c r="AO12" s="62">
        <f t="shared" si="36"/>
        <v>224.33705570258331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81.599999999999994</v>
      </c>
      <c r="L13" s="13">
        <f>VLOOKUP(A13,'Données projet'!$A$35:$I$55,9,0)</f>
        <v>24.479999999999997</v>
      </c>
      <c r="M13" s="13">
        <f t="array" ref="M13">INDEX(L:L,MIN(IF(ISNUMBER(L13:L209),ROW(L13:L209),"")))</f>
        <v>24.479999999999997</v>
      </c>
      <c r="N13" s="14">
        <f>IF('Données projet'!$A$36&gt;35,N12+M13-V12,IF(A13&lt;'Données projet'!$A$36,$K$205^A13,IF(A13='Données projet'!$A$36,'Données projet'!$B$36,N12+M13-V12)))</f>
        <v>81.599999999999994</v>
      </c>
      <c r="O13" s="14">
        <f>N13*VLOOKUP('Données projet'!$B$9,Paramètres!$A$1:$I$89,3,0)*VLOOKUP('Données projet'!$B$9,Paramètres!$A$1:$I$89,5,0)</f>
        <v>38.825279999999999</v>
      </c>
      <c r="P13" s="14">
        <f t="shared" si="33"/>
        <v>11.686749151685682</v>
      </c>
      <c r="Q13" s="22">
        <f t="shared" si="2"/>
        <v>87.975117439185894</v>
      </c>
      <c r="R13" s="62">
        <f t="shared" si="0"/>
        <v>356.86400632807477</v>
      </c>
      <c r="S13" s="62">
        <f ca="1">AVERAGE(OFFSET($R$3,0,0,'Données projet'!$E$9+1,1))-AVERAGE(OFFSET($H$3,0,0,'Données projet'!$E$9+1,1))</f>
        <v>112.39600606316674</v>
      </c>
      <c r="T13" s="62">
        <f t="shared" si="34"/>
        <v>322.32540061814672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40.799999999999997</v>
      </c>
      <c r="AG13" s="13">
        <f>VLOOKUP(A13,'Données projet'!$A$61:$I$81,9,0)</f>
        <v>18.359999999999996</v>
      </c>
      <c r="AH13" s="13">
        <f t="array" ref="AH13">INDEX(AG:AG,MIN(IF(ISNUMBER(AG13:AG209),ROW(AG13:AG209),"")))</f>
        <v>18.359999999999996</v>
      </c>
      <c r="AI13" s="14">
        <f>IF('Données projet'!$A$62&gt;35,AI12+AH13-AQ12,IF(A13&lt;'Données projet'!$A$62,$AF$205^A13,IF(A13='Données projet'!$A$62,'Données projet'!$B$62,AI12+AH13-AQ12)))</f>
        <v>40.799999999999997</v>
      </c>
      <c r="AJ13" s="14">
        <f>AI13*VLOOKUP('Données projet'!$B$10,Paramètres!$A$1:$I$89,3,0)*VLOOKUP('Données projet'!$B$10,Paramètres!$A$1:$I$89,5,0)</f>
        <v>20.749247999999998</v>
      </c>
      <c r="AK13" s="14">
        <f t="shared" si="35"/>
        <v>6.7182374806435892</v>
      </c>
      <c r="AL13" s="22">
        <f t="shared" si="4"/>
        <v>47.839203878787579</v>
      </c>
      <c r="AM13" s="62">
        <f t="shared" si="5"/>
        <v>316.72809276767646</v>
      </c>
      <c r="AN13" s="62">
        <f ca="1">AVERAGE(OFFSET($AM$3,0,0,'Données projet'!$E$10+1,1))-AVERAGE(OFFSET($H$3,0,0,'Données projet'!$E$10+1,1))</f>
        <v>75.430554851580496</v>
      </c>
      <c r="AO13" s="62">
        <f t="shared" si="36"/>
        <v>224.33705570258331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>
        <f>VLOOKUP(A14,'Données projet'!$A$35:$I$55,2,0)</f>
        <v>108.12</v>
      </c>
      <c r="L14" s="13">
        <f>VLOOKUP(A14,'Données projet'!$A$35:$I$55,9,0)</f>
        <v>26.52000000000001</v>
      </c>
      <c r="M14" s="13">
        <f t="array" ref="M14">INDEX(L:L,MIN(IF(ISNUMBER(L14:L210),ROW(L14:L210),"")))</f>
        <v>26.52000000000001</v>
      </c>
      <c r="N14" s="14">
        <f>IF('Données projet'!$A$36&gt;35,N13+M14-V13,IF(A14&lt;'Données projet'!$A$36,$K$205^A14,IF(A14='Données projet'!$A$36,'Données projet'!$B$36,N13+M14-V13)))</f>
        <v>108.12</v>
      </c>
      <c r="O14" s="14">
        <f>N14*VLOOKUP('Données projet'!$B$9,Paramètres!$A$1:$I$89,3,0)*VLOOKUP('Données projet'!$B$9,Paramètres!$A$1:$I$89,5,0)</f>
        <v>51.443495999999996</v>
      </c>
      <c r="P14" s="14">
        <f t="shared" si="33"/>
        <v>14.985929057380755</v>
      </c>
      <c r="Q14" s="22">
        <f t="shared" si="2"/>
        <v>115.69791530827148</v>
      </c>
      <c r="R14" s="62">
        <f t="shared" si="0"/>
        <v>385.80902641938263</v>
      </c>
      <c r="S14" s="62">
        <f ca="1">AVERAGE(OFFSET($R$3,0,0,'Données projet'!$E$9+1,1))-AVERAGE(OFFSET($H$3,0,0,'Données projet'!$E$9+1,1))</f>
        <v>112.39600606316674</v>
      </c>
      <c r="T14" s="62">
        <f t="shared" si="34"/>
        <v>322.32540061814672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>
        <f>VLOOKUP(A14,'Données projet'!$A$61:$I$81,2,0)</f>
        <v>59.16</v>
      </c>
      <c r="AG14" s="13">
        <f>VLOOKUP(A14,'Données projet'!$A$61:$I$81,9,0)</f>
        <v>18.36</v>
      </c>
      <c r="AH14" s="13">
        <f t="array" ref="AH14">INDEX(AG:AG,MIN(IF(ISNUMBER(AG14:AG210),ROW(AG14:AG210),"")))</f>
        <v>18.36</v>
      </c>
      <c r="AI14" s="14">
        <f>IF('Données projet'!$A$62&gt;35,AI13+AH14-AQ13,IF(A14&lt;'Données projet'!$A$62,$AF$205^A14,IF(A14='Données projet'!$A$62,'Données projet'!$B$62,AI13+AH14-AQ13)))</f>
        <v>59.16</v>
      </c>
      <c r="AJ14" s="14">
        <f>AI14*VLOOKUP('Données projet'!$B$10,Paramètres!$A$1:$I$89,3,0)*VLOOKUP('Données projet'!$B$10,Paramètres!$A$1:$I$89,5,0)</f>
        <v>30.0864096</v>
      </c>
      <c r="AK14" s="14">
        <f t="shared" si="35"/>
        <v>9.3291079460405477</v>
      </c>
      <c r="AL14" s="22">
        <f t="shared" si="4"/>
        <v>68.648693059353946</v>
      </c>
      <c r="AM14" s="62">
        <f t="shared" si="5"/>
        <v>338.75980417046509</v>
      </c>
      <c r="AN14" s="62">
        <f ca="1">AVERAGE(OFFSET($AM$3,0,0,'Données projet'!$E$10+1,1))-AVERAGE(OFFSET($H$3,0,0,'Données projet'!$E$10+1,1))</f>
        <v>75.430554851580496</v>
      </c>
      <c r="AO14" s="62">
        <f t="shared" si="36"/>
        <v>224.33705570258331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134.63999999999999</v>
      </c>
      <c r="L15" s="13">
        <f>VLOOKUP(A15,'Données projet'!$A$35:$I$55,9,0)</f>
        <v>26.519999999999982</v>
      </c>
      <c r="M15" s="13">
        <f t="array" ref="M15">INDEX(L:L,MIN(IF(ISNUMBER(L15:L211),ROW(L15:L211),"")))</f>
        <v>26.519999999999982</v>
      </c>
      <c r="N15" s="14">
        <f>IF('Données projet'!$A$36&gt;35,N14+M15-V14,IF(A15&lt;'Données projet'!$A$36,$K$205^A15,IF(A15='Données projet'!$A$36,'Données projet'!$B$36,N14+M15-V14)))</f>
        <v>134.63999999999999</v>
      </c>
      <c r="O15" s="14">
        <f>N15*VLOOKUP('Données projet'!$B$9,Paramètres!$A$1:$I$89,3,0)*VLOOKUP('Données projet'!$B$9,Paramètres!$A$1:$I$89,5,0)</f>
        <v>64.061712</v>
      </c>
      <c r="P15" s="14">
        <f t="shared" si="33"/>
        <v>18.191249708924147</v>
      </c>
      <c r="Q15" s="22">
        <f t="shared" si="2"/>
        <v>143.25724164304287</v>
      </c>
      <c r="R15" s="62">
        <f t="shared" si="0"/>
        <v>414.59057497637616</v>
      </c>
      <c r="S15" s="62">
        <f ca="1">AVERAGE(OFFSET($R$3,0,0,'Données projet'!$E$9+1,1))-AVERAGE(OFFSET($H$3,0,0,'Données projet'!$E$9+1,1))</f>
        <v>112.39600606316674</v>
      </c>
      <c r="T15" s="62">
        <f t="shared" si="34"/>
        <v>322.32540061814672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79.56</v>
      </c>
      <c r="AG15" s="13">
        <f>VLOOKUP(A15,'Données projet'!$A$61:$I$81,9,0)</f>
        <v>20.400000000000006</v>
      </c>
      <c r="AH15" s="13">
        <f t="array" ref="AH15">INDEX(AG:AG,MIN(IF(ISNUMBER(AG15:AG211),ROW(AG15:AG211),"")))</f>
        <v>20.400000000000006</v>
      </c>
      <c r="AI15" s="14">
        <f>IF('Données projet'!$A$62&gt;35,AI14+AH15-AQ14,IF(A15&lt;'Données projet'!$A$62,$AF$205^A15,IF(A15='Données projet'!$A$62,'Données projet'!$B$62,AI14+AH15-AQ14)))</f>
        <v>79.56</v>
      </c>
      <c r="AJ15" s="14">
        <f>AI15*VLOOKUP('Données projet'!$B$10,Paramètres!$A$1:$I$89,3,0)*VLOOKUP('Données projet'!$B$10,Paramètres!$A$1:$I$89,5,0)</f>
        <v>40.4610336</v>
      </c>
      <c r="AK15" s="14">
        <f t="shared" si="35"/>
        <v>12.120762292394804</v>
      </c>
      <c r="AL15" s="22">
        <f t="shared" si="4"/>
        <v>91.579961179254283</v>
      </c>
      <c r="AM15" s="62">
        <f t="shared" si="5"/>
        <v>362.91329451258758</v>
      </c>
      <c r="AN15" s="62">
        <f ca="1">AVERAGE(OFFSET($AM$3,0,0,'Données projet'!$E$10+1,1))-AVERAGE(OFFSET($H$3,0,0,'Données projet'!$E$10+1,1))</f>
        <v>75.430554851580496</v>
      </c>
      <c r="AO15" s="62">
        <f t="shared" si="36"/>
        <v>224.33705570258331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163.19999999999999</v>
      </c>
      <c r="L16" s="13">
        <f>VLOOKUP(A16,'Données projet'!$A$35:$I$55,9,0)</f>
        <v>28.560000000000002</v>
      </c>
      <c r="M16" s="13">
        <f t="array" ref="M16">INDEX(L:L,MIN(IF(ISNUMBER(L16:L212),ROW(L16:L212),"")))</f>
        <v>28.560000000000002</v>
      </c>
      <c r="N16" s="14">
        <f>IF('Données projet'!$A$36&gt;35,N15+M16-V15,IF(A16&lt;'Données projet'!$A$36,$K$205^A16,IF(A16='Données projet'!$A$36,'Données projet'!$B$36,N15+M16-V15)))</f>
        <v>163.19999999999999</v>
      </c>
      <c r="O16" s="14">
        <f>N16*VLOOKUP('Données projet'!$B$9,Paramètres!$A$1:$I$89,3,0)*VLOOKUP('Données projet'!$B$9,Paramètres!$A$1:$I$89,5,0)</f>
        <v>77.650559999999999</v>
      </c>
      <c r="P16" s="14">
        <f t="shared" si="33"/>
        <v>21.561741073650076</v>
      </c>
      <c r="Q16" s="22">
        <f t="shared" si="2"/>
        <v>172.79475770327392</v>
      </c>
      <c r="R16" s="62">
        <f t="shared" si="0"/>
        <v>445.35031325882949</v>
      </c>
      <c r="S16" s="62">
        <f ca="1">AVERAGE(OFFSET($R$3,0,0,'Données projet'!$E$9+1,1))-AVERAGE(OFFSET($H$3,0,0,'Données projet'!$E$9+1,1))</f>
        <v>112.39600606316674</v>
      </c>
      <c r="T16" s="62">
        <f t="shared" si="34"/>
        <v>322.32540061814672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97.92</v>
      </c>
      <c r="AG16" s="13">
        <f>VLOOKUP(A16,'Données projet'!$A$61:$I$81,9,0)</f>
        <v>18.36</v>
      </c>
      <c r="AH16" s="13">
        <f t="array" ref="AH16">INDEX(AG:AG,MIN(IF(ISNUMBER(AG16:AG212),ROW(AG16:AG212),"")))</f>
        <v>18.36</v>
      </c>
      <c r="AI16" s="14">
        <f>IF('Données projet'!$A$62&gt;35,AI15+AH16-AQ15,IF(A16&lt;'Données projet'!$A$62,$AF$205^A16,IF(A16='Données projet'!$A$62,'Données projet'!$B$62,AI15+AH16-AQ15)))</f>
        <v>97.92</v>
      </c>
      <c r="AJ16" s="14">
        <f>AI16*VLOOKUP('Données projet'!$B$10,Paramètres!$A$1:$I$89,3,0)*VLOOKUP('Données projet'!$B$10,Paramètres!$A$1:$I$89,5,0)</f>
        <v>49.798195200000002</v>
      </c>
      <c r="AK16" s="14">
        <f t="shared" si="35"/>
        <v>14.561630433084854</v>
      </c>
      <c r="AL16" s="22">
        <f t="shared" si="4"/>
        <v>112.09336297762279</v>
      </c>
      <c r="AM16" s="62">
        <f t="shared" si="5"/>
        <v>384.64891853317835</v>
      </c>
      <c r="AN16" s="62">
        <f ca="1">AVERAGE(OFFSET($AM$3,0,0,'Données projet'!$E$10+1,1))-AVERAGE(OFFSET($H$3,0,0,'Données projet'!$E$10+1,1))</f>
        <v>75.430554851580496</v>
      </c>
      <c r="AO16" s="62">
        <f t="shared" si="36"/>
        <v>224.33705570258331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189.72</v>
      </c>
      <c r="L17" s="13">
        <f>VLOOKUP(A17,'Données projet'!$A$35:$I$55,9,0)</f>
        <v>26.52000000000001</v>
      </c>
      <c r="M17" s="13">
        <f t="array" ref="M17">INDEX(L:L,MIN(IF(ISNUMBER(L17:L213),ROW(L17:L213),"")))</f>
        <v>26.52000000000001</v>
      </c>
      <c r="N17" s="14">
        <f>IF('Données projet'!$A$36&gt;35,N16+M17-V16,IF(A17&lt;'Données projet'!$A$36,$K$205^A17,IF(A17='Données projet'!$A$36,'Données projet'!$B$36,N16+M17-V16)))</f>
        <v>189.72</v>
      </c>
      <c r="O17" s="14">
        <f>N17*VLOOKUP('Données projet'!$B$9,Paramètres!$A$1:$I$89,3,0)*VLOOKUP('Données projet'!$B$9,Paramètres!$A$1:$I$89,5,0)</f>
        <v>90.268776000000003</v>
      </c>
      <c r="P17" s="14">
        <f t="shared" si="33"/>
        <v>24.630036038833204</v>
      </c>
      <c r="Q17" s="22">
        <f t="shared" si="2"/>
        <v>200.11543096763447</v>
      </c>
      <c r="R17" s="62">
        <f t="shared" si="0"/>
        <v>473.89320874541227</v>
      </c>
      <c r="S17" s="62">
        <f ca="1">AVERAGE(OFFSET($R$3,0,0,'Données projet'!$E$9+1,1))-AVERAGE(OFFSET($H$3,0,0,'Données projet'!$E$9+1,1))</f>
        <v>112.39600606316674</v>
      </c>
      <c r="T17" s="62">
        <f t="shared" si="34"/>
        <v>322.32540061814672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>
        <f>VLOOKUP(A17,'Données projet'!$A$61:$I$81,2,0)</f>
        <v>116.28</v>
      </c>
      <c r="AG17" s="13">
        <f>VLOOKUP(A17,'Données projet'!$A$61:$I$81,9,0)</f>
        <v>18.36</v>
      </c>
      <c r="AH17" s="13">
        <f t="array" ref="AH17">INDEX(AG:AG,MIN(IF(ISNUMBER(AG17:AG213),ROW(AG17:AG213),"")))</f>
        <v>18.36</v>
      </c>
      <c r="AI17" s="14">
        <f>IF('Données projet'!$A$62&gt;35,AI16+AH17-AQ16,IF(A17&lt;'Données projet'!$A$62,$AF$205^A17,IF(A17='Données projet'!$A$62,'Données projet'!$B$62,AI16+AH17-AQ16)))</f>
        <v>116.28</v>
      </c>
      <c r="AJ17" s="14">
        <f>AI17*VLOOKUP('Données projet'!$B$10,Paramètres!$A$1:$I$89,3,0)*VLOOKUP('Données projet'!$B$10,Paramètres!$A$1:$I$89,5,0)</f>
        <v>59.135356800000004</v>
      </c>
      <c r="AK17" s="14">
        <f t="shared" si="35"/>
        <v>16.949475744394793</v>
      </c>
      <c r="AL17" s="22">
        <f t="shared" si="4"/>
        <v>132.51441668148763</v>
      </c>
      <c r="AM17" s="62">
        <f t="shared" si="5"/>
        <v>406.29219445926537</v>
      </c>
      <c r="AN17" s="62">
        <f ca="1">AVERAGE(OFFSET($AM$3,0,0,'Données projet'!$E$10+1,1))-AVERAGE(OFFSET($H$3,0,0,'Données projet'!$E$10+1,1))</f>
        <v>75.430554851580496</v>
      </c>
      <c r="AO17" s="62">
        <f t="shared" si="36"/>
        <v>224.33705570258331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216.24</v>
      </c>
      <c r="L18" s="13">
        <f>VLOOKUP(A18,'Données projet'!$A$35:$I$55,9,0)</f>
        <v>26.52000000000001</v>
      </c>
      <c r="M18" s="13">
        <f t="array" ref="M18">INDEX(L:L,MIN(IF(ISNUMBER(L18:L214),ROW(L18:L214),"")))</f>
        <v>26.52000000000001</v>
      </c>
      <c r="N18" s="14">
        <f>IF('Données projet'!$A$36&gt;35,N17+M18-V17,IF(A18&lt;'Données projet'!$A$36,$K$205^A18,IF(A18='Données projet'!$A$36,'Données projet'!$B$36,N17+M18-V17)))</f>
        <v>216.24</v>
      </c>
      <c r="O18" s="14">
        <f>N18*VLOOKUP('Données projet'!$B$9,Paramètres!$A$1:$I$89,3,0)*VLOOKUP('Données projet'!$B$9,Paramètres!$A$1:$I$89,5,0)</f>
        <v>102.88699199999999</v>
      </c>
      <c r="P18" s="14">
        <f t="shared" si="33"/>
        <v>27.648640172680182</v>
      </c>
      <c r="Q18" s="22">
        <f t="shared" si="2"/>
        <v>227.34955936741798</v>
      </c>
      <c r="R18" s="62">
        <f t="shared" si="0"/>
        <v>502.34955936741801</v>
      </c>
      <c r="S18" s="62">
        <f ca="1">AVERAGE(OFFSET($R$3,0,0,'Données projet'!$E$9+1,1))-AVERAGE(OFFSET($H$3,0,0,'Données projet'!$E$9+1,1))</f>
        <v>112.39600606316674</v>
      </c>
      <c r="T18" s="62">
        <f t="shared" si="34"/>
        <v>322.32540061814672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134.63999999999999</v>
      </c>
      <c r="AG18" s="13">
        <f>VLOOKUP(A18,'Données projet'!$A$61:$I$81,9,0)</f>
        <v>18.359999999999985</v>
      </c>
      <c r="AH18" s="13">
        <f t="array" ref="AH18">INDEX(AG:AG,MIN(IF(ISNUMBER(AG18:AG214),ROW(AG18:AG214),"")))</f>
        <v>18.359999999999985</v>
      </c>
      <c r="AI18" s="14">
        <f>IF('Données projet'!$A$62&gt;35,AI17+AH18-AQ17,IF(A18&lt;'Données projet'!$A$62,$AF$205^A18,IF(A18='Données projet'!$A$62,'Données projet'!$B$62,AI17+AH18-AQ17)))</f>
        <v>134.63999999999999</v>
      </c>
      <c r="AJ18" s="14">
        <f>AI18*VLOOKUP('Données projet'!$B$10,Paramètres!$A$1:$I$89,3,0)*VLOOKUP('Données projet'!$B$10,Paramètres!$A$1:$I$89,5,0)</f>
        <v>68.472518399999998</v>
      </c>
      <c r="AK18" s="14">
        <f t="shared" si="35"/>
        <v>19.293644354303229</v>
      </c>
      <c r="AL18" s="22">
        <f t="shared" si="4"/>
        <v>152.85940013041144</v>
      </c>
      <c r="AM18" s="62">
        <f t="shared" si="5"/>
        <v>427.85940013041147</v>
      </c>
      <c r="AN18" s="62">
        <f ca="1">AVERAGE(OFFSET($AM$3,0,0,'Données projet'!$E$10+1,1))-AVERAGE(OFFSET($H$3,0,0,'Données projet'!$E$10+1,1))</f>
        <v>75.430554851580496</v>
      </c>
      <c r="AO18" s="62">
        <f t="shared" si="36"/>
        <v>224.33705570258331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240.72</v>
      </c>
      <c r="L19" s="13">
        <f>VLOOKUP(A19,'Données projet'!$A$35:$I$55,9,0)</f>
        <v>24.47999999999999</v>
      </c>
      <c r="M19" s="13">
        <f t="array" ref="M19">INDEX(L:L,MIN(IF(ISNUMBER(L19:L215),ROW(L19:L215),"")))</f>
        <v>24.47999999999999</v>
      </c>
      <c r="N19" s="14">
        <f>IF('Données projet'!$A$36&gt;35,N18+M19-V18,IF(A19&lt;'Données projet'!$A$36,$K$205^A19,IF(A19='Données projet'!$A$36,'Données projet'!$B$36,N18+M19-V18)))</f>
        <v>240.72</v>
      </c>
      <c r="O19" s="14">
        <f>N19*VLOOKUP('Données projet'!$B$9,Paramètres!$A$1:$I$89,3,0)*VLOOKUP('Données projet'!$B$9,Paramètres!$A$1:$I$89,5,0)</f>
        <v>114.534576</v>
      </c>
      <c r="P19" s="14">
        <f t="shared" si="33"/>
        <v>30.396841268368544</v>
      </c>
      <c r="Q19" s="22">
        <f t="shared" si="2"/>
        <v>252.42221840907519</v>
      </c>
      <c r="R19" s="62">
        <f t="shared" si="0"/>
        <v>528.64444063129736</v>
      </c>
      <c r="S19" s="62">
        <f ca="1">AVERAGE(OFFSET($R$3,0,0,'Données projet'!$E$9+1,1))-AVERAGE(OFFSET($H$3,0,0,'Données projet'!$E$9+1,1))</f>
        <v>112.39600606316674</v>
      </c>
      <c r="T19" s="62">
        <f t="shared" si="34"/>
        <v>322.32540061814672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>
        <f>VLOOKUP(A19,'Données projet'!$A$61:$I$81,2,0)</f>
        <v>150.96</v>
      </c>
      <c r="AG19" s="13">
        <f>VLOOKUP(A19,'Données projet'!$A$61:$I$81,9,0)</f>
        <v>16.320000000000022</v>
      </c>
      <c r="AH19" s="13">
        <f t="array" ref="AH19">INDEX(AG:AG,MIN(IF(ISNUMBER(AG19:AG215),ROW(AG19:AG215),"")))</f>
        <v>16.320000000000022</v>
      </c>
      <c r="AI19" s="14">
        <f>IF('Données projet'!$A$62&gt;35,AI18+AH19-AQ18,IF(A19&lt;'Données projet'!$A$62,$AF$205^A19,IF(A19='Données projet'!$A$62,'Données projet'!$B$62,AI18+AH19-AQ18)))</f>
        <v>150.96</v>
      </c>
      <c r="AJ19" s="14">
        <f>AI19*VLOOKUP('Données projet'!$B$10,Paramètres!$A$1:$I$89,3,0)*VLOOKUP('Données projet'!$B$10,Paramètres!$A$1:$I$89,5,0)</f>
        <v>76.772217600000005</v>
      </c>
      <c r="AK19" s="14">
        <f t="shared" si="35"/>
        <v>21.346092885586152</v>
      </c>
      <c r="AL19" s="22">
        <f t="shared" si="4"/>
        <v>170.88939076239592</v>
      </c>
      <c r="AM19" s="62">
        <f t="shared" si="5"/>
        <v>447.11161298461815</v>
      </c>
      <c r="AN19" s="62">
        <f ca="1">AVERAGE(OFFSET($AM$3,0,0,'Données projet'!$E$10+1,1))-AVERAGE(OFFSET($H$3,0,0,'Données projet'!$E$10+1,1))</f>
        <v>75.430554851580496</v>
      </c>
      <c r="AO19" s="62">
        <f t="shared" si="36"/>
        <v>224.33705570258331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265.2</v>
      </c>
      <c r="L20" s="13">
        <f>VLOOKUP(A20,'Données projet'!$A$35:$I$55,9,0)</f>
        <v>24.47999999999999</v>
      </c>
      <c r="M20" s="13">
        <f t="array" ref="M20">INDEX(L:L,MIN(IF(ISNUMBER(L20:L216),ROW(L20:L216),"")))</f>
        <v>24.47999999999999</v>
      </c>
      <c r="N20" s="14">
        <f>IF('Données projet'!$A$36&gt;35,N19+M20-V19,IF(A20&lt;'Données projet'!$A$36,$K$205^A20,IF(A20='Données projet'!$A$36,'Données projet'!$B$36,N19+M20-V19)))</f>
        <v>265.2</v>
      </c>
      <c r="O20" s="14">
        <f>N20*VLOOKUP('Données projet'!$B$9,Paramètres!$A$1:$I$89,3,0)*VLOOKUP('Données projet'!$B$9,Paramètres!$A$1:$I$89,5,0)</f>
        <v>126.18216</v>
      </c>
      <c r="P20" s="14">
        <f t="shared" si="33"/>
        <v>33.112644007050569</v>
      </c>
      <c r="Q20" s="22">
        <f t="shared" si="2"/>
        <v>277.43845031227971</v>
      </c>
      <c r="R20" s="62">
        <f t="shared" si="0"/>
        <v>554.88289475672423</v>
      </c>
      <c r="S20" s="62">
        <f ca="1">AVERAGE(OFFSET($R$3,0,0,'Données projet'!$E$9+1,1))-AVERAGE(OFFSET($H$3,0,0,'Données projet'!$E$9+1,1))</f>
        <v>112.39600606316674</v>
      </c>
      <c r="T20" s="62">
        <f t="shared" si="34"/>
        <v>322.32540061814672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>
        <f>VLOOKUP(A20,'Données projet'!$A$61:$I$81,2,0)</f>
        <v>165.24</v>
      </c>
      <c r="AG20" s="13">
        <f>VLOOKUP(A20,'Données projet'!$A$61:$I$81,9,0)</f>
        <v>14.280000000000001</v>
      </c>
      <c r="AH20" s="13">
        <f t="array" ref="AH20">INDEX(AG:AG,MIN(IF(ISNUMBER(AG20:AG216),ROW(AG20:AG216),"")))</f>
        <v>14.280000000000001</v>
      </c>
      <c r="AI20" s="14">
        <f>IF('Données projet'!$A$62&gt;35,AI19+AH20-AQ19,IF(A20&lt;'Données projet'!$A$62,$AF$205^A20,IF(A20='Données projet'!$A$62,'Données projet'!$B$62,AI19+AH20-AQ19)))</f>
        <v>165.24</v>
      </c>
      <c r="AJ20" s="14">
        <f>AI20*VLOOKUP('Données projet'!$B$10,Paramètres!$A$1:$I$89,3,0)*VLOOKUP('Données projet'!$B$10,Paramètres!$A$1:$I$89,5,0)</f>
        <v>84.034454400000016</v>
      </c>
      <c r="AK20" s="14">
        <f t="shared" si="35"/>
        <v>23.120786852180391</v>
      </c>
      <c r="AL20" s="22">
        <f t="shared" si="4"/>
        <v>186.62871184754752</v>
      </c>
      <c r="AM20" s="62">
        <f t="shared" si="5"/>
        <v>464.07315629199195</v>
      </c>
      <c r="AN20" s="62">
        <f ca="1">AVERAGE(OFFSET($AM$3,0,0,'Données projet'!$E$10+1,1))-AVERAGE(OFFSET($H$3,0,0,'Données projet'!$E$10+1,1))</f>
        <v>75.430554851580496</v>
      </c>
      <c r="AO20" s="62">
        <f t="shared" si="36"/>
        <v>224.33705570258331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287.64</v>
      </c>
      <c r="L21" s="13">
        <f>VLOOKUP(A21,'Données projet'!$A$35:$I$55,9,0)</f>
        <v>22.439999999999998</v>
      </c>
      <c r="M21" s="13">
        <f t="array" ref="M21">INDEX(L:L,MIN(IF(ISNUMBER(L21:L217),ROW(L21:L217),"")))</f>
        <v>22.439999999999998</v>
      </c>
      <c r="N21" s="14">
        <f>IF('Données projet'!$A$36&gt;35,N20+M21-V20,IF(A21&lt;'Données projet'!$A$36,$K$205^A21,IF(A21='Données projet'!$A$36,'Données projet'!$B$36,N20+M21-V20)))</f>
        <v>287.64</v>
      </c>
      <c r="O21" s="14">
        <f>N21*VLOOKUP('Données projet'!$B$9,Paramètres!$A$1:$I$89,3,0)*VLOOKUP('Données projet'!$B$9,Paramètres!$A$1:$I$89,5,0)</f>
        <v>136.85911200000001</v>
      </c>
      <c r="P21" s="14">
        <f t="shared" si="33"/>
        <v>35.576524718553152</v>
      </c>
      <c r="Q21" s="22">
        <f t="shared" si="2"/>
        <v>300.32540061814672</v>
      </c>
      <c r="R21" s="62">
        <f t="shared" si="0"/>
        <v>578.9920672848134</v>
      </c>
      <c r="S21" s="62">
        <f ca="1">AVERAGE(OFFSET($R$3,0,0,'Données projet'!$E$9+1,1))-AVERAGE(OFFSET($H$3,0,0,'Données projet'!$E$9+1,1))</f>
        <v>112.39600606316674</v>
      </c>
      <c r="T21" s="62">
        <f t="shared" si="34"/>
        <v>322.32540061814672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287.64</v>
      </c>
      <c r="W21" s="17">
        <f>IF(ISNA(VLOOKUP(A21,'Données projet'!$A$35:$I$55,5,0)),0%,VLOOKUP(A21,'Données projet'!$A$35:$I$55,5,0)*VLOOKUP('Données projet'!$B$9,Paramètres!$A$1:$I$89,7,0))</f>
        <v>0.46799999999999997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0.1</v>
      </c>
      <c r="Z21" s="23">
        <f>EXP(-LN(2)/35)*Z20+(1-EXP(-LN(2)/35))/(LN(2)/35)*V21*W21*VLOOKUP('Données projet'!$B$9,Paramètres!$A$1:$I$89,3,0)*0.475*44/12</f>
        <v>70.805449019065421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12.913025568099327</v>
      </c>
      <c r="AC21" s="24">
        <f t="shared" si="3"/>
        <v>83.718474587164749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179.52</v>
      </c>
      <c r="AG21" s="13">
        <f>VLOOKUP(A21,'Données projet'!$A$61:$I$81,9,0)</f>
        <v>14.280000000000001</v>
      </c>
      <c r="AH21" s="13">
        <f t="array" ref="AH21">INDEX(AG:AG,MIN(IF(ISNUMBER(AG21:AG217),ROW(AG21:AG217),"")))</f>
        <v>14.280000000000001</v>
      </c>
      <c r="AI21" s="14">
        <f>IF('Données projet'!$A$62&gt;35,AI20+AH21-AQ20,IF(A21&lt;'Données projet'!$A$62,$AF$205^A21,IF(A21='Données projet'!$A$62,'Données projet'!$B$62,AI20+AH21-AQ20)))</f>
        <v>179.52</v>
      </c>
      <c r="AJ21" s="14">
        <f>AI21*VLOOKUP('Données projet'!$B$10,Paramètres!$A$1:$I$89,3,0)*VLOOKUP('Données projet'!$B$10,Paramètres!$A$1:$I$89,5,0)</f>
        <v>91.296691200000012</v>
      </c>
      <c r="AK21" s="14">
        <f t="shared" si="35"/>
        <v>24.877694849330119</v>
      </c>
      <c r="AL21" s="22">
        <f t="shared" si="4"/>
        <v>202.33705570258329</v>
      </c>
      <c r="AM21" s="62">
        <f t="shared" si="5"/>
        <v>481.00372236925</v>
      </c>
      <c r="AN21" s="62">
        <f ca="1">AVERAGE(OFFSET($AM$3,0,0,'Données projet'!$E$10+1,1))-AVERAGE(OFFSET($H$3,0,0,'Données projet'!$E$10+1,1))</f>
        <v>75.430554851580496</v>
      </c>
      <c r="AO21" s="62">
        <f t="shared" si="36"/>
        <v>224.33705570258331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179.52</v>
      </c>
      <c r="AR21" s="17">
        <f>IF(ISNA(VLOOKUP(A21,'Données projet'!$A$61:$I$81,5,0)),0%,VLOOKUP(A21,'Données projet'!$A$61:$I$81,5,0)*VLOOKUP('Données projet'!$B$10,Paramètres!$A$1:$I$89,7,0))</f>
        <v>0.46799999999999997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47.233268723612333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47.233268723612333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112.39600606316674</v>
      </c>
      <c r="T22" s="62">
        <f t="shared" si="34"/>
        <v>322.32540061814672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69.416997350861081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9.1308879448383049</v>
      </c>
      <c r="AC22" s="24">
        <f t="shared" si="3"/>
        <v>78.547885295699388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75.430554851580496</v>
      </c>
      <c r="AO22" s="62">
        <f t="shared" si="36"/>
        <v>224.33705570258331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46.30705313339152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46.30705313339152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112.39600606316674</v>
      </c>
      <c r="T23" s="62">
        <f t="shared" si="34"/>
        <v>322.32540061814672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68.055772372998334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6.4565127840496643</v>
      </c>
      <c r="AC23" s="24">
        <f t="shared" si="3"/>
        <v>74.512285157047998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75.430554851580496</v>
      </c>
      <c r="AO23" s="62">
        <f t="shared" si="36"/>
        <v>224.33705570258331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45.399000065959207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45.399000065959207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112.39600606316674</v>
      </c>
      <c r="T24" s="62">
        <f t="shared" si="34"/>
        <v>322.32540061814672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66.721240186686217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4.5654439724191533</v>
      </c>
      <c r="AC24" s="24">
        <f t="shared" si="3"/>
        <v>71.286684159105363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75.430554851580496</v>
      </c>
      <c r="AO24" s="62">
        <f t="shared" si="36"/>
        <v>224.33705570258331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44.50875336532156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44.50875336532156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112.39600606316674</v>
      </c>
      <c r="T25" s="62">
        <f t="shared" si="34"/>
        <v>322.32540061814672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65.412877362563421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3.2282563920248326</v>
      </c>
      <c r="AC25" s="24">
        <f t="shared" si="3"/>
        <v>68.641133754588253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75.430554851580496</v>
      </c>
      <c r="AO25" s="62">
        <f t="shared" si="36"/>
        <v>224.33705570258331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43.635963859486552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43.635963859486552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112.39600606316674</v>
      </c>
      <c r="T26" s="62">
        <f t="shared" si="34"/>
        <v>322.32540061814672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64.130170735399147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2.2827219862095767</v>
      </c>
      <c r="AC26" s="24">
        <f t="shared" si="3"/>
        <v>66.412892721608728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75.430554851580496</v>
      </c>
      <c r="AO26" s="62">
        <f t="shared" si="36"/>
        <v>224.33705570258331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42.780289223511929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42.780289223511929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112.39600606316674</v>
      </c>
      <c r="T27" s="62">
        <f t="shared" si="34"/>
        <v>322.32540061814672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62.872617202819782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1.6141281960124163</v>
      </c>
      <c r="AC27" s="24">
        <f t="shared" si="3"/>
        <v>64.486745398832198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75.430554851580496</v>
      </c>
      <c r="AO27" s="62">
        <f t="shared" si="36"/>
        <v>224.33705570258331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41.941393845238778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41.941393845238778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112.39600606316674</v>
      </c>
      <c r="T28" s="62">
        <f t="shared" si="34"/>
        <v>322.32540061814672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61.639723527982376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1.1413609931047883</v>
      </c>
      <c r="AC28" s="24">
        <f t="shared" si="3"/>
        <v>62.781084521087166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75.430554851580496</v>
      </c>
      <c r="AO28" s="62">
        <f t="shared" si="36"/>
        <v>224.33705570258331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41.118948693657906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41.118948693657906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112.39600606316674</v>
      </c>
      <c r="T29" s="62">
        <f t="shared" si="34"/>
        <v>322.32540061814672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60.431006146117646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0.80706409800620815</v>
      </c>
      <c r="AC29" s="24">
        <f t="shared" si="3"/>
        <v>61.238070244123854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75.430554851580496</v>
      </c>
      <c r="AO29" s="62">
        <f t="shared" si="36"/>
        <v>224.33705570258331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40.312631189857527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40.312631189857527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112.39600606316674</v>
      </c>
      <c r="T30" s="62">
        <f t="shared" si="34"/>
        <v>322.32540061814672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59.24599097486648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0.57068049655239417</v>
      </c>
      <c r="AC30" s="24">
        <f t="shared" si="3"/>
        <v>59.816671471418871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75.430554851580496</v>
      </c>
      <c r="AO30" s="62">
        <f t="shared" si="36"/>
        <v>224.33705570258331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39.522125080501553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39.522125080501553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112.39600606316674</v>
      </c>
      <c r="T31" s="62">
        <f t="shared" si="34"/>
        <v>322.32540061814672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58.084213228335663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0.40353204900310408</v>
      </c>
      <c r="AC31" s="24">
        <f t="shared" si="3"/>
        <v>58.487745277338767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75.430554851580496</v>
      </c>
      <c r="AO31" s="62">
        <f t="shared" si="36"/>
        <v>224.33705570258331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38.747120313788933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38.747120313788933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112.39600606316674</v>
      </c>
      <c r="T32" s="62">
        <f t="shared" si="34"/>
        <v>322.32540061814672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56.945217234799856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0.28534024827619708</v>
      </c>
      <c r="AC32" s="24">
        <f t="shared" si="3"/>
        <v>57.230557483076055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75.430554851580496</v>
      </c>
      <c r="AO32" s="62">
        <f t="shared" si="36"/>
        <v>224.33705570258331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37.987312917845315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37.987312917845315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112.39600606316674</v>
      </c>
      <c r="T33" s="62">
        <f t="shared" si="34"/>
        <v>322.32540061814672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55.828556257978327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0.20176602450155204</v>
      </c>
      <c r="AC33" s="24">
        <f t="shared" si="3"/>
        <v>56.030322282479879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75.430554851580496</v>
      </c>
      <c r="AO33" s="62">
        <f t="shared" si="36"/>
        <v>224.33705570258331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37.242404881499404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37.242404881499404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112.39600606316674</v>
      </c>
      <c r="T34" s="62">
        <f t="shared" si="34"/>
        <v>322.32540061814672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54.733792321816331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0.14267012413809854</v>
      </c>
      <c r="AC34" s="24">
        <f t="shared" si="3"/>
        <v>54.876462445954431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75.430554851580496</v>
      </c>
      <c r="AO34" s="62">
        <f t="shared" si="36"/>
        <v>224.33705570258331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36.512104037397194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36.512104037397194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112.39600606316674</v>
      </c>
      <c r="T35" s="62">
        <f t="shared" si="34"/>
        <v>322.32540061814672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53.660496038702405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0.10088301225077602</v>
      </c>
      <c r="AC35" s="24">
        <f t="shared" si="3"/>
        <v>53.761379050953181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75.430554851580496</v>
      </c>
      <c r="AO35" s="62">
        <f t="shared" si="36"/>
        <v>224.33705570258331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35.796123947408297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35.796123947408297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112.39600606316674</v>
      </c>
      <c r="T36" s="62">
        <f t="shared" si="34"/>
        <v>322.32540061814672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52.608246441054249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7.1335062069049271E-2</v>
      </c>
      <c r="AC36" s="24">
        <f t="shared" si="3"/>
        <v>52.679581503123295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75.430554851580496</v>
      </c>
      <c r="AO36" s="62">
        <f t="shared" si="36"/>
        <v>224.33705570258331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35.094183790279352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35.094183790279352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112.39600606316674</v>
      </c>
      <c r="T37" s="62">
        <f t="shared" si="34"/>
        <v>322.32540061814672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51.576630816207093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5.044150612538801E-2</v>
      </c>
      <c r="AC37" s="24">
        <f t="shared" si="3"/>
        <v>51.627072322332481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75.430554851580496</v>
      </c>
      <c r="AO37" s="62">
        <f t="shared" si="36"/>
        <v>224.33705570258331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34.406008251490483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34.406008251490483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112.39600606316674</v>
      </c>
      <c r="T38" s="62">
        <f t="shared" si="34"/>
        <v>322.32540061814672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50.565244544539787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3.5667531034524635E-2</v>
      </c>
      <c r="AC38" s="24">
        <f t="shared" si="3"/>
        <v>50.600912075574314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75.430554851580496</v>
      </c>
      <c r="AO38" s="62">
        <f t="shared" si="36"/>
        <v>224.33705570258331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33.731327415271636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33.731327415271636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112.39600606316674</v>
      </c>
      <c r="T39" s="62">
        <f t="shared" si="34"/>
        <v>322.32540061814672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49.573690940775165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2.5220753062694005E-2</v>
      </c>
      <c r="AC39" s="24">
        <f t="shared" si="3"/>
        <v>49.598911693837863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75.430554851580496</v>
      </c>
      <c r="AO39" s="62">
        <f t="shared" si="36"/>
        <v>224.33705570258331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33.069876658736362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33.069876658736362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112.39600606316674</v>
      </c>
      <c r="T40" s="62">
        <f t="shared" si="34"/>
        <v>322.32540061814672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48.601581098392387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1.7833765517262318E-2</v>
      </c>
      <c r="AC40" s="24">
        <f t="shared" si="3"/>
        <v>48.619414863909647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75.430554851580496</v>
      </c>
      <c r="AO40" s="62">
        <f t="shared" si="36"/>
        <v>224.33705570258331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32.421396548091622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32.421396548091622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112.39600606316674</v>
      </c>
      <c r="T41" s="62">
        <f t="shared" si="34"/>
        <v>322.32540061814672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47.648533737090276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1.2610376531347002E-2</v>
      </c>
      <c r="AC41" s="24">
        <f t="shared" si="3"/>
        <v>47.661144113621624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75.430554851580496</v>
      </c>
      <c r="AO41" s="62">
        <f t="shared" si="36"/>
        <v>224.33705570258331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31.78563273688281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31.78563273688281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112.39600606316674</v>
      </c>
      <c r="T42" s="62">
        <f t="shared" si="34"/>
        <v>322.32540061814672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46.71417505324181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8.9168827586311589E-3</v>
      </c>
      <c r="AC42" s="24">
        <f t="shared" si="3"/>
        <v>46.723091936000444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75.430554851580496</v>
      </c>
      <c r="AO42" s="62">
        <f t="shared" si="36"/>
        <v>224.33705570258331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31.162335866234169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31.162335866234169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112.39600606316674</v>
      </c>
      <c r="T43" s="62">
        <f t="shared" si="34"/>
        <v>322.32540061814672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45.798138573281086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6.3051882656735012E-3</v>
      </c>
      <c r="AC43" s="24">
        <f t="shared" si="3"/>
        <v>45.804443761546757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75.430554851580496</v>
      </c>
      <c r="AO43" s="62">
        <f t="shared" si="36"/>
        <v>224.33705570258331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30.551261467045396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30.551261467045396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112.39600606316674</v>
      </c>
      <c r="T44" s="62">
        <f t="shared" si="34"/>
        <v>322.32540061814672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44.90006500996531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4.4584413793155794E-3</v>
      </c>
      <c r="AC44" s="24">
        <f t="shared" si="3"/>
        <v>44.904523451344623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75.430554851580496</v>
      </c>
      <c r="AO44" s="62">
        <f t="shared" si="36"/>
        <v>224.33705570258331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29.952169864106136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29.952169864106136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112.39600606316674</v>
      </c>
      <c r="T45" s="62">
        <f t="shared" si="34"/>
        <v>322.32540061814672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44.019602121455371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3.1525941328367506E-3</v>
      </c>
      <c r="AC45" s="24">
        <f t="shared" si="3"/>
        <v>44.022754715588206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75.430554851580496</v>
      </c>
      <c r="AO45" s="62">
        <f t="shared" si="36"/>
        <v>224.33705570258331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29.364826082090715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29.364826082090715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112.39600606316674</v>
      </c>
      <c r="T46" s="62">
        <f t="shared" si="34"/>
        <v>322.32540061814672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43.156404573159776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2.2292206896577897E-3</v>
      </c>
      <c r="AC46" s="24">
        <f t="shared" si="3"/>
        <v>43.158633793849432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75.430554851580496</v>
      </c>
      <c r="AO46" s="62">
        <f t="shared" si="36"/>
        <v>224.33705570258331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28.788999753396283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28.788999753396283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112.39600606316674</v>
      </c>
      <c r="T47" s="62">
        <f t="shared" si="34"/>
        <v>322.32540061814672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42.310133802287744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1.5762970664183753E-3</v>
      </c>
      <c r="AC47" s="24">
        <f t="shared" si="3"/>
        <v>42.311710099354165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75.430554851580496</v>
      </c>
      <c r="AO47" s="62">
        <f t="shared" si="36"/>
        <v>224.33705570258331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28.22446502778817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28.22446502778817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112.39600606316674</v>
      </c>
      <c r="T48" s="62">
        <f t="shared" si="34"/>
        <v>322.32540061814672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41.480457885058307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1.1146103448288949E-3</v>
      </c>
      <c r="AC48" s="24">
        <f t="shared" si="3"/>
        <v>41.481572495403135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75.430554851580496</v>
      </c>
      <c r="AO48" s="62">
        <f t="shared" si="36"/>
        <v>224.33705570258331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27.67100048381705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27.67100048381705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112.39600606316674</v>
      </c>
      <c r="T49" s="62">
        <f t="shared" si="34"/>
        <v>322.32540061814672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40.667051406513401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7.8814853320918765E-4</v>
      </c>
      <c r="AC49" s="24">
        <f t="shared" si="3"/>
        <v>40.667839555046612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75.430554851580496</v>
      </c>
      <c r="AO49" s="62">
        <f t="shared" si="36"/>
        <v>224.33705570258331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27.128389041973165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27.128389041973165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112.39600606316674</v>
      </c>
      <c r="T50" s="62">
        <f t="shared" si="34"/>
        <v>322.32540061814672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39.869595332883797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5.5730517241444743E-4</v>
      </c>
      <c r="AC50" s="24">
        <f t="shared" si="3"/>
        <v>39.870152638056211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75.430554851580496</v>
      </c>
      <c r="AO50" s="62">
        <f t="shared" si="36"/>
        <v>224.33705570258331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26.596417879543537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26.596417879543537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112.39600606316674</v>
      </c>
      <c r="T51" s="62">
        <f t="shared" si="34"/>
        <v>322.32540061814672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39.087776886457888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3.9407426660459382E-4</v>
      </c>
      <c r="AC51" s="24">
        <f t="shared" si="3"/>
        <v>39.08817096072449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75.430554851580496</v>
      </c>
      <c r="AO51" s="62">
        <f t="shared" si="36"/>
        <v>224.33705570258331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26.074878347138785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26.074878347138785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112.39600606316674</v>
      </c>
      <c r="T52" s="62">
        <f t="shared" si="34"/>
        <v>322.32540061814672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38.321289422904229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2.7865258620722371E-4</v>
      </c>
      <c r="AC52" s="24">
        <f t="shared" si="3"/>
        <v>38.32156807549044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75.430554851580496</v>
      </c>
      <c r="AO52" s="62">
        <f t="shared" si="36"/>
        <v>224.33705570258331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25.563565886856786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25.563565886856786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112.39600606316674</v>
      </c>
      <c r="T53" s="62">
        <f t="shared" si="34"/>
        <v>322.32540061814672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37.569832310999665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1.9703713330229691E-4</v>
      </c>
      <c r="AC53" s="24">
        <f t="shared" si="3"/>
        <v>37.570029348132969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75.430554851580496</v>
      </c>
      <c r="AO53" s="62">
        <f t="shared" si="36"/>
        <v>224.33705570258331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25.06227995205111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25.06227995205111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112.39600606316674</v>
      </c>
      <c r="T54" s="62">
        <f t="shared" si="34"/>
        <v>322.32540061814672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36.833110814715972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1.3932629310361186E-4</v>
      </c>
      <c r="AC54" s="24">
        <f t="shared" si="3"/>
        <v>36.833250141009074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75.430554851580496</v>
      </c>
      <c r="AO54" s="62">
        <f t="shared" si="36"/>
        <v>224.33705570258331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24.570823928672745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24.570823928672745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112.39600606316674</v>
      </c>
      <c r="T55" s="62">
        <f t="shared" si="34"/>
        <v>322.32540061814672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36.110835977618656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9.8518566651148456E-5</v>
      </c>
      <c r="AC55" s="24">
        <f t="shared" si="3"/>
        <v>36.110934496185308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75.430554851580496</v>
      </c>
      <c r="AO55" s="62">
        <f t="shared" si="36"/>
        <v>224.33705570258331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24.089005058154253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24.089005058154253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112.39600606316674</v>
      </c>
      <c r="T56" s="62">
        <f t="shared" si="34"/>
        <v>322.32540061814672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35.402724509532668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6.9663146551805929E-5</v>
      </c>
      <c r="AC56" s="24">
        <f t="shared" si="3"/>
        <v>35.402794172679222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75.430554851580496</v>
      </c>
      <c r="AO56" s="62">
        <f t="shared" si="36"/>
        <v>224.33705570258331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23.616634361806135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23.616634361806135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112.39600606316674</v>
      </c>
      <c r="T57" s="62">
        <f t="shared" si="34"/>
        <v>322.32540061814672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34.708498675430498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4.9259283325574228E-5</v>
      </c>
      <c r="AC57" s="24">
        <f t="shared" si="3"/>
        <v>34.70854793471382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75.430554851580496</v>
      </c>
      <c r="AO57" s="62">
        <f t="shared" si="36"/>
        <v>224.33705570258331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23.153526566695728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23.153526566695728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112.39600606316674</v>
      </c>
      <c r="T58" s="62">
        <f t="shared" si="34"/>
        <v>322.32540061814672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34.027886186499124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3.4831573275902964E-5</v>
      </c>
      <c r="AC58" s="24">
        <f t="shared" si="3"/>
        <v>34.027921018072398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75.430554851580496</v>
      </c>
      <c r="AO58" s="62">
        <f t="shared" si="36"/>
        <v>224.33705570258331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22.699500032979575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22.699500032979575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112.39600606316674</v>
      </c>
      <c r="T59" s="62">
        <f t="shared" si="34"/>
        <v>322.32540061814672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33.360620093343066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2.4629641662787114E-5</v>
      </c>
      <c r="AC59" s="24">
        <f t="shared" si="3"/>
        <v>33.36064472298473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75.430554851580496</v>
      </c>
      <c r="AO59" s="62">
        <f t="shared" si="36"/>
        <v>224.33705570258331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22.254376682660752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22.254376682660752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112.39600606316674</v>
      </c>
      <c r="T60" s="62">
        <f t="shared" si="34"/>
        <v>322.32540061814672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32.706438681281668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1.7415786637951482E-5</v>
      </c>
      <c r="AC60" s="24">
        <f t="shared" si="3"/>
        <v>32.706456097068305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75.430554851580496</v>
      </c>
      <c r="AO60" s="62">
        <f t="shared" si="36"/>
        <v>224.33705570258331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21.817981929743247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21.817981929743247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112.39600606316674</v>
      </c>
      <c r="T61" s="62">
        <f t="shared" si="34"/>
        <v>322.32540061814672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32.065085367699531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1.2314820831393557E-5</v>
      </c>
      <c r="AC61" s="24">
        <f t="shared" si="3"/>
        <v>32.06509768252036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75.430554851580496</v>
      </c>
      <c r="AO61" s="62">
        <f t="shared" si="36"/>
        <v>224.33705570258331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21.390144611755936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21.390144611755936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112.39600606316674</v>
      </c>
      <c r="T62" s="62">
        <f t="shared" si="34"/>
        <v>322.32540061814672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31.436308601409849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8.7078933189757411E-6</v>
      </c>
      <c r="AC62" s="24">
        <f t="shared" si="3"/>
        <v>31.436317309303167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75.430554851580496</v>
      </c>
      <c r="AO62" s="62">
        <f t="shared" si="36"/>
        <v>224.33705570258331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20.970696922619361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20.970696922619361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112.39600606316674</v>
      </c>
      <c r="T63" s="62">
        <f t="shared" si="34"/>
        <v>322.32540061814672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30.819861763991149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6.1574104156967785E-6</v>
      </c>
      <c r="AC63" s="24">
        <f t="shared" si="3"/>
        <v>30.819867921401563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75.430554851580496</v>
      </c>
      <c r="AO63" s="62">
        <f t="shared" si="36"/>
        <v>224.33705570258331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20.559474346828924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20.559474346828924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112.39600606316674</v>
      </c>
      <c r="T64" s="62">
        <f t="shared" si="34"/>
        <v>322.32540061814672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30.215503073058784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4.3539466594878705E-6</v>
      </c>
      <c r="AC64" s="24">
        <f t="shared" si="3"/>
        <v>30.215507427005445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75.430554851580496</v>
      </c>
      <c r="AO64" s="62">
        <f t="shared" si="36"/>
        <v>224.33705570258331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20.156315594928735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20.156315594928735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112.39600606316674</v>
      </c>
      <c r="T65" s="62">
        <f t="shared" si="34"/>
        <v>322.32540061814672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29.622995487433201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3.0787052078483893E-6</v>
      </c>
      <c r="AC65" s="24">
        <f t="shared" si="3"/>
        <v>29.62299856613841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75.430554851580496</v>
      </c>
      <c r="AO65" s="62">
        <f t="shared" si="36"/>
        <v>224.33705570258331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19.761062540250752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19.761062540250752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112.39600606316674</v>
      </c>
      <c r="T66" s="62">
        <f t="shared" si="34"/>
        <v>322.32540061814672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29.042106614167793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2.1769733297439353E-6</v>
      </c>
      <c r="AC66" s="24">
        <f t="shared" si="3"/>
        <v>29.042108791141121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75.430554851580496</v>
      </c>
      <c r="AO66" s="62">
        <f t="shared" si="36"/>
        <v>224.33705570258331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19.373560156894442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19.373560156894442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112.39600606316674</v>
      </c>
      <c r="T67" s="62">
        <f t="shared" si="34"/>
        <v>322.32540061814672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28.472608617399892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1.5393526039241946E-6</v>
      </c>
      <c r="AC67" s="24">
        <f t="shared" si="3"/>
        <v>28.472610156752495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75.430554851580496</v>
      </c>
      <c r="AO67" s="62">
        <f t="shared" si="36"/>
        <v>224.33705570258331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18.993656458922636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18.993656458922636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112.39600606316674</v>
      </c>
      <c r="T68" s="62">
        <f t="shared" si="34"/>
        <v>322.32540061814672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27.914278128989132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1.0884866648719676E-6</v>
      </c>
      <c r="AC68" s="24">
        <f t="shared" ref="AC68:AC131" si="57">SUM(Z68:AB68)</f>
        <v>27.914279217475798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75.430554851580496</v>
      </c>
      <c r="AO68" s="62">
        <f t="shared" si="36"/>
        <v>224.33705570258331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18.621202440749681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18.621202440749681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112.39600606316674</v>
      </c>
      <c r="T69" s="62">
        <f t="shared" ref="T69:T132" si="88">$T$3</f>
        <v>322.32540061814672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27.366896160908134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7.6967630196209731E-7</v>
      </c>
      <c r="AC69" s="24">
        <f t="shared" si="57"/>
        <v>27.366896930584435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75.430554851580496</v>
      </c>
      <c r="AO69" s="62">
        <f t="shared" ref="AO69:AO132" si="90">$AO$3</f>
        <v>224.33705570258331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18.256052018698579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18.256052018698579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112.39600606316674</v>
      </c>
      <c r="T70" s="62">
        <f t="shared" si="88"/>
        <v>322.32540061814672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26.830248019351171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5.4424333243598382E-7</v>
      </c>
      <c r="AC70" s="24">
        <f t="shared" si="57"/>
        <v>26.830248563594502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75.430554851580496</v>
      </c>
      <c r="AO70" s="62">
        <f t="shared" si="90"/>
        <v>224.33705570258331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17.898061973704131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17.898061973704131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112.39600606316674</v>
      </c>
      <c r="T71" s="62">
        <f t="shared" si="88"/>
        <v>322.32540061814672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26.304123220527092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3.8483815098104866E-7</v>
      </c>
      <c r="AC71" s="24">
        <f t="shared" si="57"/>
        <v>26.304123605365245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75.430554851580496</v>
      </c>
      <c r="AO71" s="62">
        <f t="shared" si="90"/>
        <v>224.33705570258331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17.547091895139658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17.547091895139658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112.39600606316674</v>
      </c>
      <c r="T72" s="62">
        <f t="shared" si="88"/>
        <v>322.32540061814672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25.788315408103514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2.7212166621799191E-7</v>
      </c>
      <c r="AC72" s="24">
        <f t="shared" si="57"/>
        <v>25.788315680225182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75.430554851580496</v>
      </c>
      <c r="AO72" s="62">
        <f t="shared" si="90"/>
        <v>224.33705570258331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17.203004125745224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17.203004125745224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112.39600606316674</v>
      </c>
      <c r="T73" s="62">
        <f t="shared" si="88"/>
        <v>322.32540061814672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25.282622272269862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1.9241907549052433E-7</v>
      </c>
      <c r="AC73" s="24">
        <f t="shared" si="57"/>
        <v>25.282622464688938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75.430554851580496</v>
      </c>
      <c r="AO73" s="62">
        <f t="shared" si="90"/>
        <v>224.33705570258331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16.8656637076358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16.8656637076358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112.39600606316674</v>
      </c>
      <c r="T74" s="62">
        <f t="shared" si="88"/>
        <v>322.32540061814672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24.786845470387551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1.3606083310899595E-7</v>
      </c>
      <c r="AC74" s="24">
        <f t="shared" si="57"/>
        <v>24.786845606448384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75.430554851580496</v>
      </c>
      <c r="AO74" s="62">
        <f t="shared" si="90"/>
        <v>224.33705570258331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16.534938329368163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16.534938329368163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112.39600606316674</v>
      </c>
      <c r="T75" s="62">
        <f t="shared" si="88"/>
        <v>322.32540061814672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24.300790549196162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9.6209537745262164E-8</v>
      </c>
      <c r="AC75" s="24">
        <f t="shared" si="57"/>
        <v>24.300790645405698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75.430554851580496</v>
      </c>
      <c r="AO75" s="62">
        <f t="shared" si="90"/>
        <v>224.33705570258331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16.210698274045793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16.210698274045793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112.39600606316674</v>
      </c>
      <c r="T76" s="62">
        <f t="shared" si="88"/>
        <v>322.32540061814672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23.824266868545106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6.8030416554497977E-8</v>
      </c>
      <c r="AC76" s="24">
        <f t="shared" si="57"/>
        <v>23.824266936575523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75.430554851580496</v>
      </c>
      <c r="AO76" s="62">
        <f t="shared" si="90"/>
        <v>224.33705570258331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15.892816368441387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15.892816368441387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112.39600606316674</v>
      </c>
      <c r="T77" s="62">
        <f t="shared" si="88"/>
        <v>322.32540061814672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23.357087526620873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4.8104768872631082E-8</v>
      </c>
      <c r="AC77" s="24">
        <f t="shared" si="57"/>
        <v>23.357087574725643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75.430554851580496</v>
      </c>
      <c r="AO77" s="62">
        <f t="shared" si="90"/>
        <v>224.33705570258331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15.581167933117067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15.581167933117067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112.39600606316674</v>
      </c>
      <c r="T78" s="62">
        <f t="shared" si="88"/>
        <v>322.32540061814672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22.899069286640511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3.4015208277248989E-8</v>
      </c>
      <c r="AC78" s="24">
        <f t="shared" si="57"/>
        <v>22.89906932065572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75.430554851580496</v>
      </c>
      <c r="AO78" s="62">
        <f t="shared" si="90"/>
        <v>224.33705570258331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15.27563073352268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15.27563073352268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112.39600606316674</v>
      </c>
      <c r="T79" s="62">
        <f t="shared" si="88"/>
        <v>322.32540061814672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22.450032504982623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2.4052384436315541E-8</v>
      </c>
      <c r="AC79" s="24">
        <f t="shared" si="57"/>
        <v>22.450032529035006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75.430554851580496</v>
      </c>
      <c r="AO79" s="62">
        <f t="shared" si="90"/>
        <v>224.33705570258331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14.97608493205305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14.97608493205305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112.39600606316674</v>
      </c>
      <c r="T80" s="62">
        <f t="shared" si="88"/>
        <v>322.32540061814672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22.009801060727654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1.7007604138624494E-8</v>
      </c>
      <c r="AC80" s="24">
        <f t="shared" si="57"/>
        <v>22.009801077735258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75.430554851580496</v>
      </c>
      <c r="AO80" s="62">
        <f t="shared" si="90"/>
        <v>224.33705570258331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14.68241304104534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14.68241304104534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112.39600606316674</v>
      </c>
      <c r="T81" s="62">
        <f t="shared" si="88"/>
        <v>322.32540061814672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21.578202286579856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1.2026192218157771E-8</v>
      </c>
      <c r="AC81" s="24">
        <f t="shared" si="57"/>
        <v>21.578202298606048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75.430554851580496</v>
      </c>
      <c r="AO81" s="62">
        <f t="shared" si="90"/>
        <v>224.33705570258331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14.394499876698125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14.394499876698125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112.39600606316674</v>
      </c>
      <c r="T82" s="62">
        <f t="shared" si="88"/>
        <v>322.32540061814672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21.15506690114384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8.5038020693122471E-9</v>
      </c>
      <c r="AC82" s="24">
        <f t="shared" si="57"/>
        <v>21.15506690964764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75.430554851580496</v>
      </c>
      <c r="AO82" s="62">
        <f t="shared" si="90"/>
        <v>224.33705570258331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14.112232513894069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14.112232513894069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112.39600606316674</v>
      </c>
      <c r="T83" s="62">
        <f t="shared" si="88"/>
        <v>322.32540061814672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20.740228942529122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6.0130961090788853E-9</v>
      </c>
      <c r="AC83" s="24">
        <f t="shared" si="57"/>
        <v>20.740228948542217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75.430554851580496</v>
      </c>
      <c r="AO83" s="62">
        <f t="shared" si="90"/>
        <v>224.33705570258331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13.835500241908509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13.835500241908509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112.39600606316674</v>
      </c>
      <c r="T84" s="62">
        <f t="shared" si="88"/>
        <v>322.32540061814672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20.333525703256669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4.2519010346561236E-9</v>
      </c>
      <c r="AC84" s="24">
        <f t="shared" si="57"/>
        <v>20.333525707508571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75.430554851580496</v>
      </c>
      <c r="AO84" s="62">
        <f t="shared" si="90"/>
        <v>224.33705570258331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13.564194520986566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13.564194520986566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112.39600606316674</v>
      </c>
      <c r="T85" s="62">
        <f t="shared" si="88"/>
        <v>322.32540061814672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19.934797666441867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3.0065480545394426E-9</v>
      </c>
      <c r="AC85" s="24">
        <f t="shared" si="57"/>
        <v>19.934797669448415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75.430554851580496</v>
      </c>
      <c r="AO85" s="62">
        <f t="shared" si="90"/>
        <v>224.33705570258331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13.298208939771753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13.298208939771753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112.39600606316674</v>
      </c>
      <c r="T86" s="62">
        <f t="shared" si="88"/>
        <v>322.32540061814672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19.543888443228916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2.1259505173280618E-9</v>
      </c>
      <c r="AC86" s="24">
        <f t="shared" si="57"/>
        <v>19.543888445354867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75.430554851580496</v>
      </c>
      <c r="AO86" s="62">
        <f t="shared" si="90"/>
        <v>224.33705570258331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13.037439173569377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13.037439173569377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112.39600606316674</v>
      </c>
      <c r="T87" s="62">
        <f t="shared" si="88"/>
        <v>322.32540061814672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19.160644711452086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1.5032740272697213E-9</v>
      </c>
      <c r="AC87" s="24">
        <f t="shared" si="57"/>
        <v>19.16064471295536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75.430554851580496</v>
      </c>
      <c r="AO87" s="62">
        <f t="shared" si="90"/>
        <v>224.33705570258331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12.781782943428377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12.781782943428377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112.39600606316674</v>
      </c>
      <c r="T88" s="62">
        <f t="shared" si="88"/>
        <v>322.32540061814672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18.784916155499804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1.0629752586640309E-9</v>
      </c>
      <c r="AC88" s="24">
        <f t="shared" si="57"/>
        <v>18.78491615656278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75.430554851580496</v>
      </c>
      <c r="AO88" s="62">
        <f t="shared" si="90"/>
        <v>224.33705570258331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12.531139976025539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12.531139976025539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112.39600606316674</v>
      </c>
      <c r="T89" s="62">
        <f t="shared" si="88"/>
        <v>322.32540061814672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18.416555407357958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7.5163701363486066E-10</v>
      </c>
      <c r="AC89" s="24">
        <f t="shared" si="57"/>
        <v>18.416555408109595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75.430554851580496</v>
      </c>
      <c r="AO89" s="62">
        <f t="shared" si="90"/>
        <v>224.33705570258331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12.285411964336356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12.285411964336356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112.39600606316674</v>
      </c>
      <c r="T90" s="62">
        <f t="shared" si="88"/>
        <v>322.32540061814672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18.0554179888093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5.3148762933201545E-10</v>
      </c>
      <c r="AC90" s="24">
        <f t="shared" si="57"/>
        <v>18.055417989340786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75.430554851580496</v>
      </c>
      <c r="AO90" s="62">
        <f t="shared" si="90"/>
        <v>224.33705570258331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12.044502529077111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12.044502529077111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112.39600606316674</v>
      </c>
      <c r="T91" s="62">
        <f t="shared" si="88"/>
        <v>322.32540061814672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17.701362254766305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3.7581850681743033E-10</v>
      </c>
      <c r="AC91" s="24">
        <f t="shared" si="57"/>
        <v>17.701362255142126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75.430554851580496</v>
      </c>
      <c r="AO91" s="62">
        <f t="shared" si="90"/>
        <v>224.33705570258331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11.808317180903053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11.808317180903053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112.39600606316674</v>
      </c>
      <c r="T92" s="62">
        <f t="shared" si="88"/>
        <v>322.32540061814672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17.35424933771522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2.6574381466600772E-10</v>
      </c>
      <c r="AC92" s="24">
        <f t="shared" si="57"/>
        <v>17.354249337980963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75.430554851580496</v>
      </c>
      <c r="AO92" s="62">
        <f t="shared" si="90"/>
        <v>224.33705570258331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11.57676328334785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11.57676328334785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112.39600606316674</v>
      </c>
      <c r="T93" s="62">
        <f t="shared" si="88"/>
        <v>322.32540061814672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17.013943093249534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1.8790925340871516E-10</v>
      </c>
      <c r="AC93" s="24">
        <f t="shared" si="57"/>
        <v>17.013943093437444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75.430554851580496</v>
      </c>
      <c r="AO93" s="62">
        <f t="shared" si="90"/>
        <v>224.33705570258331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11.349750016489773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11.349750016489773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112.39600606316674</v>
      </c>
      <c r="T94" s="62">
        <f t="shared" si="88"/>
        <v>322.32540061814672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16.680310046671504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1.3287190733300386E-10</v>
      </c>
      <c r="AC94" s="24">
        <f t="shared" si="57"/>
        <v>16.680310046804376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75.430554851580496</v>
      </c>
      <c r="AO94" s="62">
        <f t="shared" si="90"/>
        <v>224.33705570258331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11.127188341330363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11.127188341330363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112.39600606316674</v>
      </c>
      <c r="T95" s="62">
        <f t="shared" si="88"/>
        <v>322.32540061814672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16.353219340640806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9.3954626704357582E-11</v>
      </c>
      <c r="AC95" s="24">
        <f t="shared" si="57"/>
        <v>16.353219340734761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75.430554851580496</v>
      </c>
      <c r="AO95" s="62">
        <f t="shared" si="90"/>
        <v>224.33705570258331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10.908990964871611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10.908990964871611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112.39600606316674</v>
      </c>
      <c r="T96" s="62">
        <f t="shared" si="88"/>
        <v>322.32540061814672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16.032542683849741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6.6435953666501931E-11</v>
      </c>
      <c r="AC96" s="24">
        <f t="shared" si="57"/>
        <v>16.032542683916176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75.430554851580496</v>
      </c>
      <c r="AO96" s="62">
        <f t="shared" si="90"/>
        <v>224.33705570258331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10.695072305877957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10.695072305877957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112.39600606316674</v>
      </c>
      <c r="T97" s="62">
        <f t="shared" si="88"/>
        <v>322.32540061814672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15.718154300704899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4.6977313352178791E-11</v>
      </c>
      <c r="AC97" s="24">
        <f t="shared" si="57"/>
        <v>15.718154300751877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75.430554851580496</v>
      </c>
      <c r="AO97" s="62">
        <f t="shared" si="90"/>
        <v>224.33705570258331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10.48534846130967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10.48534846130967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112.39600606316674</v>
      </c>
      <c r="T98" s="62">
        <f t="shared" si="88"/>
        <v>322.32540061814672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15.40993088199555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3.3217976833250965E-11</v>
      </c>
      <c r="AC98" s="24">
        <f t="shared" si="57"/>
        <v>15.409930882028767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75.430554851580496</v>
      </c>
      <c r="AO98" s="62">
        <f t="shared" si="90"/>
        <v>224.33705570258331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10.279737173414452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10.279737173414452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112.39600606316674</v>
      </c>
      <c r="T99" s="62">
        <f t="shared" si="88"/>
        <v>322.32540061814672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15.107751536529367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2.3488656676089396E-11</v>
      </c>
      <c r="AC99" s="24">
        <f t="shared" si="57"/>
        <v>15.107751536552856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75.430554851580496</v>
      </c>
      <c r="AO99" s="62">
        <f t="shared" si="90"/>
        <v>224.33705570258331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10.078157797464357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10.078157797464357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112.39600606316674</v>
      </c>
      <c r="T100" s="62">
        <f t="shared" si="88"/>
        <v>322.32540061814672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14.811497743716576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1.6608988416625483E-11</v>
      </c>
      <c r="AC100" s="24">
        <f t="shared" si="57"/>
        <v>14.811497743733185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75.430554851580496</v>
      </c>
      <c r="AO100" s="62">
        <f t="shared" si="90"/>
        <v>224.33705570258331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9.8805312701253651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9.8805312701253651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112.39600606316674</v>
      </c>
      <c r="T101" s="62">
        <f t="shared" si="88"/>
        <v>322.32540061814672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14.521053307083871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1.1744328338044698E-11</v>
      </c>
      <c r="AC101" s="24">
        <f t="shared" si="57"/>
        <v>14.521053307095615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75.430554851580496</v>
      </c>
      <c r="AO101" s="62">
        <f t="shared" si="90"/>
        <v>224.33705570258331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9.686780078447212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9.686780078447212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112.39600606316674</v>
      </c>
      <c r="T102" s="62">
        <f t="shared" si="88"/>
        <v>322.32540061814672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14.236304308699921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8.3044942083127414E-12</v>
      </c>
      <c r="AC102" s="24">
        <f t="shared" si="57"/>
        <v>14.236304308708226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75.430554851580496</v>
      </c>
      <c r="AO102" s="62">
        <f t="shared" si="90"/>
        <v>224.33705570258331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9.4968282294613093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9.4968282294613093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112.39600606316674</v>
      </c>
      <c r="T103" s="62">
        <f t="shared" si="88"/>
        <v>322.32540061814672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13.957139064494541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5.8721641690223489E-12</v>
      </c>
      <c r="AC103" s="24">
        <f t="shared" si="57"/>
        <v>13.957139064500414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75.430554851580496</v>
      </c>
      <c r="AO103" s="62">
        <f t="shared" si="90"/>
        <v>224.33705570258331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9.3106012203748314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9.3106012203748314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112.39600606316674</v>
      </c>
      <c r="T104" s="62">
        <f t="shared" si="88"/>
        <v>322.32540061814672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13.683448080454042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4.1522471041563707E-12</v>
      </c>
      <c r="AC104" s="24">
        <f t="shared" si="57"/>
        <v>13.683448080458195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75.430554851580496</v>
      </c>
      <c r="AO104" s="62">
        <f t="shared" si="90"/>
        <v>224.33705570258331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9.1280260093492807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9.1280260093492807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112.39600606316674</v>
      </c>
      <c r="T105" s="62">
        <f t="shared" si="88"/>
        <v>322.32540061814672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13.41512400967556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2.9360820845111744E-12</v>
      </c>
      <c r="AC105" s="24">
        <f t="shared" si="57"/>
        <v>13.415124009678497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75.430554851580496</v>
      </c>
      <c r="AO105" s="62">
        <f t="shared" si="90"/>
        <v>224.33705570258331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8.9490309868520583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8.9490309868520583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112.39600606316674</v>
      </c>
      <c r="T106" s="62">
        <f t="shared" si="88"/>
        <v>322.32540061814672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13.152061610263521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2.0761235520781853E-12</v>
      </c>
      <c r="AC106" s="24">
        <f t="shared" si="57"/>
        <v>13.152061610265598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75.430554851580496</v>
      </c>
      <c r="AO106" s="62">
        <f t="shared" si="90"/>
        <v>224.33705570258331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8.7735459475698221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8.7735459475698221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112.39600606316674</v>
      </c>
      <c r="T107" s="62">
        <f t="shared" si="88"/>
        <v>322.32540061814672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12.894157704051732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1.4680410422555872E-12</v>
      </c>
      <c r="AC107" s="24">
        <f t="shared" si="57"/>
        <v>12.8941577040532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75.430554851580496</v>
      </c>
      <c r="AO107" s="62">
        <f t="shared" si="90"/>
        <v>224.33705570258331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8.6015020628726049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8.6015020628726049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112.39600606316674</v>
      </c>
      <c r="T108" s="62">
        <f t="shared" si="88"/>
        <v>322.32540061814672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12.641311136134906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1.0380617760390927E-12</v>
      </c>
      <c r="AC108" s="24">
        <f t="shared" si="57"/>
        <v>12.641311136135943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75.430554851580496</v>
      </c>
      <c r="AO108" s="62">
        <f t="shared" si="90"/>
        <v>224.33705570258331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8.432831853817893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8.432831853817893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112.39600606316674</v>
      </c>
      <c r="T109" s="62">
        <f t="shared" si="88"/>
        <v>322.32540061814672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12.39342273519375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7.3402052112779361E-13</v>
      </c>
      <c r="AC109" s="24">
        <f t="shared" si="57"/>
        <v>12.393422735194484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75.430554851580496</v>
      </c>
      <c r="AO109" s="62">
        <f t="shared" si="90"/>
        <v>224.33705570258331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8.2674691646840746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8.2674691646840746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112.39600606316674</v>
      </c>
      <c r="T110" s="62">
        <f t="shared" si="88"/>
        <v>322.32540061814672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12.150395274598056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5.1903088801954633E-13</v>
      </c>
      <c r="AC110" s="24">
        <f t="shared" si="57"/>
        <v>12.150395274598575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75.430554851580496</v>
      </c>
      <c r="AO110" s="62">
        <f t="shared" si="90"/>
        <v>224.33705570258331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8.1053491370228894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8.1053491370228894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112.39600606316674</v>
      </c>
      <c r="T111" s="62">
        <f t="shared" si="88"/>
        <v>322.32540061814672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11.91213343427253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3.6701026056389681E-13</v>
      </c>
      <c r="AC111" s="24">
        <f t="shared" si="57"/>
        <v>11.912133434272898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75.430554851580496</v>
      </c>
      <c r="AO111" s="62">
        <f t="shared" si="90"/>
        <v>224.33705570258331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7.9464081842206866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7.9464081842206866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112.39600606316674</v>
      </c>
      <c r="T112" s="62">
        <f t="shared" si="88"/>
        <v>322.32540061814672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11.678543763310413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2.5951544400977317E-13</v>
      </c>
      <c r="AC112" s="24">
        <f t="shared" si="57"/>
        <v>11.678543763310673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75.430554851580496</v>
      </c>
      <c r="AO112" s="62">
        <f t="shared" si="90"/>
        <v>224.33705570258331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7.7905839665585264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7.7905839665585264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112.39600606316674</v>
      </c>
      <c r="T113" s="62">
        <f t="shared" si="88"/>
        <v>322.32540061814672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11.449534643320234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1.835051302819484E-13</v>
      </c>
      <c r="AC113" s="24">
        <f t="shared" si="57"/>
        <v>11.449534643320417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75.430554851580496</v>
      </c>
      <c r="AO113" s="62">
        <f t="shared" si="90"/>
        <v>224.33705570258331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7.6378153667613331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7.6378153667613331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112.39600606316674</v>
      </c>
      <c r="T114" s="62">
        <f t="shared" si="88"/>
        <v>322.32540061814672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11.22501625249129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1.2975772200488658E-13</v>
      </c>
      <c r="AC114" s="24">
        <f t="shared" si="57"/>
        <v>11.22501625249142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75.430554851580496</v>
      </c>
      <c r="AO114" s="62">
        <f t="shared" si="90"/>
        <v>224.33705570258331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7.4880424660265179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7.4880424660265179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112.39600606316674</v>
      </c>
      <c r="T115" s="62">
        <f t="shared" si="88"/>
        <v>322.32540061814672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11.004900530363805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9.1752565140974201E-14</v>
      </c>
      <c r="AC115" s="24">
        <f t="shared" si="57"/>
        <v>11.004900530363898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75.430554851580496</v>
      </c>
      <c r="AO115" s="62">
        <f t="shared" si="90"/>
        <v>224.33705570258331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7.3412065205226629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7.3412065205226629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112.39600606316674</v>
      </c>
      <c r="T116" s="62">
        <f t="shared" si="88"/>
        <v>322.32540061814672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10.789101143289907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6.4878861002443292E-14</v>
      </c>
      <c r="AC116" s="24">
        <f t="shared" si="57"/>
        <v>10.789101143289972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75.430554851580496</v>
      </c>
      <c r="AO116" s="62">
        <f t="shared" si="90"/>
        <v>224.33705570258331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7.1972499383490556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7.1972499383490556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112.39600606316674</v>
      </c>
      <c r="T117" s="62">
        <f t="shared" si="88"/>
        <v>322.32540061814672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10.577533450571899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4.5876282570487101E-14</v>
      </c>
      <c r="AC117" s="24">
        <f t="shared" si="57"/>
        <v>10.577533450571945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75.430554851580496</v>
      </c>
      <c r="AO117" s="62">
        <f t="shared" si="90"/>
        <v>224.33705570258331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7.0561162569470275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7.0561162569470275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112.39600606316674</v>
      </c>
      <c r="T118" s="62">
        <f t="shared" si="88"/>
        <v>322.32540061814672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10.370114471264539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3.2439430501221646E-14</v>
      </c>
      <c r="AC118" s="24">
        <f t="shared" si="57"/>
        <v>10.370114471264571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75.430554851580496</v>
      </c>
      <c r="AO118" s="62">
        <f t="shared" si="90"/>
        <v>224.33705570258331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6.9177501209542474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6.9177501209542474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112.39600606316674</v>
      </c>
      <c r="T119" s="62">
        <f t="shared" si="88"/>
        <v>322.32540061814672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10.166762851628313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2.293814128524355E-14</v>
      </c>
      <c r="AC119" s="24">
        <f t="shared" si="57"/>
        <v>10.166762851628336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75.430554851580496</v>
      </c>
      <c r="AO119" s="62">
        <f t="shared" si="90"/>
        <v>224.33705570258331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6.7820972604932761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6.7820972604932761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112.39600606316674</v>
      </c>
      <c r="T120" s="62">
        <f t="shared" si="88"/>
        <v>322.32540061814672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9.967398833220912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1.6219715250610823E-14</v>
      </c>
      <c r="AC120" s="24">
        <f t="shared" si="57"/>
        <v>9.967398833220928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75.430554851580496</v>
      </c>
      <c r="AO120" s="62">
        <f t="shared" si="90"/>
        <v>224.33705570258331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6.6491044698858692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6.6491044698858692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112.39600606316674</v>
      </c>
      <c r="T121" s="62">
        <f t="shared" si="88"/>
        <v>322.32540061814672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9.7719442216144365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1.1469070642621775E-14</v>
      </c>
      <c r="AC121" s="24">
        <f t="shared" si="57"/>
        <v>9.7719442216144472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75.430554851580496</v>
      </c>
      <c r="AO121" s="62">
        <f t="shared" si="90"/>
        <v>224.33705570258331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6.5187195867846812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6.5187195867846812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112.39600606316674</v>
      </c>
      <c r="T122" s="62">
        <f t="shared" si="88"/>
        <v>322.32540061814672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9.5803223557260218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8.1098576253054115E-15</v>
      </c>
      <c r="AC122" s="24">
        <f t="shared" si="57"/>
        <v>9.5803223557260306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75.430554851580496</v>
      </c>
      <c r="AO122" s="62">
        <f t="shared" si="90"/>
        <v>224.33705570258331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6.3908914717141814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6.3908914717141814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112.39600606316674</v>
      </c>
      <c r="T123" s="62">
        <f t="shared" si="88"/>
        <v>322.32540061814672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9.3924580777498825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5.7345353213108876E-15</v>
      </c>
      <c r="AC123" s="24">
        <f t="shared" si="57"/>
        <v>9.3924580777498878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75.430554851580496</v>
      </c>
      <c r="AO123" s="62">
        <f t="shared" si="90"/>
        <v>224.33705570258331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6.2655699880127624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6.2655699880127624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112.39600606316674</v>
      </c>
      <c r="T124" s="62">
        <f t="shared" si="88"/>
        <v>322.32540061814672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9.2082777036789594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4.0549288126527057E-15</v>
      </c>
      <c r="AC124" s="24">
        <f t="shared" si="57"/>
        <v>9.2082777036789629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75.430554851580496</v>
      </c>
      <c r="AO124" s="62">
        <f t="shared" si="90"/>
        <v>224.33705570258331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6.1427059821681711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6.1427059821681711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112.39600606316674</v>
      </c>
      <c r="T125" s="62">
        <f t="shared" si="88"/>
        <v>322.32540061814672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9.027708994404632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2.8672676606554438E-15</v>
      </c>
      <c r="AC125" s="24">
        <f t="shared" si="57"/>
        <v>9.0277089944046356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75.430554851580496</v>
      </c>
      <c r="AO125" s="62">
        <f t="shared" si="90"/>
        <v>224.33705570258331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6.0222512645385482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6.0222512645385482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112.39600606316674</v>
      </c>
      <c r="T126" s="62">
        <f t="shared" si="88"/>
        <v>322.32540061814672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8.8506811273831367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2.0274644063263529E-15</v>
      </c>
      <c r="AC126" s="24">
        <f t="shared" si="57"/>
        <v>8.8506811273831385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75.430554851580496</v>
      </c>
      <c r="AO126" s="62">
        <f t="shared" si="90"/>
        <v>224.33705570258331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5.9041585904515195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5.9041585904515195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112.39600606316674</v>
      </c>
      <c r="T127" s="62">
        <f t="shared" si="88"/>
        <v>322.32540061814672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8.6771246688575943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1.4336338303277219E-15</v>
      </c>
      <c r="AC127" s="24">
        <f t="shared" si="57"/>
        <v>8.677124668857596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75.430554851580496</v>
      </c>
      <c r="AO127" s="62">
        <f t="shared" si="90"/>
        <v>224.33705570258331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5.7883816416739187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5.7883816416739187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112.39600606316674</v>
      </c>
      <c r="T128" s="62">
        <f t="shared" si="88"/>
        <v>322.32540061814672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8.5069715466247509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1.0137322031631764E-15</v>
      </c>
      <c r="AC128" s="24">
        <f t="shared" si="57"/>
        <v>8.5069715466247526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75.430554851580496</v>
      </c>
      <c r="AO128" s="62">
        <f t="shared" si="90"/>
        <v>224.33705570258331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5.6748750082448804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5.6748750082448804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112.39600606316674</v>
      </c>
      <c r="T129" s="62">
        <f t="shared" si="88"/>
        <v>322.32540061814672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8.340155023335738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7.1681691516386095E-16</v>
      </c>
      <c r="AC129" s="24">
        <f t="shared" si="57"/>
        <v>8.340155023335738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75.430554851580496</v>
      </c>
      <c r="AO129" s="62">
        <f t="shared" si="90"/>
        <v>224.33705570258331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5.5635941706651755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5.5635941706651755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112.39600606316674</v>
      </c>
      <c r="T130" s="62">
        <f t="shared" si="88"/>
        <v>322.32540061814672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8.1766096703203903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5.0686610158158822E-16</v>
      </c>
      <c r="AC130" s="24">
        <f t="shared" si="57"/>
        <v>8.1766096703203903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75.430554851580496</v>
      </c>
      <c r="AO130" s="62">
        <f t="shared" si="90"/>
        <v>224.33705570258331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5.4544954824357994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5.4544954824357994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112.39600606316674</v>
      </c>
      <c r="T131" s="62">
        <f t="shared" si="88"/>
        <v>322.32540061814672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8.0162713419248579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3.5840845758193047E-16</v>
      </c>
      <c r="AC131" s="24">
        <f t="shared" si="57"/>
        <v>8.0162713419248579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75.430554851580496</v>
      </c>
      <c r="AO131" s="62">
        <f t="shared" si="90"/>
        <v>224.33705570258331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5.3475361529389724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5.3475361529389724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112.39600606316674</v>
      </c>
      <c r="T132" s="62">
        <f t="shared" si="88"/>
        <v>322.32540061814672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7.8590771503524373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2.5343305079079411E-16</v>
      </c>
      <c r="AC132" s="24">
        <f t="shared" ref="AC132:AC153" si="111">SUM(Z132:AB132)</f>
        <v>7.8590771503524373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75.430554851580496</v>
      </c>
      <c r="AO132" s="62">
        <f t="shared" si="90"/>
        <v>224.33705570258331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5.2426742306548286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5.2426742306548286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112.39600606316674</v>
      </c>
      <c r="T133" s="62">
        <f t="shared" ref="T133:T196" si="142">$T$3</f>
        <v>322.32540061814672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7.7049654409977624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1.7920422879096524E-16</v>
      </c>
      <c r="AC133" s="24">
        <f t="shared" si="111"/>
        <v>7.7049654409977624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75.430554851580496</v>
      </c>
      <c r="AO133" s="62">
        <f t="shared" ref="AO133:AO196" si="144">$AO$3</f>
        <v>224.33705570258331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5.1398685867072196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5.1398685867072196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112.39600606316674</v>
      </c>
      <c r="T134" s="62">
        <f t="shared" si="142"/>
        <v>322.32540061814672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7.553875768264672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1.2671652539539705E-16</v>
      </c>
      <c r="AC134" s="24">
        <f t="shared" si="111"/>
        <v>7.553875768264672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75.430554851580496</v>
      </c>
      <c r="AO134" s="62">
        <f t="shared" si="144"/>
        <v>224.33705570258331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5.0390788987321722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5.0390788987321722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112.39600606316674</v>
      </c>
      <c r="T135" s="62">
        <f t="shared" si="142"/>
        <v>322.32540061814672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7.4057488718582762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8.9602114395482619E-17</v>
      </c>
      <c r="AC135" s="24">
        <f t="shared" si="111"/>
        <v>7.4057488718582762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75.430554851580496</v>
      </c>
      <c r="AO135" s="62">
        <f t="shared" si="144"/>
        <v>224.33705570258331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4.9402656350626764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4.9402656350626764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112.39600606316674</v>
      </c>
      <c r="T136" s="62">
        <f t="shared" si="142"/>
        <v>322.32540061814672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7.2605266535419242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6.3358262697698527E-17</v>
      </c>
      <c r="AC136" s="24">
        <f t="shared" si="111"/>
        <v>7.2605266535419242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75.430554851580496</v>
      </c>
      <c r="AO136" s="62">
        <f t="shared" si="144"/>
        <v>224.33705570258331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4.8433900392235998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4.8433900392235998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112.39600606316674</v>
      </c>
      <c r="T137" s="62">
        <f t="shared" si="142"/>
        <v>322.32540061814672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7.1181521543499491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4.4801057197741309E-17</v>
      </c>
      <c r="AC137" s="24">
        <f t="shared" si="111"/>
        <v>7.1181521543499491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75.430554851580496</v>
      </c>
      <c r="AO137" s="62">
        <f t="shared" si="144"/>
        <v>224.33705570258331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4.7484141147306484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4.7484141147306484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112.39600606316674</v>
      </c>
      <c r="T138" s="62">
        <f t="shared" si="142"/>
        <v>322.32540061814672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6.978569532247259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3.1679131348849264E-17</v>
      </c>
      <c r="AC138" s="24">
        <f t="shared" si="111"/>
        <v>6.978569532247259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75.430554851580496</v>
      </c>
      <c r="AO138" s="62">
        <f t="shared" si="144"/>
        <v>224.33705570258331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4.6553006101874095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4.6553006101874095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112.39600606316674</v>
      </c>
      <c r="T139" s="62">
        <f t="shared" si="142"/>
        <v>322.32540061814672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6.8417240402270094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2.2400528598870655E-17</v>
      </c>
      <c r="AC139" s="24">
        <f t="shared" si="111"/>
        <v>6.8417240402270094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75.430554851580496</v>
      </c>
      <c r="AO139" s="62">
        <f t="shared" si="144"/>
        <v>224.33705570258331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4.5640130046746341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4.5640130046746341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112.39600606316674</v>
      </c>
      <c r="T140" s="62">
        <f t="shared" si="142"/>
        <v>322.32540061814672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6.7075620048377687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1.5839565674424632E-17</v>
      </c>
      <c r="AC140" s="24">
        <f t="shared" si="111"/>
        <v>6.7075620048377687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75.430554851580496</v>
      </c>
      <c r="AO140" s="62">
        <f t="shared" si="144"/>
        <v>224.33705570258331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4.4745154934260229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4.4745154934260229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112.39600606316674</v>
      </c>
      <c r="T141" s="62">
        <f t="shared" si="142"/>
        <v>322.32540061814672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6.57603080513175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1.1200264299435327E-17</v>
      </c>
      <c r="AC141" s="24">
        <f t="shared" si="111"/>
        <v>6.57603080513175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75.430554851580496</v>
      </c>
      <c r="AO141" s="62">
        <f t="shared" si="144"/>
        <v>224.33705570258331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4.3867729737849048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4.3867729737849048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112.39600606316674</v>
      </c>
      <c r="T142" s="62">
        <f t="shared" si="142"/>
        <v>322.32540061814672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6.4470788520258555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7.9197828372123159E-18</v>
      </c>
      <c r="AC142" s="24">
        <f t="shared" si="111"/>
        <v>6.4470788520258555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75.430554851580496</v>
      </c>
      <c r="AO142" s="62">
        <f t="shared" si="144"/>
        <v>224.33705570258331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4.3007510314362962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4.3007510314362962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112.39600606316674</v>
      </c>
      <c r="T143" s="62">
        <f t="shared" si="142"/>
        <v>322.32540061814672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6.3206555680674432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5.6001321497176637E-18</v>
      </c>
      <c r="AC143" s="24">
        <f t="shared" si="111"/>
        <v>6.3206555680674432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75.430554851580496</v>
      </c>
      <c r="AO143" s="62">
        <f t="shared" si="144"/>
        <v>224.33705570258331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4.2164159269089403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4.2164159269089403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112.39600606316674</v>
      </c>
      <c r="T144" s="62">
        <f t="shared" si="142"/>
        <v>322.32540061814672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6.1967113675968655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3.959891418606158E-18</v>
      </c>
      <c r="AC144" s="24">
        <f t="shared" si="111"/>
        <v>6.1967113675968655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75.430554851580496</v>
      </c>
      <c r="AO144" s="62">
        <f t="shared" si="144"/>
        <v>224.33705570258331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4.1337345823420311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4.1337345823420311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112.39600606316674</v>
      </c>
      <c r="T145" s="62">
        <f t="shared" si="142"/>
        <v>322.32540061814672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6.0751976372990182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2.8000660748588318E-18</v>
      </c>
      <c r="AC145" s="24">
        <f t="shared" si="111"/>
        <v>6.0751976372990182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75.430554851580496</v>
      </c>
      <c r="AO145" s="62">
        <f t="shared" si="144"/>
        <v>224.33705570258331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4.0526745685114385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4.0526745685114385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112.39600606316674</v>
      </c>
      <c r="T146" s="62">
        <f t="shared" si="142"/>
        <v>322.32540061814672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5.9560667171362551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1.979945709303079E-18</v>
      </c>
      <c r="AC146" s="24">
        <f t="shared" si="111"/>
        <v>5.9560667171362551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75.430554851580496</v>
      </c>
      <c r="AO146" s="62">
        <f t="shared" si="144"/>
        <v>224.33705570258331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3.9732040921103375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3.9732040921103375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112.39600606316674</v>
      </c>
      <c r="T147" s="62">
        <f t="shared" si="142"/>
        <v>322.32540061814672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5.8392718816551969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1.4000330374294159E-18</v>
      </c>
      <c r="AC147" s="24">
        <f t="shared" si="111"/>
        <v>5.8392718816551969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75.430554851580496</v>
      </c>
      <c r="AO147" s="62">
        <f t="shared" si="144"/>
        <v>224.33705570258331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3.8952919832792574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3.8952919832792574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112.39600606316674</v>
      </c>
      <c r="T148" s="62">
        <f t="shared" si="142"/>
        <v>322.32540061814672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5.7247673216601074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9.8997285465153949E-19</v>
      </c>
      <c r="AC148" s="24">
        <f t="shared" si="111"/>
        <v>5.7247673216601074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75.430554851580496</v>
      </c>
      <c r="AO148" s="62">
        <f t="shared" si="144"/>
        <v>224.33705570258331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3.8189076833806608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3.8189076833806608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112.39600606316674</v>
      </c>
      <c r="T149" s="62">
        <f t="shared" si="142"/>
        <v>322.32540061814672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5.6125081262456362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7.0001651871470796E-19</v>
      </c>
      <c r="AC149" s="24">
        <f t="shared" si="111"/>
        <v>5.6125081262456362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75.430554851580496</v>
      </c>
      <c r="AO149" s="62">
        <f t="shared" si="144"/>
        <v>224.33705570258331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3.7440212330132532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3.7440212330132532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112.39600606316674</v>
      </c>
      <c r="T150" s="62">
        <f t="shared" si="142"/>
        <v>322.32540061814672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5.5024502651818947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4.9498642732576974E-19</v>
      </c>
      <c r="AC150" s="24">
        <f t="shared" si="111"/>
        <v>5.5024502651818947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75.430554851580496</v>
      </c>
      <c r="AO150" s="62">
        <f t="shared" si="144"/>
        <v>224.33705570258331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3.6706032602613261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3.6706032602613261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112.39600606316674</v>
      </c>
      <c r="T151" s="62">
        <f t="shared" si="142"/>
        <v>322.32540061814672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5.3945505716449462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3.5000825935735398E-19</v>
      </c>
      <c r="AC151" s="24">
        <f t="shared" si="111"/>
        <v>5.3945505716449462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75.430554851580496</v>
      </c>
      <c r="AO151" s="62">
        <f t="shared" si="144"/>
        <v>224.33705570258331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3.5986249691745225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3.5986249691745225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112.39600606316674</v>
      </c>
      <c r="T152" s="62">
        <f t="shared" si="142"/>
        <v>322.32540061814672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5.2887667252859423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2.4749321366288487E-19</v>
      </c>
      <c r="AC152" s="24">
        <f t="shared" si="111"/>
        <v>5.2887667252859423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75.430554851580496</v>
      </c>
      <c r="AO152" s="62">
        <f t="shared" si="144"/>
        <v>224.33705570258331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3.5280581284735084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3.5280581284735084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112.39600606316674</v>
      </c>
      <c r="T153" s="62">
        <f t="shared" si="142"/>
        <v>322.32540061814672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5.1850572356322635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1.7500412967867699E-19</v>
      </c>
      <c r="AC153" s="24">
        <f t="shared" si="111"/>
        <v>5.1850572356322635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75.430554851580496</v>
      </c>
      <c r="AO153" s="62">
        <f t="shared" si="144"/>
        <v>224.33705570258331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3.4588750604771183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3.4588750604771183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112.39600606316674</v>
      </c>
      <c r="T154" s="62">
        <f t="shared" si="142"/>
        <v>322.32540061814672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5.0833814258141503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1.2374660683144244E-19</v>
      </c>
      <c r="AC154" s="24">
        <f t="shared" ref="AC154:AC203" si="163">SUM(Z154:AB154)</f>
        <v>5.0833814258141503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75.430554851580496</v>
      </c>
      <c r="AO154" s="62">
        <f t="shared" si="144"/>
        <v>224.33705570258331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3.3910486302466327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3.3910486302466327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112.39600606316674</v>
      </c>
      <c r="T155" s="62">
        <f t="shared" si="142"/>
        <v>322.32540061814672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4.9836994166104498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8.7502064839338495E-20</v>
      </c>
      <c r="AC155" s="24">
        <f t="shared" si="163"/>
        <v>4.9836994166104498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75.430554851580496</v>
      </c>
      <c r="AO155" s="62">
        <f t="shared" si="144"/>
        <v>224.33705570258331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3.3245522349429297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3.3245522349429297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112.39600606316674</v>
      </c>
      <c r="T156" s="62">
        <f t="shared" si="142"/>
        <v>322.32540061814672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4.8859721108072121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6.1873303415721218E-20</v>
      </c>
      <c r="AC156" s="24">
        <f t="shared" si="163"/>
        <v>4.8859721108072121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75.430554851580496</v>
      </c>
      <c r="AO156" s="62">
        <f t="shared" si="144"/>
        <v>224.33705570258331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3.2593597933923357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3.2593597933923357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112.39600606316674</v>
      </c>
      <c r="T157" s="62">
        <f t="shared" si="142"/>
        <v>322.32540061814672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4.7901611778630047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4.3751032419669247E-20</v>
      </c>
      <c r="AC157" s="24">
        <f t="shared" si="163"/>
        <v>4.7901611778630047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75.430554851580496</v>
      </c>
      <c r="AO157" s="62">
        <f t="shared" si="144"/>
        <v>224.33705570258331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3.1954457358570858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3.1954457358570858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112.39600606316674</v>
      </c>
      <c r="T158" s="62">
        <f t="shared" si="142"/>
        <v>322.32540061814672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4.696229038874935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3.0936651707860609E-20</v>
      </c>
      <c r="AC158" s="24">
        <f t="shared" si="163"/>
        <v>4.696229038874935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75.430554851580496</v>
      </c>
      <c r="AO158" s="62">
        <f t="shared" si="144"/>
        <v>224.33705570258331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3.1327849940063763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3.1327849940063763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112.39600606316674</v>
      </c>
      <c r="T159" s="62">
        <f t="shared" si="142"/>
        <v>322.32540061814672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4.6041388518394735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2.1875516209834624E-20</v>
      </c>
      <c r="AC159" s="24">
        <f t="shared" si="163"/>
        <v>4.6041388518394735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75.430554851580496</v>
      </c>
      <c r="AO159" s="62">
        <f t="shared" si="144"/>
        <v>224.33705570258331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3.0713529910840807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3.0713529910840807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112.39600606316674</v>
      </c>
      <c r="T160" s="62">
        <f t="shared" si="142"/>
        <v>322.32540061814672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4.5138544972023098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1.5468325853930304E-20</v>
      </c>
      <c r="AC160" s="24">
        <f t="shared" si="163"/>
        <v>4.5138544972023098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75.430554851580496</v>
      </c>
      <c r="AO160" s="62">
        <f t="shared" si="144"/>
        <v>224.33705570258331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3.0111256322692692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3.0111256322692692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112.39600606316674</v>
      </c>
      <c r="T161" s="62">
        <f t="shared" si="142"/>
        <v>322.32540061814672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4.4253405636915621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1.0937758104917312E-20</v>
      </c>
      <c r="AC161" s="24">
        <f t="shared" si="163"/>
        <v>4.4253405636915621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75.430554851580496</v>
      </c>
      <c r="AO161" s="62">
        <f t="shared" si="144"/>
        <v>224.33705570258331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2.9520792952257549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2.9520792952257549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112.39600606316674</v>
      </c>
      <c r="T162" s="62">
        <f t="shared" si="142"/>
        <v>322.32540061814672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4.3385623344287918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7.7341629269651522E-21</v>
      </c>
      <c r="AC162" s="24">
        <f t="shared" si="163"/>
        <v>4.3385623344287918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75.430554851580496</v>
      </c>
      <c r="AO162" s="62">
        <f t="shared" si="144"/>
        <v>224.33705570258331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2.8941908208369544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2.8941908208369544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112.39600606316674</v>
      </c>
      <c r="T163" s="62">
        <f t="shared" si="142"/>
        <v>322.32540061814672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4.253485773312371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5.4688790524586559E-21</v>
      </c>
      <c r="AC163" s="24">
        <f t="shared" si="163"/>
        <v>4.253485773312371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75.430554851580496</v>
      </c>
      <c r="AO163" s="62">
        <f t="shared" si="144"/>
        <v>224.33705570258331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2.8374375041224353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2.8374375041224353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112.39600606316674</v>
      </c>
      <c r="T164" s="62">
        <f t="shared" si="142"/>
        <v>322.32540061814672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4.1700775116678646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3.8670814634825761E-21</v>
      </c>
      <c r="AC164" s="24">
        <f t="shared" si="163"/>
        <v>4.1700775116678646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75.430554851580496</v>
      </c>
      <c r="AO164" s="62">
        <f t="shared" si="144"/>
        <v>224.33705570258331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2.7817970853325829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2.7817970853325829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112.39600606316674</v>
      </c>
      <c r="T165" s="62">
        <f t="shared" si="142"/>
        <v>322.32540061814672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4.0883048351601907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2.734439526229328E-21</v>
      </c>
      <c r="AC165" s="24">
        <f t="shared" si="163"/>
        <v>4.0883048351601907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75.430554851580496</v>
      </c>
      <c r="AO165" s="62">
        <f t="shared" si="144"/>
        <v>224.33705570258331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2.7272477412178948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2.7272477412178948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112.39600606316674</v>
      </c>
      <c r="T166" s="62">
        <f t="shared" si="142"/>
        <v>322.32540061814672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4.0081356709624245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1.9335407317412881E-21</v>
      </c>
      <c r="AC166" s="24">
        <f t="shared" si="163"/>
        <v>4.0081356709624245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75.430554851580496</v>
      </c>
      <c r="AO166" s="62">
        <f t="shared" si="144"/>
        <v>224.33705570258331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2.6737680764694813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2.6737680764694813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112.39600606316674</v>
      </c>
      <c r="T167" s="62">
        <f t="shared" si="142"/>
        <v>322.32540061814672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3.9295385751762146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1.367219763114664E-21</v>
      </c>
      <c r="AC167" s="24">
        <f t="shared" si="163"/>
        <v>3.9295385751762146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75.430554851580496</v>
      </c>
      <c r="AO167" s="62">
        <f t="shared" si="144"/>
        <v>224.33705570258331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2.6213371153274094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2.6213371153274094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112.39600606316674</v>
      </c>
      <c r="T168" s="62">
        <f t="shared" si="142"/>
        <v>322.32540061814672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3.8524827204988772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9.6677036587064403E-22</v>
      </c>
      <c r="AC168" s="24">
        <f t="shared" si="163"/>
        <v>3.8524827204988772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75.430554851580496</v>
      </c>
      <c r="AO168" s="62">
        <f t="shared" si="144"/>
        <v>224.33705570258331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2.5699342933536053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2.5699342933536053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112.39600606316674</v>
      </c>
      <c r="T169" s="62">
        <f t="shared" si="142"/>
        <v>322.32540061814672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3.776937884132332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6.8360988155733199E-22</v>
      </c>
      <c r="AC169" s="24">
        <f t="shared" si="163"/>
        <v>3.776937884132332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75.430554851580496</v>
      </c>
      <c r="AO169" s="62">
        <f t="shared" si="144"/>
        <v>224.33705570258331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2.5195394493660817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2.5195394493660817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112.39600606316674</v>
      </c>
      <c r="T170" s="62">
        <f t="shared" si="142"/>
        <v>322.32540061814672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3.7028744359291346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4.8338518293532202E-22</v>
      </c>
      <c r="AC170" s="24">
        <f t="shared" si="163"/>
        <v>3.7028744359291346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75.430554851580496</v>
      </c>
      <c r="AO170" s="62">
        <f t="shared" si="144"/>
        <v>224.33705570258331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2.4701328175313337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2.4701328175313337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112.39600606316674</v>
      </c>
      <c r="T171" s="62">
        <f t="shared" si="142"/>
        <v>322.32540061814672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3.630263326770959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3.4180494077866599E-22</v>
      </c>
      <c r="AC171" s="24">
        <f t="shared" si="163"/>
        <v>3.630263326770959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75.430554851580496</v>
      </c>
      <c r="AO171" s="62">
        <f t="shared" si="144"/>
        <v>224.33705570258331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2.4216950196117955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2.4216950196117955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112.39600606316674</v>
      </c>
      <c r="T172" s="62">
        <f t="shared" si="142"/>
        <v>322.32540061814672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3.5590760771749714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2.4169259146766101E-22</v>
      </c>
      <c r="AC172" s="24">
        <f t="shared" si="163"/>
        <v>3.5590760771749714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75.430554851580496</v>
      </c>
      <c r="AO172" s="62">
        <f t="shared" si="144"/>
        <v>224.33705570258331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2.3742070573653198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2.3742070573653198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112.39600606316674</v>
      </c>
      <c r="T173" s="62">
        <f t="shared" si="142"/>
        <v>322.32540061814672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3.4892847661236264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1.70902470389333E-22</v>
      </c>
      <c r="AC173" s="24">
        <f t="shared" si="163"/>
        <v>3.4892847661236264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75.430554851580496</v>
      </c>
      <c r="AO173" s="62">
        <f t="shared" si="144"/>
        <v>224.33705570258331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2.3276503050937007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2.3276503050937007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112.39600606316674</v>
      </c>
      <c r="T174" s="62">
        <f t="shared" si="142"/>
        <v>322.32540061814672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3.4208620201135016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1.208462957338305E-22</v>
      </c>
      <c r="AC174" s="24">
        <f t="shared" si="163"/>
        <v>3.4208620201135016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75.430554851580496</v>
      </c>
      <c r="AO174" s="62">
        <f t="shared" si="144"/>
        <v>224.33705570258331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2.2820065023373131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2.2820065023373131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112.39600606316674</v>
      </c>
      <c r="T175" s="62">
        <f t="shared" si="142"/>
        <v>322.32540061814672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3.3537810024188812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8.5451235194666499E-23</v>
      </c>
      <c r="AC175" s="24">
        <f t="shared" si="163"/>
        <v>3.3537810024188812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75.430554851580496</v>
      </c>
      <c r="AO175" s="62">
        <f t="shared" si="144"/>
        <v>224.33705570258331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2.2372577467130075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2.2372577467130075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112.39600606316674</v>
      </c>
      <c r="T176" s="62">
        <f t="shared" si="142"/>
        <v>322.32540061814672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3.2880154025658719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6.0423147866915252E-23</v>
      </c>
      <c r="AC176" s="24">
        <f t="shared" si="163"/>
        <v>3.2880154025658719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75.430554851580496</v>
      </c>
      <c r="AO176" s="62">
        <f t="shared" si="144"/>
        <v>224.33705570258331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2.1933864868924484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2.1933864868924484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112.39600606316674</v>
      </c>
      <c r="T177" s="62">
        <f t="shared" si="142"/>
        <v>322.32540061814672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3.2235394260129251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4.2725617597333249E-23</v>
      </c>
      <c r="AC177" s="24">
        <f t="shared" si="163"/>
        <v>3.2235394260129251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75.430554851580496</v>
      </c>
      <c r="AO177" s="62">
        <f t="shared" si="144"/>
        <v>224.33705570258331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2.1503755157181446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2.1503755157181446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112.39600606316674</v>
      </c>
      <c r="T178" s="62">
        <f t="shared" si="142"/>
        <v>322.32540061814672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3.1603277840337189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3.0211573933457626E-23</v>
      </c>
      <c r="AC178" s="24">
        <f t="shared" si="163"/>
        <v>3.1603277840337189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75.430554851580496</v>
      </c>
      <c r="AO178" s="62">
        <f t="shared" si="144"/>
        <v>224.33705570258331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2.1082079634544666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2.1082079634544666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112.39600606316674</v>
      </c>
      <c r="T179" s="62">
        <f t="shared" si="142"/>
        <v>322.32540061814672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3.0983556837984305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2.1362808798666625E-23</v>
      </c>
      <c r="AC179" s="24">
        <f t="shared" si="163"/>
        <v>3.0983556837984305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75.430554851580496</v>
      </c>
      <c r="AO179" s="62">
        <f t="shared" si="144"/>
        <v>224.33705570258331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2.066867291171012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2.066867291171012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112.39600606316674</v>
      </c>
      <c r="T180" s="62">
        <f t="shared" si="142"/>
        <v>322.32540061814672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3.0375988186495073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1.5105786966728813E-23</v>
      </c>
      <c r="AC180" s="24">
        <f t="shared" si="163"/>
        <v>3.0375988186495073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75.430554851580496</v>
      </c>
      <c r="AO180" s="62">
        <f t="shared" si="144"/>
        <v>224.33705570258331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2.0263372842557157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2.0263372842557157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112.39600606316674</v>
      </c>
      <c r="T181" s="62">
        <f t="shared" si="142"/>
        <v>322.32540061814672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2.9780333585681258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1.0681404399333312E-23</v>
      </c>
      <c r="AC181" s="24">
        <f t="shared" si="163"/>
        <v>2.9780333585681258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75.430554851580496</v>
      </c>
      <c r="AO181" s="62">
        <f t="shared" si="144"/>
        <v>224.33705570258331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1.9866020460551652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1.9866020460551652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112.39600606316674</v>
      </c>
      <c r="T182" s="62">
        <f t="shared" si="142"/>
        <v>322.32540061814672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2.9196359408275967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7.5528934833644065E-24</v>
      </c>
      <c r="AC182" s="24">
        <f t="shared" si="163"/>
        <v>2.9196359408275967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75.430554851580496</v>
      </c>
      <c r="AO182" s="62">
        <f t="shared" si="144"/>
        <v>224.33705570258331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1.9476459916396254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1.9476459916396254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112.39600606316674</v>
      </c>
      <c r="T183" s="62">
        <f t="shared" si="142"/>
        <v>322.32540061814672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2.8623836608300519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5.3407021996666562E-24</v>
      </c>
      <c r="AC183" s="24">
        <f t="shared" si="163"/>
        <v>2.8623836608300519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75.430554851580496</v>
      </c>
      <c r="AO183" s="62">
        <f t="shared" si="144"/>
        <v>224.33705570258331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1.9094538416903273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1.9094538416903273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112.39600606316674</v>
      </c>
      <c r="T184" s="62">
        <f t="shared" si="142"/>
        <v>322.32540061814672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2.8062540631228163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3.7764467416822032E-24</v>
      </c>
      <c r="AC184" s="24">
        <f t="shared" si="163"/>
        <v>2.8062540631228163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75.430554851580496</v>
      </c>
      <c r="AO184" s="62">
        <f t="shared" si="144"/>
        <v>224.33705570258331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1.8720106165066235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1.8720106165066235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112.39600606316674</v>
      </c>
      <c r="T185" s="62">
        <f t="shared" si="142"/>
        <v>322.32540061814672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2.7512251325909456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2.6703510998333281E-24</v>
      </c>
      <c r="AC185" s="24">
        <f t="shared" si="163"/>
        <v>2.7512251325909456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75.430554851580496</v>
      </c>
      <c r="AO185" s="62">
        <f t="shared" si="144"/>
        <v>224.33705570258331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1.8353016301306599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1.8353016301306599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112.39600606316674</v>
      </c>
      <c r="T186" s="62">
        <f t="shared" si="142"/>
        <v>322.32540061814672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2.6972752858224713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1.8882233708411016E-24</v>
      </c>
      <c r="AC186" s="24">
        <f t="shared" si="163"/>
        <v>2.6972752858224713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75.430554851580496</v>
      </c>
      <c r="AO186" s="62">
        <f t="shared" si="144"/>
        <v>224.33705570258331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1.7993124845872581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1.7993124845872581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112.39600606316674</v>
      </c>
      <c r="T187" s="62">
        <f t="shared" si="142"/>
        <v>322.32540061814672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2.6443833626429694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1.335175549916664E-24</v>
      </c>
      <c r="AC187" s="24">
        <f t="shared" si="163"/>
        <v>2.6443833626429694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75.430554851580496</v>
      </c>
      <c r="AO187" s="62">
        <f t="shared" si="144"/>
        <v>224.33705570258331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1.7640290642367511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1.7640290642367511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112.39600606316674</v>
      </c>
      <c r="T188" s="62">
        <f t="shared" si="142"/>
        <v>322.32540061814672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2.59252861781613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9.4411168542055081E-25</v>
      </c>
      <c r="AC188" s="24">
        <f t="shared" si="163"/>
        <v>2.59252861781613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75.430554851580496</v>
      </c>
      <c r="AO188" s="62">
        <f t="shared" si="144"/>
        <v>224.33705570258331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1.7294375302385563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1.7294375302385563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112.39600606316674</v>
      </c>
      <c r="T189" s="62">
        <f t="shared" si="142"/>
        <v>322.32540061814672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2.5416907129070734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6.6758777495833202E-25</v>
      </c>
      <c r="AC189" s="24">
        <f t="shared" si="163"/>
        <v>2.5416907129070734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75.430554851580496</v>
      </c>
      <c r="AO189" s="62">
        <f t="shared" si="144"/>
        <v>224.33705570258331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1.6955243151233137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1.6955243151233137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112.39600606316674</v>
      </c>
      <c r="T190" s="62">
        <f t="shared" si="142"/>
        <v>322.32540061814672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2.4918497083052231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4.7205584271027541E-25</v>
      </c>
      <c r="AC190" s="24">
        <f t="shared" si="163"/>
        <v>2.4918497083052231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75.430554851580496</v>
      </c>
      <c r="AO190" s="62">
        <f t="shared" si="144"/>
        <v>224.33705570258331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1.6622761174714622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1.6622761174714622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112.39600606316674</v>
      </c>
      <c r="T191" s="62">
        <f t="shared" si="142"/>
        <v>322.32540061814672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2.4429860554036043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3.3379388747916601E-25</v>
      </c>
      <c r="AC191" s="24">
        <f t="shared" si="163"/>
        <v>2.4429860554036043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75.430554851580496</v>
      </c>
      <c r="AO191" s="62">
        <f t="shared" si="144"/>
        <v>224.33705570258331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1.6296798966961654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1.6296798966961654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112.39600606316674</v>
      </c>
      <c r="T192" s="62">
        <f t="shared" si="142"/>
        <v>322.32540061814672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2.3950805889315006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2.360279213551377E-25</v>
      </c>
      <c r="AC192" s="24">
        <f t="shared" si="163"/>
        <v>2.3950805889315006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75.430554851580496</v>
      </c>
      <c r="AO192" s="62">
        <f t="shared" si="144"/>
        <v>224.33705570258331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1.5977228679285407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1.5977228679285407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112.39600606316674</v>
      </c>
      <c r="T193" s="62">
        <f t="shared" si="142"/>
        <v>322.32540061814672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2.3481145194374657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1.6689694373958301E-25</v>
      </c>
      <c r="AC193" s="24">
        <f t="shared" si="163"/>
        <v>2.3481145194374657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75.430554851580496</v>
      </c>
      <c r="AO193" s="62">
        <f t="shared" si="144"/>
        <v>224.33705570258331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1.5663924970031862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1.5663924970031862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112.39600606316674</v>
      </c>
      <c r="T194" s="62">
        <f t="shared" si="142"/>
        <v>322.32540061814672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2.302069425919735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1.1801396067756885E-25</v>
      </c>
      <c r="AC194" s="24">
        <f t="shared" si="163"/>
        <v>2.302069425919735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75.430554851580496</v>
      </c>
      <c r="AO194" s="62">
        <f t="shared" si="144"/>
        <v>224.33705570258331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1.5356764955420383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1.5356764955420383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112.39600606316674</v>
      </c>
      <c r="T195" s="62">
        <f t="shared" si="142"/>
        <v>322.32540061814672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2.2569272486011531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8.3448471869791503E-26</v>
      </c>
      <c r="AC195" s="24">
        <f t="shared" si="163"/>
        <v>2.2569272486011531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75.430554851580496</v>
      </c>
      <c r="AO195" s="62">
        <f t="shared" si="144"/>
        <v>224.33705570258331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1.5055628161346328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1.5055628161346328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112.39600606316674</v>
      </c>
      <c r="T196" s="62">
        <f t="shared" si="142"/>
        <v>322.32540061814672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2.2126702818457793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5.9006980338784426E-26</v>
      </c>
      <c r="AC196" s="24">
        <f t="shared" si="163"/>
        <v>2.2126702818457793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75.430554851580496</v>
      </c>
      <c r="AO196" s="62">
        <f t="shared" si="144"/>
        <v>224.33705570258331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1.4760396476128756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1.4760396476128756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112.39600606316674</v>
      </c>
      <c r="T197" s="62">
        <f t="shared" ref="T197:T203" si="204">$T$3</f>
        <v>322.32540061814672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2.1692811672143941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4.1724235934895751E-26</v>
      </c>
      <c r="AC197" s="24">
        <f t="shared" si="163"/>
        <v>2.1692811672143941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75.430554851580496</v>
      </c>
      <c r="AO197" s="62">
        <f t="shared" ref="AO197:AO203" si="205">$AO$3</f>
        <v>224.33705570258331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1.4470954104184754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1.4470954104184754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112.39600606316674</v>
      </c>
      <c r="T198" s="62">
        <f t="shared" si="204"/>
        <v>322.32540061814672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2.1267428866561837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2.9503490169392213E-26</v>
      </c>
      <c r="AC198" s="24">
        <f t="shared" si="163"/>
        <v>2.1267428866561837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75.430554851580496</v>
      </c>
      <c r="AO198" s="62">
        <f t="shared" si="205"/>
        <v>224.33705570258331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1.4187187520612159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1.4187187520612159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112.39600606316674</v>
      </c>
      <c r="T199" s="62">
        <f t="shared" si="204"/>
        <v>322.32540061814672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2.0850387558339305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2.0862117967447876E-26</v>
      </c>
      <c r="AC199" s="24">
        <f t="shared" si="163"/>
        <v>2.0850387558339305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75.430554851580496</v>
      </c>
      <c r="AO199" s="62">
        <f t="shared" si="205"/>
        <v>224.33705570258331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1.3908985426662897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1.3908985426662897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112.39600606316674</v>
      </c>
      <c r="T200" s="62">
        <f t="shared" si="204"/>
        <v>322.32540061814672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2.0441524175800936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1.4751745084696106E-26</v>
      </c>
      <c r="AC200" s="24">
        <f t="shared" si="163"/>
        <v>2.0441524175800936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75.430554851580496</v>
      </c>
      <c r="AO200" s="62">
        <f t="shared" si="205"/>
        <v>224.33705570258331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1.3636238706089456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1.3636238706089456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112.39600606316674</v>
      </c>
      <c r="T201" s="62">
        <f t="shared" si="204"/>
        <v>322.32540061814672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2.0040678354812105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1.0431058983723938E-26</v>
      </c>
      <c r="AC201" s="24">
        <f t="shared" si="163"/>
        <v>2.0040678354812105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75.430554851580496</v>
      </c>
      <c r="AO201" s="62">
        <f t="shared" si="205"/>
        <v>224.33705570258331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1.3368840382347389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1.3368840382347389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112.39600606316674</v>
      </c>
      <c r="T202" s="62">
        <f t="shared" si="204"/>
        <v>322.32540061814672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1.9647692875881055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7.3758725423480532E-27</v>
      </c>
      <c r="AC202" s="24">
        <f t="shared" si="163"/>
        <v>1.9647692875881055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75.430554851580496</v>
      </c>
      <c r="AO202" s="62">
        <f t="shared" si="205"/>
        <v>224.33705570258331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1.3106685576637032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1.3106685576637032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112.39600606316674</v>
      </c>
      <c r="T203" s="62">
        <f t="shared" si="204"/>
        <v>322.32540061814672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1.926241360249437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5.2155294918619689E-27</v>
      </c>
      <c r="AC203" s="24">
        <f t="shared" si="163"/>
        <v>1.926241360249437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75.430554851580496</v>
      </c>
      <c r="AO203" s="62">
        <f t="shared" si="205"/>
        <v>224.33705570258331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1.2849671466768011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1.2849671466768011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1.4620464563349369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1.2541339592525462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20" workbookViewId="0">
      <selection activeCell="B42" sqref="B4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L16" sqref="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Peuplier Polargo</v>
      </c>
      <c r="B6" s="155">
        <f>'Données projet'!D9</f>
        <v>1.0008000000000001</v>
      </c>
      <c r="C6" s="156">
        <f ca="1">IF(OR('Données projet'!B9="",'Données projet'!C9="",'Données projet'!C9=0%),0,Calculateur!S3)</f>
        <v>112.39600606316674</v>
      </c>
      <c r="D6" s="156">
        <f>IF(OR('Données projet'!B9="",'Données projet'!C9="",'Données projet'!C9=0%),0,Calculateur!T3)</f>
        <v>322.32540061814672</v>
      </c>
      <c r="E6" s="156">
        <f ca="1">MIN(C6,D6)</f>
        <v>112.39600606316674</v>
      </c>
      <c r="F6" s="156">
        <f ca="1">E6*B6</f>
        <v>112.48592286801728</v>
      </c>
      <c r="G6" s="156">
        <f ca="1">F6*(100%-'Données projet'!$C$24)*(100%-'Données projet'!$C$25)*(100%-'Données projet'!$C$26)*(100%-'Données projet'!$C$27)</f>
        <v>96.17546405215478</v>
      </c>
      <c r="H6" s="157">
        <f>IF(OR('Données projet'!B9="",'Données projet'!C9="",'Données projet'!C9=0%),0,AVERAGE(Calculateur!$AC$3:$AC$33)*B6)</f>
        <v>27.86713241275659</v>
      </c>
      <c r="I6" s="158">
        <f>H6*(100%-'Données projet'!$C$24)*(100%-'Données projet'!$C$25)*(100%-'Données projet'!$C$26)*(100%-'Données projet'!$C$27)</f>
        <v>23.826398212906881</v>
      </c>
      <c r="J6" s="159">
        <f>IF(OR('Données projet'!B9="",'Données projet'!C9="",'Données projet'!C9=0%),0,SUM(Calculateur!$V$3:$V$33)*VLOOKUP('Données projet'!$B$9,Paramètres!$A$1:$I$89,9,0)*B6)</f>
        <v>296.50621536000006</v>
      </c>
      <c r="K6" s="160">
        <f>J6*(100%-'Données projet'!$C$24)*(100%-'Données projet'!$C$25)*(100%-'Données projet'!$C$26)*(100%-'Données projet'!$C$27)</f>
        <v>253.51281413280003</v>
      </c>
      <c r="L6" s="161">
        <f ca="1">G6+I6+K6</f>
        <v>373.51467639786171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Peuplier Koster</v>
      </c>
      <c r="B7" s="163">
        <f>'Données projet'!D10</f>
        <v>0.79920000000000002</v>
      </c>
      <c r="C7" s="156">
        <f ca="1">IF(OR('Données projet'!B10="",'Données projet'!C10="",'Données projet'!C10=0%),0,Calculateur!AN3)</f>
        <v>75.430554851580496</v>
      </c>
      <c r="D7" s="156">
        <f>IF(OR('Données projet'!B10="",'Données projet'!C10="",'Données projet'!C10=0%),0,Calculateur!AO3)</f>
        <v>224.33705570258331</v>
      </c>
      <c r="E7" s="156">
        <f t="shared" ref="E7:E15" ca="1" si="0">MIN(C7,D7)</f>
        <v>75.430554851580496</v>
      </c>
      <c r="F7" s="156">
        <f t="shared" ref="F7:F15" ca="1" si="1">E7*B7</f>
        <v>60.284099437383134</v>
      </c>
      <c r="G7" s="156">
        <f ca="1">F7*(100%-'Données projet'!$C$24)*(100%-'Données projet'!$C$25)*(100%-'Données projet'!$C$26)*(100%-'Données projet'!$C$27)</f>
        <v>51.542905018962578</v>
      </c>
      <c r="H7" s="164">
        <f>IF(OR('Données projet'!B10="",'Données projet'!C10="",'Données projet'!C10=0%),0,AVERAGE(Calculateur!$AX$3:$AX$33)*B7)</f>
        <v>14.09521365234526</v>
      </c>
      <c r="I7" s="158">
        <f>H7*(100%-'Données projet'!$C$24)*(100%-'Données projet'!$C$25)*(100%-'Données projet'!$C$26)*(100%-'Données projet'!$C$27)</f>
        <v>12.051407672755197</v>
      </c>
      <c r="J7" s="159">
        <f>IF(OR('Données projet'!B10="",'Données projet'!C10="",'Données projet'!C10=0%),0,SUM(Calculateur!$AQ$3:$AQ$33)*VLOOKUP('Données projet'!$B$10,Paramètres!$A$1:$I$89,9,0)*B7)</f>
        <v>147.77655552000002</v>
      </c>
      <c r="K7" s="160">
        <f>J7*(100%-'Données projet'!$C$24)*(100%-'Données projet'!$C$25)*(100%-'Données projet'!$C$26)*(100%-'Données projet'!$C$27)</f>
        <v>126.34895496960002</v>
      </c>
      <c r="L7" s="161">
        <f t="shared" ref="L7:L15" ca="1" si="2">G7+I7+K7</f>
        <v>189.9432676613178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172.7700223054004</v>
      </c>
      <c r="G16" s="175">
        <f t="shared" ca="1" si="3"/>
        <v>147.71836907111737</v>
      </c>
      <c r="H16" s="176">
        <f t="shared" si="3"/>
        <v>41.962346065101848</v>
      </c>
      <c r="I16" s="176">
        <f t="shared" si="3"/>
        <v>35.877805885662077</v>
      </c>
      <c r="J16" s="177">
        <f t="shared" si="3"/>
        <v>444.28277088000004</v>
      </c>
      <c r="K16" s="177">
        <f t="shared" si="3"/>
        <v>379.86176910240005</v>
      </c>
      <c r="L16" s="178">
        <f t="shared" ca="1" si="3"/>
        <v>563.45794405917945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Peuplier Polargo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Peuplier Koster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F13" zoomScale="85" zoomScaleNormal="85" workbookViewId="0">
      <selection activeCell="W31" sqref="W3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Polargo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5860.9574142825531</v>
      </c>
      <c r="U10" s="190">
        <f>'Données projet'!D9</f>
        <v>1.0008000000000001</v>
      </c>
      <c r="V10" s="189">
        <f>U10*T10</f>
        <v>5865.6461802139802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Koster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3657.9024996940761</v>
      </c>
      <c r="U11" s="190">
        <f>'Données projet'!D10</f>
        <v>0.79920000000000002</v>
      </c>
      <c r="V11" s="189">
        <f t="shared" ref="V11" si="0">U11*T11</f>
        <v>2923.3956777555059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Peuplier Polargo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8" t="s">
        <v>318</v>
      </c>
      <c r="H15" s="203">
        <v>0</v>
      </c>
      <c r="I15" s="204">
        <v>500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5848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7</v>
      </c>
      <c r="B23" s="193">
        <f>'Données projet'!D36</f>
        <v>0</v>
      </c>
      <c r="C23" s="206">
        <v>0</v>
      </c>
      <c r="D23" s="194">
        <f>B23*C23</f>
        <v>0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-837.3581420305145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8</v>
      </c>
      <c r="B24" s="193">
        <f>'Données projet'!D37</f>
        <v>0</v>
      </c>
      <c r="C24" s="206">
        <v>0</v>
      </c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3553.1977869176585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9</v>
      </c>
      <c r="B25" s="193">
        <f>'Données projet'!D38</f>
        <v>0</v>
      </c>
      <c r="C25" s="206">
        <v>0</v>
      </c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150</v>
      </c>
      <c r="Q25" s="265"/>
      <c r="R25" s="25"/>
      <c r="S25" s="198" t="s">
        <v>266</v>
      </c>
      <c r="T25" s="342">
        <f ca="1">T23-T24</f>
        <v>-4390.5559289481735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10</v>
      </c>
      <c r="B26" s="193">
        <f>'Données projet'!D39</f>
        <v>0</v>
      </c>
      <c r="C26" s="206">
        <v>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11</v>
      </c>
      <c r="B27" s="193">
        <f>'Données projet'!D40</f>
        <v>0</v>
      </c>
      <c r="C27" s="206">
        <v>0</v>
      </c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12</v>
      </c>
      <c r="B28" s="193">
        <f>'Données projet'!D41</f>
        <v>0</v>
      </c>
      <c r="C28" s="206">
        <v>0</v>
      </c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13</v>
      </c>
      <c r="B29" s="193">
        <f>'Données projet'!D42</f>
        <v>0</v>
      </c>
      <c r="C29" s="206">
        <v>0</v>
      </c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14</v>
      </c>
      <c r="B30" s="193">
        <f>'Données projet'!D43</f>
        <v>0</v>
      </c>
      <c r="C30" s="206">
        <v>0</v>
      </c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1973.9987705098101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15</v>
      </c>
      <c r="B31" s="193">
        <f>'Données projet'!D44</f>
        <v>0</v>
      </c>
      <c r="C31" s="206">
        <v>0</v>
      </c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16</v>
      </c>
      <c r="B32" s="193">
        <f>'Données projet'!D45</f>
        <v>0</v>
      </c>
      <c r="C32" s="206">
        <v>0</v>
      </c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17</v>
      </c>
      <c r="B33" s="193">
        <f>'Données projet'!D46</f>
        <v>0</v>
      </c>
      <c r="C33" s="206">
        <v>0</v>
      </c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150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18</v>
      </c>
      <c r="B34" s="193">
        <f>'Données projet'!D47</f>
        <v>287.64</v>
      </c>
      <c r="C34" s="206">
        <v>45</v>
      </c>
      <c r="D34" s="194">
        <f t="shared" si="2"/>
        <v>12943.8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143.54066985645935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>
        <v>0</v>
      </c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137.35949268560705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>
        <v>0</v>
      </c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131.44449060823641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>
        <v>0</v>
      </c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125.78420153898223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>
        <v>0</v>
      </c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120.36765697510262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>
        <v>0</v>
      </c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115.18436074172502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>
        <v>0</v>
      </c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110.22426865236844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>
        <v>0</v>
      </c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105.47776904532867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>
        <v>0</v>
      </c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100.93566415820926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96.589152304506499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92.429810817709566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Peuplier Koster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88.449579729865633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84.640746152981464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80.995929332996624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77.508066347365187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74.170398418531306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70.976457816776374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67.920055327058748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str">
        <f>IF(O51+1&lt;=MIN('Données projet'!$E$9:$E$18),O51+1,"STOP")</f>
        <v>STOP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8</v>
      </c>
      <c r="B54" s="193">
        <f>'Données projet'!D62</f>
        <v>0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9</v>
      </c>
      <c r="B55" s="193">
        <f>'Données projet'!D63</f>
        <v>0</v>
      </c>
      <c r="C55" s="204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10</v>
      </c>
      <c r="B56" s="193">
        <f>'Données projet'!D64</f>
        <v>0</v>
      </c>
      <c r="C56" s="204">
        <v>0</v>
      </c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11</v>
      </c>
      <c r="B57" s="193">
        <f>'Données projet'!D65</f>
        <v>0</v>
      </c>
      <c r="C57" s="204">
        <v>0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12</v>
      </c>
      <c r="B58" s="193">
        <f>'Données projet'!D66</f>
        <v>0</v>
      </c>
      <c r="C58" s="204">
        <v>0</v>
      </c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13</v>
      </c>
      <c r="B59" s="193">
        <f>'Données projet'!D67</f>
        <v>0</v>
      </c>
      <c r="C59" s="204">
        <v>0</v>
      </c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14</v>
      </c>
      <c r="B60" s="193">
        <f>'Données projet'!D68</f>
        <v>0</v>
      </c>
      <c r="C60" s="204">
        <v>0</v>
      </c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15</v>
      </c>
      <c r="B61" s="193">
        <f>'Données projet'!D69</f>
        <v>0</v>
      </c>
      <c r="C61" s="204">
        <v>0</v>
      </c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16</v>
      </c>
      <c r="B62" s="193">
        <f>'Données projet'!D70</f>
        <v>0</v>
      </c>
      <c r="C62" s="204">
        <v>0</v>
      </c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17</v>
      </c>
      <c r="B63" s="193">
        <f>'Données projet'!D71</f>
        <v>0</v>
      </c>
      <c r="C63" s="204">
        <v>0</v>
      </c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18</v>
      </c>
      <c r="B64" s="193">
        <f>'Données projet'!D72</f>
        <v>179.52</v>
      </c>
      <c r="C64" s="204">
        <v>45</v>
      </c>
      <c r="D64" s="191">
        <f t="shared" si="4"/>
        <v>8078.4000000000005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>
        <v>0</v>
      </c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>
        <v>0</v>
      </c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>
        <v>0</v>
      </c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>
        <v>0</v>
      </c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>
        <v>0</v>
      </c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>
        <v>0</v>
      </c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>
        <v>0</v>
      </c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>
        <v>0</v>
      </c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>
        <v>0</v>
      </c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 - C+for (CNPF)</cp:lastModifiedBy>
  <dcterms:created xsi:type="dcterms:W3CDTF">2021-02-01T08:22:39Z</dcterms:created>
  <dcterms:modified xsi:type="dcterms:W3CDTF">2024-12-17T16:39:05Z</dcterms:modified>
</cp:coreProperties>
</file>