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Maxime PASTAUD/Laluque/2.Dossier_LBC_déposé/"/>
    </mc:Choice>
  </mc:AlternateContent>
  <xr:revisionPtr revIDLastSave="0" documentId="14_{55A1C4EC-418D-4843-9207-A19CA170DDF0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BR4" i="2"/>
  <c r="BQ4" i="2"/>
  <c r="FR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B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V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X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B156" i="2"/>
  <c r="EX156" i="2"/>
  <c r="FS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A157" i="2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B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HH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B175" i="2" l="1"/>
  <c r="A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HH185" i="2"/>
  <c r="HI185" i="2"/>
  <c r="EW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FQ195" i="2"/>
  <c r="A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H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H201" i="2" l="1"/>
  <c r="EB201" i="2"/>
  <c r="FS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CS77" i="2" a="1"/>
  <c r="CS77" i="2" s="1"/>
  <c r="AH90" i="2" a="1"/>
  <c r="AH90" i="2" s="1"/>
  <c r="AH19" i="2" a="1"/>
  <c r="AH19" i="2" s="1"/>
  <c r="AH163" i="2" a="1"/>
  <c r="AH163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14" i="2" a="1"/>
  <c r="CS114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AH151" i="2" l="1" a="1"/>
  <c r="AH151" i="2" s="1"/>
  <c r="DN132" i="2" a="1"/>
  <c r="DN132" i="2" s="1"/>
  <c r="DN188" i="2" a="1"/>
  <c r="DN188" i="2" s="1"/>
  <c r="FY133" i="2" a="1"/>
  <c r="FY133" i="2" s="1"/>
  <c r="DN162" i="2" a="1"/>
  <c r="DN162" i="2" s="1"/>
  <c r="DN177" i="2" a="1"/>
  <c r="DN177" i="2" s="1"/>
  <c r="FY79" i="2" a="1"/>
  <c r="FY79" i="2" s="1"/>
  <c r="FY149" i="2" a="1"/>
  <c r="FY149" i="2" s="1"/>
  <c r="DN137" i="2" a="1"/>
  <c r="DN137" i="2" s="1"/>
  <c r="DN167" i="2" a="1"/>
  <c r="DN167" i="2" s="1"/>
  <c r="DN30" i="2" a="1"/>
  <c r="DN30" i="2" s="1"/>
  <c r="FY115" i="2" a="1"/>
  <c r="FY115" i="2" s="1"/>
  <c r="FY164" i="2" a="1"/>
  <c r="FY164" i="2" s="1"/>
  <c r="DN49" i="2" a="1"/>
  <c r="DN49" i="2" s="1"/>
  <c r="DN115" i="2" a="1"/>
  <c r="DN115" i="2" s="1"/>
  <c r="DN176" i="2" a="1"/>
  <c r="DN176" i="2" s="1"/>
  <c r="FY121" i="2" a="1"/>
  <c r="FY121" i="2" s="1"/>
  <c r="DN153" i="2" a="1"/>
  <c r="DN153" i="2" s="1"/>
  <c r="FY24" i="2" a="1"/>
  <c r="FY24" i="2" s="1"/>
  <c r="FY78" i="2" a="1"/>
  <c r="FY78" i="2" s="1"/>
  <c r="FY191" i="2" a="1"/>
  <c r="FY191" i="2" s="1"/>
  <c r="FY35" i="2" a="1"/>
  <c r="FY35" i="2" s="1"/>
  <c r="DN187" i="2" a="1"/>
  <c r="DN187" i="2" s="1"/>
  <c r="DN190" i="2" a="1"/>
  <c r="DN190" i="2" s="1"/>
  <c r="DN135" i="2" a="1"/>
  <c r="DN135" i="2" s="1"/>
  <c r="BC84" i="2" a="1"/>
  <c r="BC84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DN133" i="2" a="1"/>
  <c r="DN133" i="2" s="1"/>
  <c r="DN38" i="2" a="1"/>
  <c r="DN38" i="2" s="1"/>
  <c r="BC32" i="2" a="1"/>
  <c r="BC32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29" i="2" a="1"/>
  <c r="DN29" i="2" s="1"/>
  <c r="DN41" i="2" a="1"/>
  <c r="DN41" i="2" s="1"/>
  <c r="FY173" i="2" a="1"/>
  <c r="FY173" i="2" s="1"/>
  <c r="DN43" i="2" a="1"/>
  <c r="DN43" i="2" s="1"/>
  <c r="FY140" i="2" a="1"/>
  <c r="FY140" i="2" s="1"/>
  <c r="DN186" i="2" a="1"/>
  <c r="DN186" i="2" s="1"/>
  <c r="FY47" i="2" a="1"/>
  <c r="FY47" i="2" s="1"/>
  <c r="DN124" i="2" a="1"/>
  <c r="DN124" i="2" s="1"/>
  <c r="FY116" i="2" a="1"/>
  <c r="FY116" i="2" s="1"/>
  <c r="FS203" i="2"/>
  <c r="DN16" i="2" a="1"/>
  <c r="DN16" i="2" s="1"/>
  <c r="FY34" i="2" a="1"/>
  <c r="FY34" i="2" s="1"/>
  <c r="DN46" i="2" a="1"/>
  <c r="DN46" i="2" s="1"/>
  <c r="FY58" i="2" a="1"/>
  <c r="FY58" i="2" s="1"/>
  <c r="FY29" i="2" a="1"/>
  <c r="FY29" i="2" s="1"/>
  <c r="DN65" i="2" a="1"/>
  <c r="DN65" i="2" s="1"/>
  <c r="FY62" i="2" a="1"/>
  <c r="FY62" i="2" s="1"/>
  <c r="FY32" i="2" a="1"/>
  <c r="FY32" i="2" s="1"/>
  <c r="CS72" i="2" a="1"/>
  <c r="CS72" i="2" s="1"/>
  <c r="DN70" i="2" a="1"/>
  <c r="DN70" i="2" s="1"/>
  <c r="CS56" i="2" a="1"/>
  <c r="CS56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86" i="2" a="1"/>
  <c r="DN86" i="2" s="1"/>
  <c r="FY126" i="2" a="1"/>
  <c r="FY126" i="2" s="1"/>
  <c r="DN114" i="2" a="1"/>
  <c r="DN114" i="2" s="1"/>
  <c r="FY159" i="2" a="1"/>
  <c r="FY159" i="2" s="1"/>
  <c r="DN103" i="2" a="1"/>
  <c r="DN103" i="2" s="1"/>
  <c r="FY28" i="2" a="1"/>
  <c r="FY28" i="2" s="1"/>
  <c r="DN164" i="2" a="1"/>
  <c r="DN164" i="2" s="1"/>
  <c r="BX107" i="2" a="1"/>
  <c r="BX107" i="2" s="1"/>
  <c r="DN50" i="2" a="1"/>
  <c r="DN50" i="2" s="1"/>
  <c r="FY102" i="2" a="1"/>
  <c r="FY102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FY109" i="2" a="1"/>
  <c r="FY109" i="2" s="1"/>
  <c r="FY86" i="2" a="1"/>
  <c r="FY86" i="2" s="1"/>
  <c r="FY188" i="2" a="1"/>
  <c r="FY188" i="2" s="1"/>
  <c r="FY143" i="2" a="1"/>
  <c r="FY143" i="2" s="1"/>
  <c r="FY80" i="2" a="1"/>
  <c r="FY80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<sst xmlns="http://schemas.openxmlformats.org/spreadsheetml/2006/main" count="1171" uniqueCount="324">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</sst>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2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8" zoomScale="80" zoomScaleNormal="80" workbookViewId="0">
      <selection activeCell="J22" sqref="J22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12.92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0.67</v>
      </c>
      <c r="D9" s="33">
        <f t="shared" ref="D9:D18" si="0">C9*$C$5</f>
        <v>8.6563999999999997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138</v>
      </c>
      <c r="C10" s="32">
        <v>0.33</v>
      </c>
      <c r="D10" s="33">
        <f t="shared" si="0"/>
        <v>4.2636000000000003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12.92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14</v>
      </c>
      <c r="B62" s="60">
        <v>113.33076923076922</v>
      </c>
      <c r="C62" s="60">
        <v>1</v>
      </c>
      <c r="D62" s="60">
        <v>35.969230769230769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8.0950549450549438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19</v>
      </c>
      <c r="B63" s="60">
        <v>169.6</v>
      </c>
      <c r="C63" s="60">
        <v>2</v>
      </c>
      <c r="D63" s="60">
        <v>54.907692307692301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>IF(A63&lt;&gt;0,(B63-(B62-D62))/(A63-A62),"")</f>
        <v>18.447692307692307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25</v>
      </c>
      <c r="B64" s="60">
        <v>219.8153846153846</v>
      </c>
      <c r="C64" s="60">
        <v>3</v>
      </c>
      <c r="D64" s="60">
        <v>52.9</v>
      </c>
      <c r="E64" s="51">
        <v>0</v>
      </c>
      <c r="F64" s="51">
        <v>0.56000000000000005</v>
      </c>
      <c r="G64" s="51">
        <v>0.44</v>
      </c>
      <c r="H64" s="51">
        <v>0</v>
      </c>
      <c r="I64" s="49">
        <f>IF(A64&lt;&gt;0,(B64-(B63-D63))/(A64-A63),"")</f>
        <v>17.520512820512817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32</v>
      </c>
      <c r="B65" s="60">
        <v>282.48461538461538</v>
      </c>
      <c r="C65" s="60">
        <v>4</v>
      </c>
      <c r="D65" s="60">
        <v>63.899999999999991</v>
      </c>
      <c r="E65" s="51">
        <v>0</v>
      </c>
      <c r="F65" s="51">
        <v>0.56000000000000005</v>
      </c>
      <c r="G65" s="51">
        <v>0.44</v>
      </c>
      <c r="H65" s="51">
        <v>0</v>
      </c>
      <c r="I65" s="49">
        <f>IF(A65&lt;&gt;0,(B65-(B64-D64))/(A65-A64),"")</f>
        <v>16.509890109890112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45</v>
      </c>
      <c r="B66" s="60">
        <v>412.49230769230769</v>
      </c>
      <c r="C66" s="60">
        <v>5</v>
      </c>
      <c r="D66" s="60">
        <v>412.49230769230769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14.915976331360945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260.51637945828395</v>
      </c>
      <c r="T3" s="59">
        <f>IF('Données projet'!E9&gt;30,$R$33-$H$33,LOOKUP('Données projet'!$E$9,$A$3:$A$203,R3:R203)-LOOKUP('Données projet'!$E$9,$A$3:$A$203,$H$3:$H$203))</f>
        <v>382.46224100713982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260.51637945828395</v>
      </c>
      <c r="AO3" s="59">
        <f>IF('Données projet'!E10&gt;30,$AM$33-$H$33,LOOKUP('Données projet'!$E$10,$A$3:$A$203,AM3:AM203)-LOOKUP('Données projet'!$E$10,$A$3:$A$203,$H$3:$H$203))</f>
        <v>382.46224100713982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169.9594716282291</v>
      </c>
      <c r="S4" s="59">
        <f ca="1">AVERAGE(OFFSET($R$3,0,0,'Données projet'!$E$9+1,1))-AVERAGE(OFFSET($H$3,0,0,'Données projet'!$E$9+1,1))</f>
        <v>260.51637945828395</v>
      </c>
      <c r="T4" s="59">
        <f>$T$3</f>
        <v>382.46224100713982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8.0950549450549438</v>
      </c>
      <c r="AI4" s="13">
        <f>IF('Données projet'!$A$62&gt;35,AI3+AH4-AQ3,IF(A4&lt;'Données projet'!$A$62,$AF$205^A4,IF(A4='Données projet'!$A$62,'Données projet'!$B$62,AI3+AH4-AQ3)))</f>
        <v>1.401971325755863</v>
      </c>
      <c r="AJ4" s="13">
        <f>AI4*VLOOKUP('Données projet'!$B$10,Paramètres!$A$1:$I$89,3,0)*VLOOKUP('Données projet'!$B$10,Paramètres!$A$1:$I$89,5,0)</f>
        <v>0.83837885280200608</v>
      </c>
      <c r="AK4" s="13">
        <f>EXP(-1.0587+0.8836*LN(AJ4)+0.284)</f>
        <v>0.39437005167947581</v>
      </c>
      <c r="AL4" s="20">
        <f t="shared" ref="AL4:AL67" si="4">(AJ4+AK4)*0.475*44/12</f>
        <v>2.1470376753052474</v>
      </c>
      <c r="AM4" s="59">
        <f t="shared" ref="AM4:AM67" si="5">AL4+(AD4+AE4)*44/12</f>
        <v>169.9594716282291</v>
      </c>
      <c r="AN4" s="59">
        <f ca="1">AVERAGE(OFFSET($AM$3,0,0,'Données projet'!$E$10+1,1))-AVERAGE(OFFSET($H$3,0,0,'Données projet'!$E$10+1,1))</f>
        <v>260.51637945828395</v>
      </c>
      <c r="AO4" s="59">
        <f>$AO$3</f>
        <v>382.46224100713982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173.57022923015569</v>
      </c>
      <c r="S5" s="59">
        <f ca="1">AVERAGE(OFFSET($R$3,0,0,'Données projet'!$E$9+1,1))-AVERAGE(OFFSET($H$3,0,0,'Données projet'!$E$9+1,1))</f>
        <v>260.51637945828395</v>
      </c>
      <c r="T5" s="59">
        <f t="shared" ref="T5:T68" si="34">$T$3</f>
        <v>382.46224100713982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8.0950549450549438</v>
      </c>
      <c r="AI5" s="13">
        <f>IF('Données projet'!$A$62&gt;35,AI4+AH5-AQ4,IF(A5&lt;'Données projet'!$A$62,$AF$205^A5,IF(A5='Données projet'!$A$62,'Données projet'!$B$62,AI4+AH5-AQ4)))</f>
        <v>1.9655235982416521</v>
      </c>
      <c r="AJ5" s="13">
        <f>AI5*VLOOKUP('Données projet'!$B$10,Paramètres!$A$1:$I$89,3,0)*VLOOKUP('Données projet'!$B$10,Paramètres!$A$1:$I$89,5,0)</f>
        <v>1.1753831117485081</v>
      </c>
      <c r="AK5" s="13">
        <f t="shared" ref="AK5:AK68" si="35">EXP(-1.0587+0.8836*LN(AJ5)+0.284)</f>
        <v>0.53157264479972777</v>
      </c>
      <c r="AL5" s="20">
        <f t="shared" si="4"/>
        <v>2.972947942654844</v>
      </c>
      <c r="AM5" s="59">
        <f t="shared" si="5"/>
        <v>173.57022923015569</v>
      </c>
      <c r="AN5" s="59">
        <f ca="1">AVERAGE(OFFSET($AM$3,0,0,'Données projet'!$E$10+1,1))-AVERAGE(OFFSET($H$3,0,0,'Données projet'!$E$10+1,1))</f>
        <v>260.51637945828395</v>
      </c>
      <c r="AO5" s="59">
        <f t="shared" ref="AO5:AO68" si="36">$AO$3</f>
        <v>382.46224100713982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177.47295083575275</v>
      </c>
      <c r="S6" s="59">
        <f ca="1">AVERAGE(OFFSET($R$3,0,0,'Données projet'!$E$9+1,1))-AVERAGE(OFFSET($H$3,0,0,'Données projet'!$E$9+1,1))</f>
        <v>260.51637945828395</v>
      </c>
      <c r="T6" s="59">
        <f t="shared" si="34"/>
        <v>382.46224100713982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8.0950549450549438</v>
      </c>
      <c r="AI6" s="13">
        <f>IF('Données projet'!$A$62&gt;35,AI5+AH6-AQ5,IF(A6&lt;'Données projet'!$A$62,$AF$205^A6,IF(A6='Données projet'!$A$62,'Données projet'!$B$62,AI5+AH6-AQ5)))</f>
        <v>2.7556077248312834</v>
      </c>
      <c r="AJ6" s="13">
        <f>AI6*VLOOKUP('Données projet'!$B$10,Paramètres!$A$1:$I$89,3,0)*VLOOKUP('Données projet'!$B$10,Paramètres!$A$1:$I$89,5,0)</f>
        <v>1.6478534194491075</v>
      </c>
      <c r="AK6" s="13">
        <f t="shared" si="35"/>
        <v>0.71650845569033161</v>
      </c>
      <c r="AL6" s="20">
        <f t="shared" si="4"/>
        <v>4.117930265867856</v>
      </c>
      <c r="AM6" s="59">
        <f t="shared" si="5"/>
        <v>177.47295083575275</v>
      </c>
      <c r="AN6" s="59">
        <f ca="1">AVERAGE(OFFSET($AM$3,0,0,'Données projet'!$E$10+1,1))-AVERAGE(OFFSET($H$3,0,0,'Données projet'!$E$10+1,1))</f>
        <v>260.51637945828395</v>
      </c>
      <c r="AO6" s="59">
        <f t="shared" si="36"/>
        <v>382.46224100713982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181.79186955156314</v>
      </c>
      <c r="S7" s="59">
        <f ca="1">AVERAGE(OFFSET($R$3,0,0,'Données projet'!$E$9+1,1))-AVERAGE(OFFSET($H$3,0,0,'Données projet'!$E$9+1,1))</f>
        <v>260.51637945828395</v>
      </c>
      <c r="T7" s="59">
        <f t="shared" si="34"/>
        <v>382.46224100713982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8.0950549450549438</v>
      </c>
      <c r="AI7" s="13">
        <f>IF('Données projet'!$A$62&gt;35,AI6+AH7-AQ6,IF(A7&lt;'Données projet'!$A$62,$AF$205^A7,IF(A7='Données projet'!$A$62,'Données projet'!$B$62,AI6+AH7-AQ6)))</f>
        <v>3.8632830152448117</v>
      </c>
      <c r="AJ7" s="13">
        <f>AI7*VLOOKUP('Données projet'!$B$10,Paramètres!$A$1:$I$89,3,0)*VLOOKUP('Données projet'!$B$10,Paramètres!$A$1:$I$89,5,0)</f>
        <v>2.3102432431163975</v>
      </c>
      <c r="AK7" s="13">
        <f t="shared" si="35"/>
        <v>0.96578402236850169</v>
      </c>
      <c r="AL7" s="20">
        <f t="shared" si="4"/>
        <v>5.7057474873861986</v>
      </c>
      <c r="AM7" s="59">
        <f t="shared" si="5"/>
        <v>181.79186955156314</v>
      </c>
      <c r="AN7" s="59">
        <f ca="1">AVERAGE(OFFSET($AM$3,0,0,'Données projet'!$E$10+1,1))-AVERAGE(OFFSET($H$3,0,0,'Données projet'!$E$10+1,1))</f>
        <v>260.51637945828395</v>
      </c>
      <c r="AO7" s="59">
        <f t="shared" si="36"/>
        <v>382.46224100713982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186.6993956239275</v>
      </c>
      <c r="S8" s="59">
        <f ca="1">AVERAGE(OFFSET($R$3,0,0,'Données projet'!$E$9+1,1))-AVERAGE(OFFSET($H$3,0,0,'Données projet'!$E$9+1,1))</f>
        <v>260.51637945828395</v>
      </c>
      <c r="T8" s="59">
        <f t="shared" si="34"/>
        <v>382.46224100713982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8.0950549450549438</v>
      </c>
      <c r="AI8" s="13">
        <f>IF('Données projet'!$A$62&gt;35,AI7+AH8-AQ7,IF(A8&lt;'Données projet'!$A$62,$AF$205^A8,IF(A8='Données projet'!$A$62,'Données projet'!$B$62,AI7+AH8-AQ7)))</f>
        <v>5.4162120106528766</v>
      </c>
      <c r="AJ8" s="13">
        <f>AI8*VLOOKUP('Données projet'!$B$10,Paramètres!$A$1:$I$89,3,0)*VLOOKUP('Données projet'!$B$10,Paramètres!$A$1:$I$89,5,0)</f>
        <v>3.2388947823704202</v>
      </c>
      <c r="AK8" s="13">
        <f t="shared" si="35"/>
        <v>1.301783350154075</v>
      </c>
      <c r="AL8" s="20">
        <f t="shared" si="4"/>
        <v>7.9083477474801613</v>
      </c>
      <c r="AM8" s="59">
        <f t="shared" si="5"/>
        <v>186.6993956239275</v>
      </c>
      <c r="AN8" s="59">
        <f ca="1">AVERAGE(OFFSET($AM$3,0,0,'Données projet'!$E$10+1,1))-AVERAGE(OFFSET($H$3,0,0,'Données projet'!$E$10+1,1))</f>
        <v>260.51637945828395</v>
      </c>
      <c r="AO8" s="59">
        <f t="shared" si="36"/>
        <v>382.46224100713982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192.43494163199631</v>
      </c>
      <c r="S9" s="59">
        <f ca="1">AVERAGE(OFFSET($R$3,0,0,'Données projet'!$E$9+1,1))-AVERAGE(OFFSET($H$3,0,0,'Données projet'!$E$9+1,1))</f>
        <v>260.51637945828395</v>
      </c>
      <c r="T9" s="59">
        <f t="shared" si="34"/>
        <v>382.46224100713982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8.0950549450549438</v>
      </c>
      <c r="AI9" s="13">
        <f>IF('Données projet'!$A$62&gt;35,AI8+AH9-AQ8,IF(A9&lt;'Données projet'!$A$62,$AF$205^A9,IF(A9='Données projet'!$A$62,'Données projet'!$B$62,AI8+AH9-AQ8)))</f>
        <v>7.5933739331498415</v>
      </c>
      <c r="AJ9" s="13">
        <f>AI9*VLOOKUP('Données projet'!$B$10,Paramètres!$A$1:$I$89,3,0)*VLOOKUP('Données projet'!$B$10,Paramètres!$A$1:$I$89,5,0)</f>
        <v>4.5408376120236058</v>
      </c>
      <c r="AK9" s="13">
        <f t="shared" si="35"/>
        <v>1.7546779108877884</v>
      </c>
      <c r="AL9" s="20">
        <f t="shared" si="4"/>
        <v>10.964689535737344</v>
      </c>
      <c r="AM9" s="59">
        <f t="shared" si="5"/>
        <v>192.43494163199631</v>
      </c>
      <c r="AN9" s="59">
        <f ca="1">AVERAGE(OFFSET($AM$3,0,0,'Données projet'!$E$10+1,1))-AVERAGE(OFFSET($H$3,0,0,'Données projet'!$E$10+1,1))</f>
        <v>260.51637945828395</v>
      </c>
      <c r="AO9" s="59">
        <f t="shared" si="36"/>
        <v>382.46224100713982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199.33112553018725</v>
      </c>
      <c r="S10" s="59">
        <f ca="1">AVERAGE(OFFSET($R$3,0,0,'Données projet'!$E$9+1,1))-AVERAGE(OFFSET($H$3,0,0,'Données projet'!$E$9+1,1))</f>
        <v>260.51637945828395</v>
      </c>
      <c r="T10" s="59">
        <f t="shared" si="34"/>
        <v>382.46224100713982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8.0950549450549438</v>
      </c>
      <c r="AI10" s="13">
        <f>IF('Données projet'!$A$62&gt;35,AI9+AH10-AQ9,IF(A10&lt;'Données projet'!$A$62,$AF$205^A10,IF(A10='Données projet'!$A$62,'Données projet'!$B$62,AI9+AH10-AQ9)))</f>
        <v>10.645692520018095</v>
      </c>
      <c r="AJ10" s="13">
        <f>AI10*VLOOKUP('Données projet'!$B$10,Paramètres!$A$1:$I$89,3,0)*VLOOKUP('Données projet'!$B$10,Paramètres!$A$1:$I$89,5,0)</f>
        <v>6.3661241269708215</v>
      </c>
      <c r="AK10" s="13">
        <f t="shared" si="35"/>
        <v>2.3651359272594203</v>
      </c>
      <c r="AL10" s="20">
        <f t="shared" si="4"/>
        <v>15.206944594451004</v>
      </c>
      <c r="AM10" s="59">
        <f t="shared" si="5"/>
        <v>199.33112553018725</v>
      </c>
      <c r="AN10" s="59">
        <f ca="1">AVERAGE(OFFSET($AM$3,0,0,'Données projet'!$E$10+1,1))-AVERAGE(OFFSET($H$3,0,0,'Données projet'!$E$10+1,1))</f>
        <v>260.51637945828395</v>
      </c>
      <c r="AO10" s="59">
        <f t="shared" si="36"/>
        <v>382.46224100713982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207.85025137427084</v>
      </c>
      <c r="S11" s="59">
        <f ca="1">AVERAGE(OFFSET($R$3,0,0,'Données projet'!$E$9+1,1))-AVERAGE(OFFSET($H$3,0,0,'Données projet'!$E$9+1,1))</f>
        <v>260.51637945828395</v>
      </c>
      <c r="T11" s="59">
        <f t="shared" si="34"/>
        <v>382.46224100713982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8.0950549450549438</v>
      </c>
      <c r="AI11" s="13">
        <f>IF('Données projet'!$A$62&gt;35,AI10+AH11-AQ10,IF(A11&lt;'Données projet'!$A$62,$AF$205^A11,IF(A11='Données projet'!$A$62,'Données projet'!$B$62,AI10+AH11-AQ10)))</f>
        <v>14.924955655879044</v>
      </c>
      <c r="AJ11" s="13">
        <f>AI11*VLOOKUP('Données projet'!$B$10,Paramètres!$A$1:$I$89,3,0)*VLOOKUP('Données projet'!$B$10,Paramètres!$A$1:$I$89,5,0)</f>
        <v>8.9251234822156693</v>
      </c>
      <c r="AK11" s="13">
        <f t="shared" si="35"/>
        <v>3.1879742257557866</v>
      </c>
      <c r="AL11" s="20">
        <f t="shared" si="4"/>
        <v>21.096978508050285</v>
      </c>
      <c r="AM11" s="59">
        <f t="shared" si="5"/>
        <v>207.85025137427084</v>
      </c>
      <c r="AN11" s="59">
        <f ca="1">AVERAGE(OFFSET($AM$3,0,0,'Données projet'!$E$10+1,1))-AVERAGE(OFFSET($H$3,0,0,'Données projet'!$E$10+1,1))</f>
        <v>260.51637945828395</v>
      </c>
      <c r="AO11" s="59">
        <f t="shared" si="36"/>
        <v>382.46224100713982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218.63511030575464</v>
      </c>
      <c r="S12" s="59">
        <f ca="1">AVERAGE(OFFSET($R$3,0,0,'Données projet'!$E$9+1,1))-AVERAGE(OFFSET($H$3,0,0,'Données projet'!$E$9+1,1))</f>
        <v>260.51637945828395</v>
      </c>
      <c r="T12" s="59">
        <f t="shared" si="34"/>
        <v>382.46224100713982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8.0950549450549438</v>
      </c>
      <c r="AI12" s="13">
        <f>IF('Données projet'!$A$62&gt;35,AI11+AH12-AQ11,IF(A12&lt;'Données projet'!$A$62,$AF$205^A12,IF(A12='Données projet'!$A$62,'Données projet'!$B$62,AI11+AH12-AQ11)))</f>
        <v>20.924359867720209</v>
      </c>
      <c r="AJ12" s="13">
        <f>AI12*VLOOKUP('Données projet'!$B$10,Paramètres!$A$1:$I$89,3,0)*VLOOKUP('Données projet'!$B$10,Paramètres!$A$1:$I$89,5,0)</f>
        <v>12.512767200896686</v>
      </c>
      <c r="AK12" s="13">
        <f t="shared" si="35"/>
        <v>4.2970805808441188</v>
      </c>
      <c r="AL12" s="20">
        <f t="shared" si="4"/>
        <v>29.277151553198568</v>
      </c>
      <c r="AM12" s="59">
        <f t="shared" si="5"/>
        <v>218.63511030575464</v>
      </c>
      <c r="AN12" s="59">
        <f ca="1">AVERAGE(OFFSET($AM$3,0,0,'Données projet'!$E$10+1,1))-AVERAGE(OFFSET($H$3,0,0,'Données projet'!$E$10+1,1))</f>
        <v>260.51637945828395</v>
      </c>
      <c r="AO12" s="59">
        <f t="shared" si="36"/>
        <v>382.46224100713982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232.57973848826813</v>
      </c>
      <c r="S13" s="59">
        <f ca="1">AVERAGE(OFFSET($R$3,0,0,'Données projet'!$E$9+1,1))-AVERAGE(OFFSET($H$3,0,0,'Données projet'!$E$9+1,1))</f>
        <v>260.51637945828395</v>
      </c>
      <c r="T13" s="59">
        <f t="shared" si="34"/>
        <v>382.46224100713982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8.0950549450549438</v>
      </c>
      <c r="AI13" s="13">
        <f>IF('Données projet'!$A$62&gt;35,AI12+AH13-AQ12,IF(A13&lt;'Données projet'!$A$62,$AF$205^A13,IF(A13='Données projet'!$A$62,'Données projet'!$B$62,AI12+AH13-AQ12)))</f>
        <v>29.335352544340477</v>
      </c>
      <c r="AJ13" s="13">
        <f>AI13*VLOOKUP('Données projet'!$B$10,Paramètres!$A$1:$I$89,3,0)*VLOOKUP('Données projet'!$B$10,Paramètres!$A$1:$I$89,5,0)</f>
        <v>17.542540821515608</v>
      </c>
      <c r="AK13" s="13">
        <f t="shared" si="35"/>
        <v>5.7920485583254955</v>
      </c>
      <c r="AL13" s="20">
        <f t="shared" si="4"/>
        <v>40.641076503223253</v>
      </c>
      <c r="AM13" s="59">
        <f t="shared" si="5"/>
        <v>232.57973848826813</v>
      </c>
      <c r="AN13" s="59">
        <f ca="1">AVERAGE(OFFSET($AM$3,0,0,'Données projet'!$E$10+1,1))-AVERAGE(OFFSET($H$3,0,0,'Données projet'!$E$10+1,1))</f>
        <v>260.51637945828395</v>
      </c>
      <c r="AO13" s="59">
        <f t="shared" si="36"/>
        <v>382.46224100713982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250.92799285556819</v>
      </c>
      <c r="S14" s="59">
        <f ca="1">AVERAGE(OFFSET($R$3,0,0,'Données projet'!$E$9+1,1))-AVERAGE(OFFSET($H$3,0,0,'Données projet'!$E$9+1,1))</f>
        <v>260.51637945828395</v>
      </c>
      <c r="T14" s="59">
        <f t="shared" si="34"/>
        <v>382.46224100713982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8.0950549450549438</v>
      </c>
      <c r="AI14" s="13">
        <f>IF('Données projet'!$A$62&gt;35,AI13+AH14-AQ13,IF(A14&lt;'Données projet'!$A$62,$AF$205^A14,IF(A14='Données projet'!$A$62,'Données projet'!$B$62,AI13+AH14-AQ13)))</f>
        <v>41.127323098104647</v>
      </c>
      <c r="AJ14" s="13">
        <f>AI14*VLOOKUP('Données projet'!$B$10,Paramètres!$A$1:$I$89,3,0)*VLOOKUP('Données projet'!$B$10,Paramètres!$A$1:$I$89,5,0)</f>
        <v>24.59413921266658</v>
      </c>
      <c r="AK14" s="13">
        <f t="shared" si="35"/>
        <v>7.8071206417568018</v>
      </c>
      <c r="AL14" s="20">
        <f t="shared" si="4"/>
        <v>56.432194246454053</v>
      </c>
      <c r="AM14" s="59">
        <f t="shared" si="5"/>
        <v>250.92799285556819</v>
      </c>
      <c r="AN14" s="59">
        <f ca="1">AVERAGE(OFFSET($AM$3,0,0,'Données projet'!$E$10+1,1))-AVERAGE(OFFSET($H$3,0,0,'Données projet'!$E$10+1,1))</f>
        <v>260.51637945828395</v>
      </c>
      <c r="AO14" s="59">
        <f t="shared" si="36"/>
        <v>382.46224100713982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275.41090926673314</v>
      </c>
      <c r="S15" s="59">
        <f ca="1">AVERAGE(OFFSET($R$3,0,0,'Données projet'!$E$9+1,1))-AVERAGE(OFFSET($H$3,0,0,'Données projet'!$E$9+1,1))</f>
        <v>260.51637945828395</v>
      </c>
      <c r="T15" s="59">
        <f t="shared" si="34"/>
        <v>382.46224100713982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8.0950549450549438</v>
      </c>
      <c r="AI15" s="13">
        <f>IF('Données projet'!$A$62&gt;35,AI14+AH15-AQ14,IF(A15&lt;'Données projet'!$A$62,$AF$205^A15,IF(A15='Données projet'!$A$62,'Données projet'!$B$62,AI14+AH15-AQ14)))</f>
        <v>57.6593276886395</v>
      </c>
      <c r="AJ15" s="13">
        <f>AI15*VLOOKUP('Données projet'!$B$10,Paramètres!$A$1:$I$89,3,0)*VLOOKUP('Données projet'!$B$10,Paramètres!$A$1:$I$89,5,0)</f>
        <v>34.480277957806422</v>
      </c>
      <c r="AK15" s="13">
        <f t="shared" si="35"/>
        <v>10.523242700949725</v>
      </c>
      <c r="AL15" s="20">
        <f t="shared" si="4"/>
        <v>78.381131814000284</v>
      </c>
      <c r="AM15" s="59">
        <f t="shared" si="5"/>
        <v>275.41090926673314</v>
      </c>
      <c r="AN15" s="59">
        <f ca="1">AVERAGE(OFFSET($AM$3,0,0,'Données projet'!$E$10+1,1))-AVERAGE(OFFSET($H$3,0,0,'Données projet'!$E$10+1,1))</f>
        <v>260.51637945828395</v>
      </c>
      <c r="AO15" s="59">
        <f t="shared" si="36"/>
        <v>382.46224100713982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308.43813949409821</v>
      </c>
      <c r="S16" s="59">
        <f ca="1">AVERAGE(OFFSET($R$3,0,0,'Données projet'!$E$9+1,1))-AVERAGE(OFFSET($H$3,0,0,'Données projet'!$E$9+1,1))</f>
        <v>260.51637945828395</v>
      </c>
      <c r="T16" s="59">
        <f t="shared" si="34"/>
        <v>382.46224100713982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8.0950549450549438</v>
      </c>
      <c r="AI16" s="13">
        <f>IF('Données projet'!$A$62&gt;35,AI15+AH16-AQ15,IF(A16&lt;'Données projet'!$A$62,$AF$205^A16,IF(A16='Données projet'!$A$62,'Données projet'!$B$62,AI15+AH16-AQ15)))</f>
        <v>80.836724081833665</v>
      </c>
      <c r="AJ16" s="13">
        <f>AI16*VLOOKUP('Données projet'!$B$10,Paramètres!$A$1:$I$89,3,0)*VLOOKUP('Données projet'!$B$10,Paramètres!$A$1:$I$89,5,0)</f>
        <v>48.340361000936532</v>
      </c>
      <c r="AK16" s="13">
        <f t="shared" si="35"/>
        <v>14.184312248333937</v>
      </c>
      <c r="AL16" s="20">
        <f t="shared" si="4"/>
        <v>108.8971392424794</v>
      </c>
      <c r="AM16" s="59">
        <f t="shared" si="5"/>
        <v>308.43813949409821</v>
      </c>
      <c r="AN16" s="59">
        <f ca="1">AVERAGE(OFFSET($AM$3,0,0,'Données projet'!$E$10+1,1))-AVERAGE(OFFSET($H$3,0,0,'Données projet'!$E$10+1,1))</f>
        <v>260.51637945828395</v>
      </c>
      <c r="AO16" s="59">
        <f t="shared" si="36"/>
        <v>382.46224100713982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353.36481026141701</v>
      </c>
      <c r="S17" s="59">
        <f ca="1">AVERAGE(OFFSET($R$3,0,0,'Données projet'!$E$9+1,1))-AVERAGE(OFFSET($H$3,0,0,'Données projet'!$E$9+1,1))</f>
        <v>260.51637945828395</v>
      </c>
      <c r="T17" s="59">
        <f t="shared" si="34"/>
        <v>382.46224100713982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113.33076923076922</v>
      </c>
      <c r="AG17" s="12">
        <f>VLOOKUP(A17,'Données projet'!$A$61:$I$81,9,0)</f>
        <v>8.0950549450549438</v>
      </c>
      <c r="AH17" s="12">
        <f t="array" ref="AH17">INDEX(AG:AG,MIN(IF(ISNUMBER(AG17:AG213),ROW(AG17:AG213),"")))</f>
        <v>8.0950549450549438</v>
      </c>
      <c r="AI17" s="13">
        <f>IF('Données projet'!$A$62&gt;35,AI16+AH17-AQ16,IF(A17&lt;'Données projet'!$A$62,$AF$205^A17,IF(A17='Données projet'!$A$62,'Données projet'!$B$62,AI16+AH17-AQ16)))</f>
        <v>113.33076923076922</v>
      </c>
      <c r="AJ17" s="13">
        <f>AI17*VLOOKUP('Données projet'!$B$10,Paramètres!$A$1:$I$89,3,0)*VLOOKUP('Données projet'!$B$10,Paramètres!$A$1:$I$89,5,0)</f>
        <v>67.771799999999999</v>
      </c>
      <c r="AK17" s="13">
        <f t="shared" si="35"/>
        <v>19.119079515297894</v>
      </c>
      <c r="AL17" s="20">
        <f t="shared" si="4"/>
        <v>151.33494848914384</v>
      </c>
      <c r="AM17" s="59">
        <f t="shared" si="5"/>
        <v>353.36481026141701</v>
      </c>
      <c r="AN17" s="59">
        <f ca="1">AVERAGE(OFFSET($AM$3,0,0,'Données projet'!$E$10+1,1))-AVERAGE(OFFSET($H$3,0,0,'Données projet'!$E$10+1,1))</f>
        <v>260.51637945828395</v>
      </c>
      <c r="AO17" s="59">
        <f t="shared" si="36"/>
        <v>382.46224100713982</v>
      </c>
      <c r="AP17" s="15">
        <f>IF(ISNA(VLOOKUP(A17,'Données projet'!$A$61:$I$81,3,0)),0,VLOOKUP(A17,'Données projet'!$A$61:$I$81,3,0))</f>
        <v>1</v>
      </c>
      <c r="AQ17" s="15">
        <f>IF(ISNA(VLOOKUP(A17,'Données projet'!$A$61:$I$81,4,0)),0,VLOOKUP(A17,'Données projet'!$A$61:$I$81,4,0))</f>
        <v>35.969230769230769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0.25200000000000006</v>
      </c>
      <c r="AT17" s="16">
        <f>IF(ISNA(VLOOKUP(A17,'Données projet'!$A$61:$I$81,7,0)),0%,VLOOKUP(A17,'Données projet'!$A$61:$I$81,7,0))</f>
        <v>0.44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7.1622235664490104</v>
      </c>
      <c r="AW17" s="21">
        <f>EXP(-LN(2)/2)*AW16+(1-EXP(-LN(2)/2))/(LN(2)/2)*AQ17*AT17*VLOOKUP('Données projet'!$B$10,Paramètres!$A$1:$I$89,3,0)*0.475*44/12</f>
        <v>10.715700083825119</v>
      </c>
      <c r="AX17" s="21">
        <f t="shared" si="6"/>
        <v>17.877923650274131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332.99026394776229</v>
      </c>
      <c r="S18" s="59">
        <f ca="1">AVERAGE(OFFSET($R$3,0,0,'Données projet'!$E$9+1,1))-AVERAGE(OFFSET($H$3,0,0,'Données projet'!$E$9+1,1))</f>
        <v>260.51637945828395</v>
      </c>
      <c r="T18" s="59">
        <f t="shared" si="34"/>
        <v>382.46224100713982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18.447692307692307</v>
      </c>
      <c r="AI18" s="13">
        <f>IF('Données projet'!$A$62&gt;35,AI17+AH18-AQ17,IF(A18&lt;'Données projet'!$A$62,$AF$205^A18,IF(A18='Données projet'!$A$62,'Données projet'!$B$62,AI17+AH18-AQ17)))</f>
        <v>95.809230769230766</v>
      </c>
      <c r="AJ18" s="13">
        <f>AI18*VLOOKUP('Données projet'!$B$10,Paramètres!$A$1:$I$89,3,0)*VLOOKUP('Données projet'!$B$10,Paramètres!$A$1:$I$89,5,0)</f>
        <v>57.29392</v>
      </c>
      <c r="AK18" s="13">
        <f t="shared" si="35"/>
        <v>16.482260295625579</v>
      </c>
      <c r="AL18" s="20">
        <f t="shared" si="4"/>
        <v>128.49351401488121</v>
      </c>
      <c r="AM18" s="59">
        <f t="shared" si="5"/>
        <v>332.99026394776229</v>
      </c>
      <c r="AN18" s="59">
        <f ca="1">AVERAGE(OFFSET($AM$3,0,0,'Données projet'!$E$10+1,1))-AVERAGE(OFFSET($H$3,0,0,'Données projet'!$E$10+1,1))</f>
        <v>260.51637945828395</v>
      </c>
      <c r="AO18" s="59">
        <f t="shared" si="36"/>
        <v>382.46224100713982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6.9663721863794947</v>
      </c>
      <c r="AW18" s="21">
        <f>EXP(-LN(2)/2)*AW17+(1-EXP(-LN(2)/2))/(LN(2)/2)*AQ18*AT18*VLOOKUP('Données projet'!$B$10,Paramètres!$A$1:$I$89,3,0)*0.475*44/12</f>
        <v>7.5771441944339983</v>
      </c>
      <c r="AX18" s="21">
        <f t="shared" si="6"/>
        <v>14.543516380813493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359.48193408974458</v>
      </c>
      <c r="S19" s="59">
        <f ca="1">AVERAGE(OFFSET($R$3,0,0,'Données projet'!$E$9+1,1))-AVERAGE(OFFSET($H$3,0,0,'Données projet'!$E$9+1,1))</f>
        <v>260.51637945828395</v>
      </c>
      <c r="T19" s="59">
        <f t="shared" si="34"/>
        <v>382.46224100713982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18.447692307692307</v>
      </c>
      <c r="AI19" s="13">
        <f>IF('Données projet'!$A$62&gt;35,AI18+AH19-AQ18,IF(A19&lt;'Données projet'!$A$62,$AF$205^A19,IF(A19='Données projet'!$A$62,'Données projet'!$B$62,AI18+AH19-AQ18)))</f>
        <v>114.25692307692307</v>
      </c>
      <c r="AJ19" s="13">
        <f>AI19*VLOOKUP('Données projet'!$B$10,Paramètres!$A$1:$I$89,3,0)*VLOOKUP('Données projet'!$B$10,Paramètres!$A$1:$I$89,5,0)</f>
        <v>68.325640000000007</v>
      </c>
      <c r="AK19" s="13">
        <f t="shared" si="35"/>
        <v>19.257070909644309</v>
      </c>
      <c r="AL19" s="20">
        <f t="shared" si="4"/>
        <v>152.53988816763052</v>
      </c>
      <c r="AM19" s="59">
        <f t="shared" si="5"/>
        <v>359.48193408974458</v>
      </c>
      <c r="AN19" s="59">
        <f ca="1">AVERAGE(OFFSET($AM$3,0,0,'Données projet'!$E$10+1,1))-AVERAGE(OFFSET($H$3,0,0,'Données projet'!$E$10+1,1))</f>
        <v>260.51637945828395</v>
      </c>
      <c r="AO19" s="59">
        <f t="shared" si="36"/>
        <v>382.46224100713982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6.7758763725973559</v>
      </c>
      <c r="AW19" s="21">
        <f>EXP(-LN(2)/2)*AW18+(1-EXP(-LN(2)/2))/(LN(2)/2)*AQ19*AT19*VLOOKUP('Données projet'!$B$10,Paramètres!$A$1:$I$89,3,0)*0.475*44/12</f>
        <v>5.3578500419125605</v>
      </c>
      <c r="AX19" s="21">
        <f t="shared" si="6"/>
        <v>12.133726414509916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385.86199431495811</v>
      </c>
      <c r="S20" s="59">
        <f ca="1">AVERAGE(OFFSET($R$3,0,0,'Données projet'!$E$9+1,1))-AVERAGE(OFFSET($H$3,0,0,'Données projet'!$E$9+1,1))</f>
        <v>260.51637945828395</v>
      </c>
      <c r="T20" s="59">
        <f t="shared" si="34"/>
        <v>382.46224100713982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18.447692307692307</v>
      </c>
      <c r="AI20" s="13">
        <f>IF('Données projet'!$A$62&gt;35,AI19+AH20-AQ19,IF(A20&lt;'Données projet'!$A$62,$AF$205^A20,IF(A20='Données projet'!$A$62,'Données projet'!$B$62,AI19+AH20-AQ19)))</f>
        <v>132.70461538461538</v>
      </c>
      <c r="AJ20" s="13">
        <f>AI20*VLOOKUP('Données projet'!$B$10,Paramètres!$A$1:$I$89,3,0)*VLOOKUP('Données projet'!$B$10,Paramètres!$A$1:$I$89,5,0)</f>
        <v>79.35736</v>
      </c>
      <c r="AK20" s="13">
        <f t="shared" si="35"/>
        <v>21.979981626269101</v>
      </c>
      <c r="AL20" s="20">
        <f t="shared" si="4"/>
        <v>176.49586999908536</v>
      </c>
      <c r="AM20" s="59">
        <f t="shared" si="5"/>
        <v>385.86199431495811</v>
      </c>
      <c r="AN20" s="59">
        <f ca="1">AVERAGE(OFFSET($AM$3,0,0,'Données projet'!$E$10+1,1))-AVERAGE(OFFSET($H$3,0,0,'Données projet'!$E$10+1,1))</f>
        <v>260.51637945828395</v>
      </c>
      <c r="AO20" s="59">
        <f t="shared" si="36"/>
        <v>382.46224100713982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6.5905896768608292</v>
      </c>
      <c r="AW20" s="21">
        <f>EXP(-LN(2)/2)*AW19+(1-EXP(-LN(2)/2))/(LN(2)/2)*AQ20*AT20*VLOOKUP('Données projet'!$B$10,Paramètres!$A$1:$I$89,3,0)*0.475*44/12</f>
        <v>3.7885720972169996</v>
      </c>
      <c r="AX20" s="21">
        <f t="shared" si="6"/>
        <v>10.379161774077829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412.14482563481556</v>
      </c>
      <c r="S21" s="59">
        <f ca="1">AVERAGE(OFFSET($R$3,0,0,'Données projet'!$E$9+1,1))-AVERAGE(OFFSET($H$3,0,0,'Données projet'!$E$9+1,1))</f>
        <v>260.51637945828395</v>
      </c>
      <c r="T21" s="59">
        <f t="shared" si="34"/>
        <v>382.46224100713982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18.447692307692307</v>
      </c>
      <c r="AI21" s="13">
        <f>IF('Données projet'!$A$62&gt;35,AI20+AH21-AQ20,IF(A21&lt;'Données projet'!$A$62,$AF$205^A21,IF(A21='Données projet'!$A$62,'Données projet'!$B$62,AI20+AH21-AQ20)))</f>
        <v>151.15230769230769</v>
      </c>
      <c r="AJ21" s="13">
        <f>AI21*VLOOKUP('Données projet'!$B$10,Paramètres!$A$1:$I$89,3,0)*VLOOKUP('Données projet'!$B$10,Paramètres!$A$1:$I$89,5,0)</f>
        <v>90.389080000000007</v>
      </c>
      <c r="AK21" s="13">
        <f t="shared" si="35"/>
        <v>24.659038148983221</v>
      </c>
      <c r="AL21" s="20">
        <f t="shared" si="4"/>
        <v>200.37547244281245</v>
      </c>
      <c r="AM21" s="59">
        <f t="shared" si="5"/>
        <v>412.14482563481556</v>
      </c>
      <c r="AN21" s="59">
        <f ca="1">AVERAGE(OFFSET($AM$3,0,0,'Données projet'!$E$10+1,1))-AVERAGE(OFFSET($H$3,0,0,'Données projet'!$E$10+1,1))</f>
        <v>260.51637945828395</v>
      </c>
      <c r="AO21" s="59">
        <f t="shared" si="36"/>
        <v>382.46224100713982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6.4103696555630219</v>
      </c>
      <c r="AW21" s="21">
        <f>EXP(-LN(2)/2)*AW20+(1-EXP(-LN(2)/2))/(LN(2)/2)*AQ21*AT21*VLOOKUP('Données projet'!$B$10,Paramètres!$A$1:$I$89,3,0)*0.475*44/12</f>
        <v>2.6789250209562807</v>
      </c>
      <c r="AX21" s="21">
        <f t="shared" si="6"/>
        <v>9.0892946765193017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438.34117817582489</v>
      </c>
      <c r="S22" s="59">
        <f ca="1">AVERAGE(OFFSET($R$3,0,0,'Données projet'!$E$9+1,1))-AVERAGE(OFFSET($H$3,0,0,'Données projet'!$E$9+1,1))</f>
        <v>260.51637945828395</v>
      </c>
      <c r="T22" s="59">
        <f t="shared" si="34"/>
        <v>382.46224100713982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169.6</v>
      </c>
      <c r="AG22" s="12">
        <f>VLOOKUP(A22,'Données projet'!$A$61:$I$81,9,0)</f>
        <v>18.447692307692307</v>
      </c>
      <c r="AH22" s="12">
        <f t="array" ref="AH22">INDEX(AG:AG,MIN(IF(ISNUMBER(AG22:AG218),ROW(AG22:AG218),"")))</f>
        <v>18.447692307692307</v>
      </c>
      <c r="AI22" s="13">
        <f>IF('Données projet'!$A$62&gt;35,AI21+AH22-AQ21,IF(A22&lt;'Données projet'!$A$62,$AF$205^A22,IF(A22='Données projet'!$A$62,'Données projet'!$B$62,AI21+AH22-AQ21)))</f>
        <v>169.6</v>
      </c>
      <c r="AJ22" s="13">
        <f>AI22*VLOOKUP('Données projet'!$B$10,Paramètres!$A$1:$I$89,3,0)*VLOOKUP('Données projet'!$B$10,Paramètres!$A$1:$I$89,5,0)</f>
        <v>101.42080000000001</v>
      </c>
      <c r="AK22" s="13">
        <f t="shared" si="35"/>
        <v>27.300205128881174</v>
      </c>
      <c r="AL22" s="20">
        <f t="shared" si="4"/>
        <v>224.1890839328014</v>
      </c>
      <c r="AM22" s="59">
        <f t="shared" si="5"/>
        <v>438.34117817582489</v>
      </c>
      <c r="AN22" s="59">
        <f ca="1">AVERAGE(OFFSET($AM$3,0,0,'Données projet'!$E$10+1,1))-AVERAGE(OFFSET($H$3,0,0,'Données projet'!$E$10+1,1))</f>
        <v>260.51637945828395</v>
      </c>
      <c r="AO22" s="59">
        <f t="shared" si="36"/>
        <v>382.46224100713982</v>
      </c>
      <c r="AP22" s="15">
        <f>IF(ISNA(VLOOKUP(A22,'Données projet'!$A$61:$I$81,3,0)),0,VLOOKUP(A22,'Données projet'!$A$61:$I$81,3,0))</f>
        <v>2</v>
      </c>
      <c r="AQ22" s="15">
        <f>IF(ISNA(VLOOKUP(A22,'Données projet'!$A$61:$I$81,4,0)),0,VLOOKUP(A22,'Données projet'!$A$61:$I$81,4,0))</f>
        <v>54.907692307692301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17.168343760505763</v>
      </c>
      <c r="AW22" s="21">
        <f>EXP(-LN(2)/2)*AW21+(1-EXP(-LN(2)/2))/(LN(2)/2)*AQ22*AT22*VLOOKUP('Données projet'!$B$10,Paramètres!$A$1:$I$89,3,0)*0.475*44/12</f>
        <v>18.251999307450181</v>
      </c>
      <c r="AX22" s="21">
        <f t="shared" si="6"/>
        <v>35.42034306795594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392.37297699149337</v>
      </c>
      <c r="S23" s="59">
        <f ca="1">AVERAGE(OFFSET($R$3,0,0,'Données projet'!$E$9+1,1))-AVERAGE(OFFSET($H$3,0,0,'Données projet'!$E$9+1,1))</f>
        <v>260.51637945828395</v>
      </c>
      <c r="T23" s="59">
        <f t="shared" si="34"/>
        <v>382.46224100713982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17.520512820512817</v>
      </c>
      <c r="AI23" s="13">
        <f>IF('Données projet'!$A$62&gt;35,AI22+AH23-AQ22,IF(A23&lt;'Données projet'!$A$62,$AF$205^A23,IF(A23='Données projet'!$A$62,'Données projet'!$B$62,AI22+AH23-AQ22)))</f>
        <v>132.21282051282049</v>
      </c>
      <c r="AJ23" s="13">
        <f>AI23*VLOOKUP('Données projet'!$B$10,Paramètres!$A$1:$I$89,3,0)*VLOOKUP('Données projet'!$B$10,Paramètres!$A$1:$I$89,5,0)</f>
        <v>79.063266666666664</v>
      </c>
      <c r="AK23" s="13">
        <f t="shared" si="35"/>
        <v>21.907991192432455</v>
      </c>
      <c r="AL23" s="20">
        <f t="shared" si="4"/>
        <v>175.85827410459763</v>
      </c>
      <c r="AM23" s="59">
        <f t="shared" si="5"/>
        <v>392.37297699149337</v>
      </c>
      <c r="AN23" s="59">
        <f ca="1">AVERAGE(OFFSET($AM$3,0,0,'Données projet'!$E$10+1,1))-AVERAGE(OFFSET($H$3,0,0,'Données projet'!$E$10+1,1))</f>
        <v>260.51637945828395</v>
      </c>
      <c r="AO23" s="59">
        <f t="shared" si="36"/>
        <v>382.46224100713982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16.698874497530774</v>
      </c>
      <c r="AW23" s="21">
        <f>EXP(-LN(2)/2)*AW22+(1-EXP(-LN(2)/2))/(LN(2)/2)*AQ23*AT23*VLOOKUP('Données projet'!$B$10,Paramètres!$A$1:$I$89,3,0)*0.475*44/12</f>
        <v>12.906112480510192</v>
      </c>
      <c r="AX23" s="21">
        <f t="shared" si="6"/>
        <v>29.604986978040966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417.39866859366907</v>
      </c>
      <c r="S24" s="59">
        <f ca="1">AVERAGE(OFFSET($R$3,0,0,'Données projet'!$E$9+1,1))-AVERAGE(OFFSET($H$3,0,0,'Données projet'!$E$9+1,1))</f>
        <v>260.51637945828395</v>
      </c>
      <c r="T24" s="59">
        <f t="shared" si="34"/>
        <v>382.46224100713982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17.520512820512817</v>
      </c>
      <c r="AI24" s="13">
        <f>IF('Données projet'!$A$62&gt;35,AI23+AH24-AQ23,IF(A24&lt;'Données projet'!$A$62,$AF$205^A24,IF(A24='Données projet'!$A$62,'Données projet'!$B$62,AI23+AH24-AQ23)))</f>
        <v>149.73333333333329</v>
      </c>
      <c r="AJ24" s="13">
        <f>AI24*VLOOKUP('Données projet'!$B$10,Paramètres!$A$1:$I$89,3,0)*VLOOKUP('Données projet'!$B$10,Paramètres!$A$1:$I$89,5,0)</f>
        <v>89.540533333333315</v>
      </c>
      <c r="AK24" s="13">
        <f t="shared" si="35"/>
        <v>24.454379710376543</v>
      </c>
      <c r="AL24" s="20">
        <f t="shared" si="4"/>
        <v>198.54114021779466</v>
      </c>
      <c r="AM24" s="59">
        <f t="shared" si="5"/>
        <v>417.39866859366907</v>
      </c>
      <c r="AN24" s="59">
        <f ca="1">AVERAGE(OFFSET($AM$3,0,0,'Données projet'!$E$10+1,1))-AVERAGE(OFFSET($H$3,0,0,'Données projet'!$E$10+1,1))</f>
        <v>260.51637945828395</v>
      </c>
      <c r="AO24" s="59">
        <f t="shared" si="36"/>
        <v>382.46224100713982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16.24224289624015</v>
      </c>
      <c r="AW24" s="21">
        <f>EXP(-LN(2)/2)*AW23+(1-EXP(-LN(2)/2))/(LN(2)/2)*AQ24*AT24*VLOOKUP('Données projet'!$B$10,Paramètres!$A$1:$I$89,3,0)*0.475*44/12</f>
        <v>9.1259996537250903</v>
      </c>
      <c r="AX24" s="21">
        <f t="shared" si="6"/>
        <v>25.368242549965238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442.34478027658577</v>
      </c>
      <c r="S25" s="59">
        <f ca="1">AVERAGE(OFFSET($R$3,0,0,'Données projet'!$E$9+1,1))-AVERAGE(OFFSET($H$3,0,0,'Données projet'!$E$9+1,1))</f>
        <v>260.51637945828395</v>
      </c>
      <c r="T25" s="59">
        <f t="shared" si="34"/>
        <v>382.46224100713982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17.520512820512817</v>
      </c>
      <c r="AI25" s="13">
        <f>IF('Données projet'!$A$62&gt;35,AI24+AH25-AQ24,IF(A25&lt;'Données projet'!$A$62,$AF$205^A25,IF(A25='Données projet'!$A$62,'Données projet'!$B$62,AI24+AH25-AQ24)))</f>
        <v>167.2538461538461</v>
      </c>
      <c r="AJ25" s="13">
        <f>AI25*VLOOKUP('Données projet'!$B$10,Paramètres!$A$1:$I$89,3,0)*VLOOKUP('Données projet'!$B$10,Paramètres!$A$1:$I$89,5,0)</f>
        <v>100.01779999999998</v>
      </c>
      <c r="AK25" s="13">
        <f t="shared" si="35"/>
        <v>26.966238108966916</v>
      </c>
      <c r="AL25" s="20">
        <f t="shared" si="4"/>
        <v>221.16386637311734</v>
      </c>
      <c r="AM25" s="59">
        <f t="shared" si="5"/>
        <v>442.34478027658577</v>
      </c>
      <c r="AN25" s="59">
        <f ca="1">AVERAGE(OFFSET($AM$3,0,0,'Données projet'!$E$10+1,1))-AVERAGE(OFFSET($H$3,0,0,'Données projet'!$E$10+1,1))</f>
        <v>260.51637945828395</v>
      </c>
      <c r="AO25" s="59">
        <f t="shared" si="36"/>
        <v>382.46224100713982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15.798097910100031</v>
      </c>
      <c r="AW25" s="21">
        <f>EXP(-LN(2)/2)*AW24+(1-EXP(-LN(2)/2))/(LN(2)/2)*AQ25*AT25*VLOOKUP('Données projet'!$B$10,Paramètres!$A$1:$I$89,3,0)*0.475*44/12</f>
        <v>6.4530562402550959</v>
      </c>
      <c r="AX25" s="21">
        <f t="shared" si="6"/>
        <v>22.251154150355127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467.2186668921089</v>
      </c>
      <c r="S26" s="59">
        <f ca="1">AVERAGE(OFFSET($R$3,0,0,'Données projet'!$E$9+1,1))-AVERAGE(OFFSET($H$3,0,0,'Données projet'!$E$9+1,1))</f>
        <v>260.51637945828395</v>
      </c>
      <c r="T26" s="59">
        <f t="shared" si="34"/>
        <v>382.46224100713982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17.520512820512817</v>
      </c>
      <c r="AI26" s="13">
        <f>IF('Données projet'!$A$62&gt;35,AI25+AH26-AQ25,IF(A26&lt;'Données projet'!$A$62,$AF$205^A26,IF(A26='Données projet'!$A$62,'Données projet'!$B$62,AI25+AH26-AQ25)))</f>
        <v>184.7743589743589</v>
      </c>
      <c r="AJ26" s="13">
        <f>AI26*VLOOKUP('Données projet'!$B$10,Paramètres!$A$1:$I$89,3,0)*VLOOKUP('Données projet'!$B$10,Paramètres!$A$1:$I$89,5,0)</f>
        <v>110.49506666666665</v>
      </c>
      <c r="AK26" s="13">
        <f t="shared" si="35"/>
        <v>29.447595639110826</v>
      </c>
      <c r="AL26" s="20">
        <f t="shared" si="4"/>
        <v>243.73347018256243</v>
      </c>
      <c r="AM26" s="59">
        <f t="shared" si="5"/>
        <v>467.2186668921089</v>
      </c>
      <c r="AN26" s="59">
        <f ca="1">AVERAGE(OFFSET($AM$3,0,0,'Données projet'!$E$10+1,1))-AVERAGE(OFFSET($H$3,0,0,'Données projet'!$E$10+1,1))</f>
        <v>260.51637945828395</v>
      </c>
      <c r="AO26" s="59">
        <f t="shared" si="36"/>
        <v>382.46224100713982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15.366098091962483</v>
      </c>
      <c r="AW26" s="21">
        <f>EXP(-LN(2)/2)*AW25+(1-EXP(-LN(2)/2))/(LN(2)/2)*AQ26*AT26*VLOOKUP('Données projet'!$B$10,Paramètres!$A$1:$I$89,3,0)*0.475*44/12</f>
        <v>4.5629998268625451</v>
      </c>
      <c r="AX26" s="21">
        <f t="shared" si="6"/>
        <v>19.929097918825029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492.02627000147265</v>
      </c>
      <c r="S27" s="59">
        <f ca="1">AVERAGE(OFFSET($R$3,0,0,'Données projet'!$E$9+1,1))-AVERAGE(OFFSET($H$3,0,0,'Données projet'!$E$9+1,1))</f>
        <v>260.51637945828395</v>
      </c>
      <c r="T27" s="59">
        <f t="shared" si="34"/>
        <v>382.46224100713982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17.520512820512817</v>
      </c>
      <c r="AI27" s="13">
        <f>IF('Données projet'!$A$62&gt;35,AI26+AH27-AQ26,IF(A27&lt;'Données projet'!$A$62,$AF$205^A27,IF(A27='Données projet'!$A$62,'Données projet'!$B$62,AI26+AH27-AQ26)))</f>
        <v>202.29487179487171</v>
      </c>
      <c r="AJ27" s="13">
        <f>AI27*VLOOKUP('Données projet'!$B$10,Paramètres!$A$1:$I$89,3,0)*VLOOKUP('Données projet'!$B$10,Paramètres!$A$1:$I$89,5,0)</f>
        <v>120.9723333333333</v>
      </c>
      <c r="AK27" s="13">
        <f t="shared" si="35"/>
        <v>31.901673452036796</v>
      </c>
      <c r="AL27" s="20">
        <f t="shared" si="4"/>
        <v>266.25556181785288</v>
      </c>
      <c r="AM27" s="59">
        <f t="shared" si="5"/>
        <v>492.02627000147265</v>
      </c>
      <c r="AN27" s="59">
        <f ca="1">AVERAGE(OFFSET($AM$3,0,0,'Données projet'!$E$10+1,1))-AVERAGE(OFFSET($H$3,0,0,'Données projet'!$E$10+1,1))</f>
        <v>260.51637945828395</v>
      </c>
      <c r="AO27" s="59">
        <f t="shared" si="36"/>
        <v>382.46224100713982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14.945911331569789</v>
      </c>
      <c r="AW27" s="21">
        <f>EXP(-LN(2)/2)*AW26+(1-EXP(-LN(2)/2))/(LN(2)/2)*AQ27*AT27*VLOOKUP('Données projet'!$B$10,Paramètres!$A$1:$I$89,3,0)*0.475*44/12</f>
        <v>3.226528120127548</v>
      </c>
      <c r="AX27" s="21">
        <f t="shared" si="6"/>
        <v>18.172439451697336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516.77249809188913</v>
      </c>
      <c r="S28" s="59">
        <f ca="1">AVERAGE(OFFSET($R$3,0,0,'Données projet'!$E$9+1,1))-AVERAGE(OFFSET($H$3,0,0,'Données projet'!$E$9+1,1))</f>
        <v>260.51637945828395</v>
      </c>
      <c r="T28" s="59">
        <f t="shared" si="34"/>
        <v>382.46224100713982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219.8153846153846</v>
      </c>
      <c r="AG28" s="12">
        <f>VLOOKUP(A28,'Données projet'!$A$61:$I$81,9,0)</f>
        <v>17.520512820512817</v>
      </c>
      <c r="AH28" s="12">
        <f t="array" ref="AH28">INDEX(AG:AG,MIN(IF(ISNUMBER(AG28:AG224),ROW(AG28:AG224),"")))</f>
        <v>17.520512820512817</v>
      </c>
      <c r="AI28" s="13">
        <f>IF('Données projet'!$A$62&gt;35,AI27+AH28-AQ27,IF(A28&lt;'Données projet'!$A$62,$AF$205^A28,IF(A28='Données projet'!$A$62,'Données projet'!$B$62,AI27+AH28-AQ27)))</f>
        <v>219.81538461538452</v>
      </c>
      <c r="AJ28" s="13">
        <f>AI28*VLOOKUP('Données projet'!$B$10,Paramètres!$A$1:$I$89,3,0)*VLOOKUP('Données projet'!$B$10,Paramètres!$A$1:$I$89,5,0)</f>
        <v>131.44959999999995</v>
      </c>
      <c r="AK28" s="13">
        <f t="shared" si="35"/>
        <v>34.331102847209827</v>
      </c>
      <c r="AL28" s="20">
        <f t="shared" si="4"/>
        <v>288.73472412555702</v>
      </c>
      <c r="AM28" s="59">
        <f t="shared" si="5"/>
        <v>516.77249809188913</v>
      </c>
      <c r="AN28" s="59">
        <f ca="1">AVERAGE(OFFSET($AM$3,0,0,'Données projet'!$E$10+1,1))-AVERAGE(OFFSET($H$3,0,0,'Données projet'!$E$10+1,1))</f>
        <v>260.51637945828395</v>
      </c>
      <c r="AO28" s="59">
        <f t="shared" si="36"/>
        <v>382.46224100713982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52.9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0.25200000000000006</v>
      </c>
      <c r="AT28" s="16">
        <f>IF(ISNA(VLOOKUP(A28,'Données projet'!$A$61:$I$81,7,0)),0%,VLOOKUP(A28,'Données projet'!$A$61:$I$81,7,0))</f>
        <v>0.44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25.070707214965065</v>
      </c>
      <c r="AW28" s="21">
        <f>EXP(-LN(2)/2)*AW27+(1-EXP(-LN(2)/2))/(LN(2)/2)*AQ28*AT28*VLOOKUP('Données projet'!$B$10,Paramètres!$A$1:$I$89,3,0)*0.475*44/12</f>
        <v>18.041095609852434</v>
      </c>
      <c r="AX28" s="21">
        <f t="shared" si="6"/>
        <v>43.111802824817502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472.28407146855039</v>
      </c>
      <c r="S29" s="59">
        <f ca="1">AVERAGE(OFFSET($R$3,0,0,'Données projet'!$E$9+1,1))-AVERAGE(OFFSET($H$3,0,0,'Données projet'!$E$9+1,1))</f>
        <v>260.51637945828395</v>
      </c>
      <c r="T29" s="59">
        <f t="shared" si="34"/>
        <v>382.46224100713982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16.509890109890112</v>
      </c>
      <c r="AI29" s="13">
        <f>IF('Données projet'!$A$62&gt;35,AI28+AH29-AQ28,IF(A29&lt;'Données projet'!$A$62,$AF$205^A29,IF(A29='Données projet'!$A$62,'Données projet'!$B$62,AI28+AH29-AQ28)))</f>
        <v>183.42527472527462</v>
      </c>
      <c r="AJ29" s="13">
        <f>AI29*VLOOKUP('Données projet'!$B$10,Paramètres!$A$1:$I$89,3,0)*VLOOKUP('Données projet'!$B$10,Paramètres!$A$1:$I$89,5,0)</f>
        <v>109.68831428571424</v>
      </c>
      <c r="AK29" s="13">
        <f t="shared" si="35"/>
        <v>29.257536864157657</v>
      </c>
      <c r="AL29" s="20">
        <f t="shared" si="4"/>
        <v>241.99735741936021</v>
      </c>
      <c r="AM29" s="59">
        <f t="shared" si="5"/>
        <v>472.28407146855039</v>
      </c>
      <c r="AN29" s="59">
        <f ca="1">AVERAGE(OFFSET($AM$3,0,0,'Données projet'!$E$10+1,1))-AVERAGE(OFFSET($H$3,0,0,'Données projet'!$E$10+1,1))</f>
        <v>260.51637945828395</v>
      </c>
      <c r="AO29" s="59">
        <f t="shared" si="36"/>
        <v>382.46224100713982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24.385147407760652</v>
      </c>
      <c r="AW29" s="21">
        <f>EXP(-LN(2)/2)*AW28+(1-EXP(-LN(2)/2))/(LN(2)/2)*AQ29*AT29*VLOOKUP('Données projet'!$B$10,Paramètres!$A$1:$I$89,3,0)*0.475*44/12</f>
        <v>12.756981045761508</v>
      </c>
      <c r="AX29" s="21">
        <f t="shared" si="6"/>
        <v>37.142128453522162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495.74266615636253</v>
      </c>
      <c r="S30" s="59">
        <f ca="1">AVERAGE(OFFSET($R$3,0,0,'Données projet'!$E$9+1,1))-AVERAGE(OFFSET($H$3,0,0,'Données projet'!$E$9+1,1))</f>
        <v>260.51637945828395</v>
      </c>
      <c r="T30" s="59">
        <f t="shared" si="34"/>
        <v>382.46224100713982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16.509890109890112</v>
      </c>
      <c r="AI30" s="13">
        <f>IF('Données projet'!$A$62&gt;35,AI29+AH30-AQ29,IF(A30&lt;'Données projet'!$A$62,$AF$205^A30,IF(A30='Données projet'!$A$62,'Données projet'!$B$62,AI29+AH30-AQ29)))</f>
        <v>199.93516483516473</v>
      </c>
      <c r="AJ30" s="13">
        <f>AI30*VLOOKUP('Données projet'!$B$10,Paramètres!$A$1:$I$89,3,0)*VLOOKUP('Données projet'!$B$10,Paramètres!$A$1:$I$89,5,0)</f>
        <v>119.56122857142852</v>
      </c>
      <c r="AK30" s="13">
        <f t="shared" si="35"/>
        <v>31.572641256590096</v>
      </c>
      <c r="AL30" s="20">
        <f t="shared" si="4"/>
        <v>263.22482328379903</v>
      </c>
      <c r="AM30" s="59">
        <f t="shared" si="5"/>
        <v>495.74266615636253</v>
      </c>
      <c r="AN30" s="59">
        <f ca="1">AVERAGE(OFFSET($AM$3,0,0,'Données projet'!$E$10+1,1))-AVERAGE(OFFSET($H$3,0,0,'Données projet'!$E$10+1,1))</f>
        <v>260.51637945828395</v>
      </c>
      <c r="AO30" s="59">
        <f t="shared" si="36"/>
        <v>382.46224100713982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23.718334269536268</v>
      </c>
      <c r="AW30" s="21">
        <f>EXP(-LN(2)/2)*AW29+(1-EXP(-LN(2)/2))/(LN(2)/2)*AQ30*AT30*VLOOKUP('Données projet'!$B$10,Paramètres!$A$1:$I$89,3,0)*0.475*44/12</f>
        <v>9.0205478049262169</v>
      </c>
      <c r="AX30" s="21">
        <f t="shared" si="6"/>
        <v>32.738882074462481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519.14514152557501</v>
      </c>
      <c r="S31" s="59">
        <f ca="1">AVERAGE(OFFSET($R$3,0,0,'Données projet'!$E$9+1,1))-AVERAGE(OFFSET($H$3,0,0,'Données projet'!$E$9+1,1))</f>
        <v>260.51637945828395</v>
      </c>
      <c r="T31" s="59">
        <f t="shared" si="34"/>
        <v>382.46224100713982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16.509890109890112</v>
      </c>
      <c r="AI31" s="13">
        <f>IF('Données projet'!$A$62&gt;35,AI30+AH31-AQ30,IF(A31&lt;'Données projet'!$A$62,$AF$205^A31,IF(A31='Données projet'!$A$62,'Données projet'!$B$62,AI30+AH31-AQ30)))</f>
        <v>216.44505494505484</v>
      </c>
      <c r="AJ31" s="13">
        <f>AI31*VLOOKUP('Données projet'!$B$10,Paramètres!$A$1:$I$89,3,0)*VLOOKUP('Données projet'!$B$10,Paramètres!$A$1:$I$89,5,0)</f>
        <v>129.4341428571428</v>
      </c>
      <c r="AK31" s="13">
        <f t="shared" si="35"/>
        <v>33.865573183196446</v>
      </c>
      <c r="AL31" s="20">
        <f t="shared" si="4"/>
        <v>284.4136721035909</v>
      </c>
      <c r="AM31" s="59">
        <f t="shared" si="5"/>
        <v>519.14514152557501</v>
      </c>
      <c r="AN31" s="59">
        <f ca="1">AVERAGE(OFFSET($AM$3,0,0,'Données projet'!$E$10+1,1))-AVERAGE(OFFSET($H$3,0,0,'Données projet'!$E$10+1,1))</f>
        <v>260.51637945828395</v>
      </c>
      <c r="AO31" s="59">
        <f t="shared" si="36"/>
        <v>382.46224100713982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23.069755171642807</v>
      </c>
      <c r="AW31" s="21">
        <f>EXP(-LN(2)/2)*AW30+(1-EXP(-LN(2)/2))/(LN(2)/2)*AQ31*AT31*VLOOKUP('Données projet'!$B$10,Paramètres!$A$1:$I$89,3,0)*0.475*44/12</f>
        <v>6.378490522880754</v>
      </c>
      <c r="AX31" s="21">
        <f t="shared" si="6"/>
        <v>29.44824569452356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542.49508173517188</v>
      </c>
      <c r="S32" s="59">
        <f ca="1">AVERAGE(OFFSET($R$3,0,0,'Données projet'!$E$9+1,1))-AVERAGE(OFFSET($H$3,0,0,'Données projet'!$E$9+1,1))</f>
        <v>260.51637945828395</v>
      </c>
      <c r="T32" s="59">
        <f t="shared" si="34"/>
        <v>382.46224100713982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16.509890109890112</v>
      </c>
      <c r="AI32" s="13">
        <f>IF('Données projet'!$A$62&gt;35,AI31+AH32-AQ31,IF(A32&lt;'Données projet'!$A$62,$AF$205^A32,IF(A32='Données projet'!$A$62,'Données projet'!$B$62,AI31+AH32-AQ31)))</f>
        <v>232.95494505494494</v>
      </c>
      <c r="AJ32" s="13">
        <f>AI32*VLOOKUP('Données projet'!$B$10,Paramètres!$A$1:$I$89,3,0)*VLOOKUP('Données projet'!$B$10,Paramètres!$A$1:$I$89,5,0)</f>
        <v>139.3070571428571</v>
      </c>
      <c r="AK32" s="13">
        <f t="shared" si="35"/>
        <v>36.138216203973165</v>
      </c>
      <c r="AL32" s="20">
        <f t="shared" si="4"/>
        <v>305.56718441239605</v>
      </c>
      <c r="AM32" s="59">
        <f t="shared" si="5"/>
        <v>542.49508173517188</v>
      </c>
      <c r="AN32" s="59">
        <f ca="1">AVERAGE(OFFSET($AM$3,0,0,'Données projet'!$E$10+1,1))-AVERAGE(OFFSET($H$3,0,0,'Données projet'!$E$10+1,1))</f>
        <v>260.51637945828395</v>
      </c>
      <c r="AO32" s="59">
        <f t="shared" si="36"/>
        <v>382.46224100713982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22.438911503288537</v>
      </c>
      <c r="AW32" s="21">
        <f>EXP(-LN(2)/2)*AW31+(1-EXP(-LN(2)/2))/(LN(2)/2)*AQ32*AT32*VLOOKUP('Données projet'!$B$10,Paramètres!$A$1:$I$89,3,0)*0.475*44/12</f>
        <v>4.5102739024631084</v>
      </c>
      <c r="AX32" s="21">
        <f t="shared" si="6"/>
        <v>26.949185405751646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565.79557434047319</v>
      </c>
      <c r="S33" s="59">
        <f ca="1">AVERAGE(OFFSET($R$3,0,0,'Données projet'!$E$9+1,1))-AVERAGE(OFFSET($H$3,0,0,'Données projet'!$E$9+1,1))</f>
        <v>260.51637945828395</v>
      </c>
      <c r="T33" s="59">
        <f t="shared" si="34"/>
        <v>382.46224100713982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16.509890109890112</v>
      </c>
      <c r="AI33" s="13">
        <f>IF('Données projet'!$A$62&gt;35,AI32+AH33-AQ32,IF(A33&lt;'Données projet'!$A$62,$AF$205^A33,IF(A33='Données projet'!$A$62,'Données projet'!$B$62,AI32+AH33-AQ32)))</f>
        <v>249.46483516483505</v>
      </c>
      <c r="AJ33" s="13">
        <f>AI33*VLOOKUP('Données projet'!$B$10,Paramètres!$A$1:$I$89,3,0)*VLOOKUP('Données projet'!$B$10,Paramètres!$A$1:$I$89,5,0)</f>
        <v>149.17997142857138</v>
      </c>
      <c r="AK33" s="13">
        <f t="shared" si="35"/>
        <v>38.392171771867616</v>
      </c>
      <c r="AL33" s="20">
        <f t="shared" si="4"/>
        <v>326.68814940743124</v>
      </c>
      <c r="AM33" s="59">
        <f t="shared" si="5"/>
        <v>565.79557434047319</v>
      </c>
      <c r="AN33" s="59">
        <f ca="1">AVERAGE(OFFSET($AM$3,0,0,'Données projet'!$E$10+1,1))-AVERAGE(OFFSET($H$3,0,0,'Données projet'!$E$10+1,1))</f>
        <v>260.51637945828395</v>
      </c>
      <c r="AO33" s="59">
        <f t="shared" si="36"/>
        <v>382.46224100713982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21.825318288220039</v>
      </c>
      <c r="AW33" s="21">
        <f>EXP(-LN(2)/2)*AW32+(1-EXP(-LN(2)/2))/(LN(2)/2)*AQ33*AT33*VLOOKUP('Données projet'!$B$10,Paramètres!$A$1:$I$89,3,0)*0.475*44/12</f>
        <v>3.189245261440377</v>
      </c>
      <c r="AX33" s="21">
        <f t="shared" si="6"/>
        <v>25.014563549660416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587.82708942998534</v>
      </c>
      <c r="S34" s="59">
        <f ca="1">AVERAGE(OFFSET($R$3,0,0,'Données projet'!$E$9+1,1))-AVERAGE(OFFSET($H$3,0,0,'Données projet'!$E$9+1,1))</f>
        <v>260.51637945828395</v>
      </c>
      <c r="T34" s="59">
        <f t="shared" si="34"/>
        <v>382.46224100713982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16.509890109890112</v>
      </c>
      <c r="AI34" s="13">
        <f>IF('Données projet'!$A$62&gt;35,AI33+AH34-AQ33,IF(A34&lt;'Données projet'!$A$62,$AF$205^A34,IF(A34='Données projet'!$A$62,'Données projet'!$B$62,AI33+AH34-AQ33)))</f>
        <v>265.97472527472519</v>
      </c>
      <c r="AJ34" s="13">
        <f>AI34*VLOOKUP('Données projet'!$B$10,Paramètres!$A$1:$I$89,3,0)*VLOOKUP('Données projet'!$B$10,Paramètres!$A$1:$I$89,5,0)</f>
        <v>159.05288571428568</v>
      </c>
      <c r="AK34" s="13">
        <f t="shared" si="35"/>
        <v>40.628817376911122</v>
      </c>
      <c r="AL34" s="20">
        <f t="shared" si="4"/>
        <v>347.77896621716781</v>
      </c>
      <c r="AM34" s="59">
        <f t="shared" si="5"/>
        <v>587.82708942998534</v>
      </c>
      <c r="AN34" s="59">
        <f ca="1">AVERAGE(OFFSET($AM$3,0,0,'Données projet'!$E$10+1,1))-AVERAGE(OFFSET($H$3,0,0,'Données projet'!$E$10+1,1))</f>
        <v>260.51637945828395</v>
      </c>
      <c r="AO34" s="59">
        <f t="shared" si="36"/>
        <v>382.46224100713982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21.228503811885055</v>
      </c>
      <c r="AW34" s="21">
        <f>EXP(-LN(2)/2)*AW33+(1-EXP(-LN(2)/2))/(LN(2)/2)*AQ34*AT34*VLOOKUP('Données projet'!$B$10,Paramètres!$A$1:$I$89,3,0)*0.475*44/12</f>
        <v>2.2551369512315542</v>
      </c>
      <c r="AX34" s="21">
        <f t="shared" si="6"/>
        <v>23.483640763116611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609.81422177480488</v>
      </c>
      <c r="S35" s="59">
        <f ca="1">AVERAGE(OFFSET($R$3,0,0,'Données projet'!$E$9+1,1))-AVERAGE(OFFSET($H$3,0,0,'Données projet'!$E$9+1,1))</f>
        <v>260.51637945828395</v>
      </c>
      <c r="T35" s="59">
        <f t="shared" si="34"/>
        <v>382.46224100713982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282.48461538461538</v>
      </c>
      <c r="AG35" s="12">
        <f>VLOOKUP(A35,'Données projet'!$A$61:$I$81,9,0)</f>
        <v>16.509890109890112</v>
      </c>
      <c r="AH35" s="12">
        <f t="array" ref="AH35">INDEX(AG:AG,MIN(IF(ISNUMBER(AG35:AG231),ROW(AG35:AG231),"")))</f>
        <v>16.509890109890112</v>
      </c>
      <c r="AI35" s="13">
        <f>IF('Données projet'!$A$62&gt;35,AI34+AH35-AQ34,IF(A35&lt;'Données projet'!$A$62,$AF$205^A35,IF(A35='Données projet'!$A$62,'Données projet'!$B$62,AI34+AH35-AQ34)))</f>
        <v>282.48461538461532</v>
      </c>
      <c r="AJ35" s="13">
        <f>AI35*VLOOKUP('Données projet'!$B$10,Paramètres!$A$1:$I$89,3,0)*VLOOKUP('Données projet'!$B$10,Paramètres!$A$1:$I$89,5,0)</f>
        <v>168.92579999999998</v>
      </c>
      <c r="AK35" s="13">
        <f t="shared" si="35"/>
        <v>42.849349834036097</v>
      </c>
      <c r="AL35" s="20">
        <f t="shared" si="4"/>
        <v>368.84171929427953</v>
      </c>
      <c r="AM35" s="59">
        <f t="shared" si="5"/>
        <v>609.81422177480488</v>
      </c>
      <c r="AN35" s="59">
        <f ca="1">AVERAGE(OFFSET($AM$3,0,0,'Données projet'!$E$10+1,1))-AVERAGE(OFFSET($H$3,0,0,'Données projet'!$E$10+1,1))</f>
        <v>260.51637945828395</v>
      </c>
      <c r="AO35" s="59">
        <f t="shared" si="36"/>
        <v>382.46224100713982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63.899999999999991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0.25200000000000006</v>
      </c>
      <c r="AT35" s="16">
        <f>IF(ISNA(VLOOKUP(A35,'Données projet'!$A$61:$I$81,7,0)),0%,VLOOKUP(A35,'Données projet'!$A$61:$I$81,7,0))</f>
        <v>0.44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33.371831150683619</v>
      </c>
      <c r="AW35" s="21">
        <f>EXP(-LN(2)/2)*AW34+(1-EXP(-LN(2)/2))/(LN(2)/2)*AQ35*AT35*VLOOKUP('Données projet'!$B$10,Paramètres!$A$1:$I$89,3,0)*0.475*44/12</f>
        <v>20.631260910518144</v>
      </c>
      <c r="AX35" s="21">
        <f t="shared" si="6"/>
        <v>54.003092061201762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548.14657738120206</v>
      </c>
      <c r="S36" s="59">
        <f ca="1">AVERAGE(OFFSET($R$3,0,0,'Données projet'!$E$9+1,1))-AVERAGE(OFFSET($H$3,0,0,'Données projet'!$E$9+1,1))</f>
        <v>260.51637945828395</v>
      </c>
      <c r="T36" s="59">
        <f t="shared" si="34"/>
        <v>382.46224100713982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14.915976331360945</v>
      </c>
      <c r="AI36" s="13">
        <f>IF('Données projet'!$A$62&gt;35,AI35+AH36-AQ35,IF(A36&lt;'Données projet'!$A$62,$AF$205^A36,IF(A36='Données projet'!$A$62,'Données projet'!$B$62,AI35+AH36-AQ35)))</f>
        <v>233.50059171597627</v>
      </c>
      <c r="AJ36" s="13">
        <f>AI36*VLOOKUP('Données projet'!$B$10,Paramètres!$A$1:$I$89,3,0)*VLOOKUP('Données projet'!$B$10,Paramètres!$A$1:$I$89,5,0)</f>
        <v>139.63335384615382</v>
      </c>
      <c r="AK36" s="13">
        <f t="shared" si="35"/>
        <v>36.212999194991433</v>
      </c>
      <c r="AL36" s="20">
        <f t="shared" si="4"/>
        <v>306.2657315466613</v>
      </c>
      <c r="AM36" s="59">
        <f t="shared" si="5"/>
        <v>548.14657738120206</v>
      </c>
      <c r="AN36" s="59">
        <f ca="1">AVERAGE(OFFSET($AM$3,0,0,'Données projet'!$E$10+1,1))-AVERAGE(OFFSET($H$3,0,0,'Données projet'!$E$10+1,1))</f>
        <v>260.51637945828395</v>
      </c>
      <c r="AO36" s="59">
        <f t="shared" si="36"/>
        <v>382.46224100713982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32.459276672919849</v>
      </c>
      <c r="AW36" s="21">
        <f>EXP(-LN(2)/2)*AW35+(1-EXP(-LN(2)/2))/(LN(2)/2)*AQ36*AT36*VLOOKUP('Données projet'!$B$10,Paramètres!$A$1:$I$89,3,0)*0.475*44/12</f>
        <v>14.588504494256325</v>
      </c>
      <c r="AX36" s="21">
        <f t="shared" si="6"/>
        <v>47.047781167176176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568.1214613483412</v>
      </c>
      <c r="S37" s="59">
        <f ca="1">AVERAGE(OFFSET($R$3,0,0,'Données projet'!$E$9+1,1))-AVERAGE(OFFSET($H$3,0,0,'Données projet'!$E$9+1,1))</f>
        <v>260.51637945828395</v>
      </c>
      <c r="T37" s="59">
        <f t="shared" si="34"/>
        <v>382.46224100713982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14.915976331360945</v>
      </c>
      <c r="AI37" s="13">
        <f>IF('Données projet'!$A$62&gt;35,AI36+AH37-AQ36,IF(A37&lt;'Données projet'!$A$62,$AF$205^A37,IF(A37='Données projet'!$A$62,'Données projet'!$B$62,AI36+AH37-AQ36)))</f>
        <v>248.41656804733722</v>
      </c>
      <c r="AJ37" s="13">
        <f>AI37*VLOOKUP('Données projet'!$B$10,Paramètres!$A$1:$I$89,3,0)*VLOOKUP('Données projet'!$B$10,Paramètres!$A$1:$I$89,5,0)</f>
        <v>148.55310769230766</v>
      </c>
      <c r="AK37" s="13">
        <f t="shared" si="35"/>
        <v>38.249588893085004</v>
      </c>
      <c r="AL37" s="20">
        <f t="shared" si="4"/>
        <v>325.34802988622556</v>
      </c>
      <c r="AM37" s="59">
        <f t="shared" si="5"/>
        <v>568.1214613483412</v>
      </c>
      <c r="AN37" s="59">
        <f ca="1">AVERAGE(OFFSET($AM$3,0,0,'Données projet'!$E$10+1,1))-AVERAGE(OFFSET($H$3,0,0,'Données projet'!$E$10+1,1))</f>
        <v>260.51637945828395</v>
      </c>
      <c r="AO37" s="59">
        <f t="shared" si="36"/>
        <v>382.46224100713982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31.571676045339682</v>
      </c>
      <c r="AW37" s="21">
        <f>EXP(-LN(2)/2)*AW36+(1-EXP(-LN(2)/2))/(LN(2)/2)*AQ37*AT37*VLOOKUP('Données projet'!$B$10,Paramètres!$A$1:$I$89,3,0)*0.475*44/12</f>
        <v>10.315630455259074</v>
      </c>
      <c r="AX37" s="21">
        <f t="shared" si="6"/>
        <v>41.887306500598754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588.05614078257383</v>
      </c>
      <c r="S38" s="59">
        <f ca="1">AVERAGE(OFFSET($R$3,0,0,'Données projet'!$E$9+1,1))-AVERAGE(OFFSET($H$3,0,0,'Données projet'!$E$9+1,1))</f>
        <v>260.51637945828395</v>
      </c>
      <c r="T38" s="59">
        <f t="shared" si="34"/>
        <v>382.46224100713982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14.915976331360945</v>
      </c>
      <c r="AI38" s="13">
        <f>IF('Données projet'!$A$62&gt;35,AI37+AH38-AQ37,IF(A38&lt;'Données projet'!$A$62,$AF$205^A38,IF(A38='Données projet'!$A$62,'Données projet'!$B$62,AI37+AH38-AQ37)))</f>
        <v>263.33254437869817</v>
      </c>
      <c r="AJ38" s="13">
        <f>AI38*VLOOKUP('Données projet'!$B$10,Paramètres!$A$1:$I$89,3,0)*VLOOKUP('Données projet'!$B$10,Paramètres!$A$1:$I$89,5,0)</f>
        <v>157.47286153846153</v>
      </c>
      <c r="AK38" s="13">
        <f t="shared" si="35"/>
        <v>40.271985193404134</v>
      </c>
      <c r="AL38" s="20">
        <f t="shared" si="4"/>
        <v>344.40560805799936</v>
      </c>
      <c r="AM38" s="59">
        <f t="shared" si="5"/>
        <v>588.05614078257383</v>
      </c>
      <c r="AN38" s="59">
        <f ca="1">AVERAGE(OFFSET($AM$3,0,0,'Données projet'!$E$10+1,1))-AVERAGE(OFFSET($H$3,0,0,'Données projet'!$E$10+1,1))</f>
        <v>260.51637945828395</v>
      </c>
      <c r="AO38" s="59">
        <f t="shared" si="36"/>
        <v>382.46224100713982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30.708346903597583</v>
      </c>
      <c r="AW38" s="21">
        <f>EXP(-LN(2)/2)*AW37+(1-EXP(-LN(2)/2))/(LN(2)/2)*AQ38*AT38*VLOOKUP('Données projet'!$B$10,Paramètres!$A$1:$I$89,3,0)*0.475*44/12</f>
        <v>7.2942522471281643</v>
      </c>
      <c r="AX38" s="21">
        <f t="shared" si="6"/>
        <v>38.00259915072575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607.95244408909059</v>
      </c>
      <c r="S39" s="59">
        <f ca="1">AVERAGE(OFFSET($R$3,0,0,'Données projet'!$E$9+1,1))-AVERAGE(OFFSET($H$3,0,0,'Données projet'!$E$9+1,1))</f>
        <v>260.51637945828395</v>
      </c>
      <c r="T39" s="59">
        <f t="shared" si="34"/>
        <v>382.46224100713982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14.915976331360945</v>
      </c>
      <c r="AI39" s="13">
        <f>IF('Données projet'!$A$62&gt;35,AI38+AH39-AQ38,IF(A39&lt;'Données projet'!$A$62,$AF$205^A39,IF(A39='Données projet'!$A$62,'Données projet'!$B$62,AI38+AH39-AQ38)))</f>
        <v>278.2485207100591</v>
      </c>
      <c r="AJ39" s="13">
        <f>AI39*VLOOKUP('Données projet'!$B$10,Paramètres!$A$1:$I$89,3,0)*VLOOKUP('Données projet'!$B$10,Paramètres!$A$1:$I$89,5,0)</f>
        <v>166.39261538461537</v>
      </c>
      <c r="AK39" s="13">
        <f t="shared" si="35"/>
        <v>42.281083666900145</v>
      </c>
      <c r="AL39" s="20">
        <f t="shared" si="4"/>
        <v>363.44002584805617</v>
      </c>
      <c r="AM39" s="59">
        <f t="shared" si="5"/>
        <v>607.95244408909059</v>
      </c>
      <c r="AN39" s="59">
        <f ca="1">AVERAGE(OFFSET($AM$3,0,0,'Données projet'!$E$10+1,1))-AVERAGE(OFFSET($H$3,0,0,'Données projet'!$E$10+1,1))</f>
        <v>260.51637945828395</v>
      </c>
      <c r="AO39" s="59">
        <f t="shared" si="36"/>
        <v>382.46224100713982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29.868625542636927</v>
      </c>
      <c r="AW39" s="21">
        <f>EXP(-LN(2)/2)*AW38+(1-EXP(-LN(2)/2))/(LN(2)/2)*AQ39*AT39*VLOOKUP('Données projet'!$B$10,Paramètres!$A$1:$I$89,3,0)*0.475*44/12</f>
        <v>5.1578152276295377</v>
      </c>
      <c r="AX39" s="21">
        <f t="shared" si="6"/>
        <v>35.026440770266461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627.81201833841203</v>
      </c>
      <c r="S40" s="59">
        <f ca="1">AVERAGE(OFFSET($R$3,0,0,'Données projet'!$E$9+1,1))-AVERAGE(OFFSET($H$3,0,0,'Données projet'!$E$9+1,1))</f>
        <v>260.51637945828395</v>
      </c>
      <c r="T40" s="59">
        <f t="shared" si="34"/>
        <v>382.46224100713982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14.915976331360945</v>
      </c>
      <c r="AI40" s="13">
        <f>IF('Données projet'!$A$62&gt;35,AI39+AH40-AQ39,IF(A40&lt;'Données projet'!$A$62,$AF$205^A40,IF(A40='Données projet'!$A$62,'Données projet'!$B$62,AI39+AH40-AQ39)))</f>
        <v>293.16449704142002</v>
      </c>
      <c r="AJ40" s="13">
        <f>AI40*VLOOKUP('Données projet'!$B$10,Paramètres!$A$1:$I$89,3,0)*VLOOKUP('Données projet'!$B$10,Paramètres!$A$1:$I$89,5,0)</f>
        <v>175.31236923076921</v>
      </c>
      <c r="AK40" s="13">
        <f t="shared" si="35"/>
        <v>44.277678444488799</v>
      </c>
      <c r="AL40" s="20">
        <f t="shared" si="4"/>
        <v>382.45266636774096</v>
      </c>
      <c r="AM40" s="59">
        <f t="shared" si="5"/>
        <v>627.81201833841203</v>
      </c>
      <c r="AN40" s="59">
        <f ca="1">AVERAGE(OFFSET($AM$3,0,0,'Données projet'!$E$10+1,1))-AVERAGE(OFFSET($H$3,0,0,'Données projet'!$E$10+1,1))</f>
        <v>260.51637945828395</v>
      </c>
      <c r="AO40" s="59">
        <f t="shared" si="36"/>
        <v>382.46224100713982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29.05186640645077</v>
      </c>
      <c r="AW40" s="21">
        <f>EXP(-LN(2)/2)*AW39+(1-EXP(-LN(2)/2))/(LN(2)/2)*AQ40*AT40*VLOOKUP('Données projet'!$B$10,Paramètres!$A$1:$I$89,3,0)*0.475*44/12</f>
        <v>3.6471261235640826</v>
      </c>
      <c r="AX40" s="21">
        <f t="shared" si="6"/>
        <v>32.698992530014856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647.63635732882756</v>
      </c>
      <c r="S41" s="59">
        <f ca="1">AVERAGE(OFFSET($R$3,0,0,'Données projet'!$E$9+1,1))-AVERAGE(OFFSET($H$3,0,0,'Données projet'!$E$9+1,1))</f>
        <v>260.51637945828395</v>
      </c>
      <c r="T41" s="59">
        <f t="shared" si="34"/>
        <v>382.46224100713982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14.915976331360945</v>
      </c>
      <c r="AI41" s="13">
        <f>IF('Données projet'!$A$62&gt;35,AI40+AH41-AQ40,IF(A41&lt;'Données projet'!$A$62,$AF$205^A41,IF(A41='Données projet'!$A$62,'Données projet'!$B$62,AI40+AH41-AQ40)))</f>
        <v>308.08047337278094</v>
      </c>
      <c r="AJ41" s="13">
        <f>AI41*VLOOKUP('Données projet'!$B$10,Paramètres!$A$1:$I$89,3,0)*VLOOKUP('Données projet'!$B$10,Paramètres!$A$1:$I$89,5,0)</f>
        <v>184.23212307692302</v>
      </c>
      <c r="AK41" s="13">
        <f t="shared" si="35"/>
        <v>46.262478283039961</v>
      </c>
      <c r="AL41" s="20">
        <f t="shared" si="4"/>
        <v>401.44476403526886</v>
      </c>
      <c r="AM41" s="59">
        <f t="shared" si="5"/>
        <v>647.63635732882756</v>
      </c>
      <c r="AN41" s="59">
        <f ca="1">AVERAGE(OFFSET($AM$3,0,0,'Données projet'!$E$10+1,1))-AVERAGE(OFFSET($H$3,0,0,'Données projet'!$E$10+1,1))</f>
        <v>260.51637945828395</v>
      </c>
      <c r="AO41" s="59">
        <f t="shared" si="36"/>
        <v>382.46224100713982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28.257441591795118</v>
      </c>
      <c r="AW41" s="21">
        <f>EXP(-LN(2)/2)*AW40+(1-EXP(-LN(2)/2))/(LN(2)/2)*AQ41*AT41*VLOOKUP('Données projet'!$B$10,Paramètres!$A$1:$I$89,3,0)*0.475*44/12</f>
        <v>2.5789076138147693</v>
      </c>
      <c r="AX41" s="21">
        <f t="shared" si="6"/>
        <v>30.836349205609888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667.42682407473467</v>
      </c>
      <c r="S42" s="59">
        <f ca="1">AVERAGE(OFFSET($R$3,0,0,'Données projet'!$E$9+1,1))-AVERAGE(OFFSET($H$3,0,0,'Données projet'!$E$9+1,1))</f>
        <v>260.51637945828395</v>
      </c>
      <c r="T42" s="59">
        <f t="shared" si="34"/>
        <v>382.46224100713982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14.915976331360945</v>
      </c>
      <c r="AI42" s="13">
        <f>IF('Données projet'!$A$62&gt;35,AI41+AH42-AQ41,IF(A42&lt;'Données projet'!$A$62,$AF$205^A42,IF(A42='Données projet'!$A$62,'Données projet'!$B$62,AI41+AH42-AQ41)))</f>
        <v>322.99644970414187</v>
      </c>
      <c r="AJ42" s="13">
        <f>AI42*VLOOKUP('Données projet'!$B$10,Paramètres!$A$1:$I$89,3,0)*VLOOKUP('Données projet'!$B$10,Paramètres!$A$1:$I$89,5,0)</f>
        <v>193.15187692307686</v>
      </c>
      <c r="AK42" s="13">
        <f t="shared" si="35"/>
        <v>48.23611943173325</v>
      </c>
      <c r="AL42" s="20">
        <f t="shared" si="4"/>
        <v>420.41742698462758</v>
      </c>
      <c r="AM42" s="59">
        <f t="shared" si="5"/>
        <v>667.42682407473467</v>
      </c>
      <c r="AN42" s="59">
        <f ca="1">AVERAGE(OFFSET($AM$3,0,0,'Données projet'!$E$10+1,1))-AVERAGE(OFFSET($H$3,0,0,'Données projet'!$E$10+1,1))</f>
        <v>260.51637945828395</v>
      </c>
      <c r="AO42" s="59">
        <f t="shared" si="36"/>
        <v>382.46224100713982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27.484740365473211</v>
      </c>
      <c r="AW42" s="21">
        <f>EXP(-LN(2)/2)*AW41+(1-EXP(-LN(2)/2))/(LN(2)/2)*AQ42*AT42*VLOOKUP('Données projet'!$B$10,Paramètres!$A$1:$I$89,3,0)*0.475*44/12</f>
        <v>1.8235630617820415</v>
      </c>
      <c r="AX42" s="21">
        <f t="shared" si="6"/>
        <v>29.308303427255254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687.18466903713249</v>
      </c>
      <c r="S43" s="59">
        <f ca="1">AVERAGE(OFFSET($R$3,0,0,'Données projet'!$E$9+1,1))-AVERAGE(OFFSET($H$3,0,0,'Données projet'!$E$9+1,1))</f>
        <v>260.51637945828395</v>
      </c>
      <c r="T43" s="59">
        <f t="shared" si="34"/>
        <v>382.46224100713982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14.915976331360945</v>
      </c>
      <c r="AI43" s="13">
        <f>IF('Données projet'!$A$62&gt;35,AI42+AH43-AQ42,IF(A43&lt;'Données projet'!$A$62,$AF$205^A43,IF(A43='Données projet'!$A$62,'Données projet'!$B$62,AI42+AH43-AQ42)))</f>
        <v>337.91242603550279</v>
      </c>
      <c r="AJ43" s="13">
        <f>AI43*VLOOKUP('Données projet'!$B$10,Paramètres!$A$1:$I$89,3,0)*VLOOKUP('Données projet'!$B$10,Paramètres!$A$1:$I$89,5,0)</f>
        <v>202.07163076923067</v>
      </c>
      <c r="AK43" s="13">
        <f t="shared" si="35"/>
        <v>50.19917605450815</v>
      </c>
      <c r="AL43" s="20">
        <f t="shared" si="4"/>
        <v>439.37165521801171</v>
      </c>
      <c r="AM43" s="59">
        <f t="shared" si="5"/>
        <v>687.18466903713249</v>
      </c>
      <c r="AN43" s="59">
        <f ca="1">AVERAGE(OFFSET($AM$3,0,0,'Données projet'!$E$10+1,1))-AVERAGE(OFFSET($H$3,0,0,'Données projet'!$E$10+1,1))</f>
        <v>260.51637945828395</v>
      </c>
      <c r="AO43" s="59">
        <f t="shared" si="36"/>
        <v>382.46224100713982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26.733168694819668</v>
      </c>
      <c r="AW43" s="21">
        <f>EXP(-LN(2)/2)*AW42+(1-EXP(-LN(2)/2))/(LN(2)/2)*AQ43*AT43*VLOOKUP('Données projet'!$B$10,Paramètres!$A$1:$I$89,3,0)*0.475*44/12</f>
        <v>1.2894538069073849</v>
      </c>
      <c r="AX43" s="21">
        <f t="shared" si="6"/>
        <v>28.022622501727053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706.91104505716453</v>
      </c>
      <c r="S44" s="59">
        <f ca="1">AVERAGE(OFFSET($R$3,0,0,'Données projet'!$E$9+1,1))-AVERAGE(OFFSET($H$3,0,0,'Données projet'!$E$9+1,1))</f>
        <v>260.51637945828395</v>
      </c>
      <c r="T44" s="59">
        <f t="shared" si="34"/>
        <v>382.46224100713982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14.915976331360945</v>
      </c>
      <c r="AI44" s="13">
        <f>IF('Données projet'!$A$62&gt;35,AI43+AH44-AQ43,IF(A44&lt;'Données projet'!$A$62,$AF$205^A44,IF(A44='Données projet'!$A$62,'Données projet'!$B$62,AI43+AH44-AQ43)))</f>
        <v>352.82840236686371</v>
      </c>
      <c r="AJ44" s="13">
        <f>AI44*VLOOKUP('Données projet'!$B$10,Paramètres!$A$1:$I$89,3,0)*VLOOKUP('Données projet'!$B$10,Paramètres!$A$1:$I$89,5,0)</f>
        <v>210.99138461538453</v>
      </c>
      <c r="AK44" s="13">
        <f t="shared" si="35"/>
        <v>52.152168760305798</v>
      </c>
      <c r="AL44" s="20">
        <f t="shared" si="4"/>
        <v>458.30835546266059</v>
      </c>
      <c r="AM44" s="59">
        <f t="shared" si="5"/>
        <v>706.91104505716453</v>
      </c>
      <c r="AN44" s="59">
        <f ca="1">AVERAGE(OFFSET($AM$3,0,0,'Données projet'!$E$10+1,1))-AVERAGE(OFFSET($H$3,0,0,'Données projet'!$E$10+1,1))</f>
        <v>260.51637945828395</v>
      </c>
      <c r="AO44" s="59">
        <f t="shared" si="36"/>
        <v>382.46224100713982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26.002148791023583</v>
      </c>
      <c r="AW44" s="21">
        <f>EXP(-LN(2)/2)*AW43+(1-EXP(-LN(2)/2))/(LN(2)/2)*AQ44*AT44*VLOOKUP('Données projet'!$B$10,Paramètres!$A$1:$I$89,3,0)*0.475*44/12</f>
        <v>0.91178153089102099</v>
      </c>
      <c r="AX44" s="21">
        <f t="shared" si="6"/>
        <v>26.913930321914602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726.6070197051896</v>
      </c>
      <c r="S45" s="59">
        <f ca="1">AVERAGE(OFFSET($R$3,0,0,'Données projet'!$E$9+1,1))-AVERAGE(OFFSET($H$3,0,0,'Données projet'!$E$9+1,1))</f>
        <v>260.51637945828395</v>
      </c>
      <c r="T45" s="59">
        <f t="shared" si="34"/>
        <v>382.46224100713982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14.915976331360945</v>
      </c>
      <c r="AI45" s="13">
        <f>IF('Données projet'!$A$62&gt;35,AI44+AH45-AQ44,IF(A45&lt;'Données projet'!$A$62,$AF$205^A45,IF(A45='Données projet'!$A$62,'Données projet'!$B$62,AI44+AH45-AQ44)))</f>
        <v>367.74437869822464</v>
      </c>
      <c r="AJ45" s="13">
        <f>AI45*VLOOKUP('Données projet'!$B$10,Paramètres!$A$1:$I$89,3,0)*VLOOKUP('Données projet'!$B$10,Paramètres!$A$1:$I$89,5,0)</f>
        <v>219.91113846153834</v>
      </c>
      <c r="AK45" s="13">
        <f t="shared" si="35"/>
        <v>54.095571650167813</v>
      </c>
      <c r="AL45" s="20">
        <f t="shared" si="4"/>
        <v>477.2283534445549</v>
      </c>
      <c r="AM45" s="59">
        <f t="shared" si="5"/>
        <v>726.6070197051896</v>
      </c>
      <c r="AN45" s="59">
        <f ca="1">AVERAGE(OFFSET($AM$3,0,0,'Données projet'!$E$10+1,1))-AVERAGE(OFFSET($H$3,0,0,'Données projet'!$E$10+1,1))</f>
        <v>260.51637945828395</v>
      </c>
      <c r="AO45" s="59">
        <f t="shared" si="36"/>
        <v>382.46224100713982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25.291118664939468</v>
      </c>
      <c r="AW45" s="21">
        <f>EXP(-LN(2)/2)*AW44+(1-EXP(-LN(2)/2))/(LN(2)/2)*AQ45*AT45*VLOOKUP('Données projet'!$B$10,Paramètres!$A$1:$I$89,3,0)*0.475*44/12</f>
        <v>0.64472690345369255</v>
      </c>
      <c r="AX45" s="21">
        <f t="shared" si="6"/>
        <v>25.935845568393159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746.27358558115543</v>
      </c>
      <c r="S46" s="59">
        <f ca="1">AVERAGE(OFFSET($R$3,0,0,'Données projet'!$E$9+1,1))-AVERAGE(OFFSET($H$3,0,0,'Données projet'!$E$9+1,1))</f>
        <v>260.51637945828395</v>
      </c>
      <c r="T46" s="59">
        <f t="shared" si="34"/>
        <v>382.46224100713982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14.915976331360945</v>
      </c>
      <c r="AI46" s="13">
        <f>IF('Données projet'!$A$62&gt;35,AI45+AH46-AQ45,IF(A46&lt;'Données projet'!$A$62,$AF$205^A46,IF(A46='Données projet'!$A$62,'Données projet'!$B$62,AI45+AH46-AQ45)))</f>
        <v>382.66035502958556</v>
      </c>
      <c r="AJ46" s="13">
        <f>AI46*VLOOKUP('Données projet'!$B$10,Paramètres!$A$1:$I$89,3,0)*VLOOKUP('Données projet'!$B$10,Paramètres!$A$1:$I$89,5,0)</f>
        <v>228.83089230769221</v>
      </c>
      <c r="AK46" s="13">
        <f t="shared" si="35"/>
        <v>56.029818188799702</v>
      </c>
      <c r="AL46" s="20">
        <f t="shared" si="4"/>
        <v>496.13240411472333</v>
      </c>
      <c r="AM46" s="59">
        <f t="shared" si="5"/>
        <v>746.27358558115543</v>
      </c>
      <c r="AN46" s="59">
        <f ca="1">AVERAGE(OFFSET($AM$3,0,0,'Données projet'!$E$10+1,1))-AVERAGE(OFFSET($H$3,0,0,'Données projet'!$E$10+1,1))</f>
        <v>260.51637945828395</v>
      </c>
      <c r="AO46" s="59">
        <f t="shared" si="36"/>
        <v>382.46224100713982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24.599531695044572</v>
      </c>
      <c r="AW46" s="21">
        <f>EXP(-LN(2)/2)*AW45+(1-EXP(-LN(2)/2))/(LN(2)/2)*AQ46*AT46*VLOOKUP('Données projet'!$B$10,Paramètres!$A$1:$I$89,3,0)*0.475*44/12</f>
        <v>0.45589076544551055</v>
      </c>
      <c r="AX46" s="21">
        <f t="shared" si="6"/>
        <v>25.055422460490082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765.9116689743538</v>
      </c>
      <c r="S47" s="59">
        <f ca="1">AVERAGE(OFFSET($R$3,0,0,'Données projet'!$E$9+1,1))-AVERAGE(OFFSET($H$3,0,0,'Données projet'!$E$9+1,1))</f>
        <v>260.51637945828395</v>
      </c>
      <c r="T47" s="59">
        <f t="shared" si="34"/>
        <v>382.46224100713982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14.915976331360945</v>
      </c>
      <c r="AI47" s="13">
        <f>IF('Données projet'!$A$62&gt;35,AI46+AH47-AQ46,IF(A47&lt;'Données projet'!$A$62,$AF$205^A47,IF(A47='Données projet'!$A$62,'Données projet'!$B$62,AI46+AH47-AQ46)))</f>
        <v>397.57633136094648</v>
      </c>
      <c r="AJ47" s="13">
        <f>AI47*VLOOKUP('Données projet'!$B$10,Paramètres!$A$1:$I$89,3,0)*VLOOKUP('Données projet'!$B$10,Paramètres!$A$1:$I$89,5,0)</f>
        <v>237.75064615384602</v>
      </c>
      <c r="AK47" s="13">
        <f t="shared" si="35"/>
        <v>57.955306134890677</v>
      </c>
      <c r="AL47" s="20">
        <f t="shared" si="4"/>
        <v>515.02120023621637</v>
      </c>
      <c r="AM47" s="59">
        <f t="shared" si="5"/>
        <v>765.9116689743538</v>
      </c>
      <c r="AN47" s="59">
        <f ca="1">AVERAGE(OFFSET($AM$3,0,0,'Données projet'!$E$10+1,1))-AVERAGE(OFFSET($H$3,0,0,'Données projet'!$E$10+1,1))</f>
        <v>260.51637945828395</v>
      </c>
      <c r="AO47" s="59">
        <f t="shared" si="36"/>
        <v>382.46224100713982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23.926856207210431</v>
      </c>
      <c r="AW47" s="21">
        <f>EXP(-LN(2)/2)*AW46+(1-EXP(-LN(2)/2))/(LN(2)/2)*AQ47*AT47*VLOOKUP('Données projet'!$B$10,Paramètres!$A$1:$I$89,3,0)*0.475*44/12</f>
        <v>0.32236345172684633</v>
      </c>
      <c r="AX47" s="21">
        <f t="shared" si="6"/>
        <v>24.249219658937278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785.52213719704434</v>
      </c>
      <c r="S48" s="59">
        <f ca="1">AVERAGE(OFFSET($R$3,0,0,'Données projet'!$E$9+1,1))-AVERAGE(OFFSET($H$3,0,0,'Données projet'!$E$9+1,1))</f>
        <v>260.51637945828395</v>
      </c>
      <c r="T48" s="59">
        <f t="shared" si="34"/>
        <v>382.46224100713982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412.49230769230769</v>
      </c>
      <c r="AG48" s="12">
        <f>VLOOKUP(A48,'Données projet'!$A$61:$I$81,9,0)</f>
        <v>14.915976331360945</v>
      </c>
      <c r="AH48" s="12">
        <f t="array" ref="AH48">INDEX(AG:AG,MIN(IF(ISNUMBER(AG48:AG244),ROW(AG48:AG244),"")))</f>
        <v>14.915976331360945</v>
      </c>
      <c r="AI48" s="13">
        <f>IF('Données projet'!$A$62&gt;35,AI47+AH48-AQ47,IF(A48&lt;'Données projet'!$A$62,$AF$205^A48,IF(A48='Données projet'!$A$62,'Données projet'!$B$62,AI47+AH48-AQ47)))</f>
        <v>412.49230769230741</v>
      </c>
      <c r="AJ48" s="13">
        <f>AI48*VLOOKUP('Données projet'!$B$10,Paramètres!$A$1:$I$89,3,0)*VLOOKUP('Données projet'!$B$10,Paramètres!$A$1:$I$89,5,0)</f>
        <v>246.67039999999983</v>
      </c>
      <c r="AK48" s="13">
        <f t="shared" si="35"/>
        <v>59.872401710742935</v>
      </c>
      <c r="AL48" s="20">
        <f t="shared" si="4"/>
        <v>533.89537964621024</v>
      </c>
      <c r="AM48" s="59">
        <f t="shared" si="5"/>
        <v>785.52213719704434</v>
      </c>
      <c r="AN48" s="59">
        <f ca="1">AVERAGE(OFFSET($AM$3,0,0,'Données projet'!$E$10+1,1))-AVERAGE(OFFSET($H$3,0,0,'Données projet'!$E$10+1,1))</f>
        <v>260.51637945828395</v>
      </c>
      <c r="AO48" s="59">
        <f t="shared" si="36"/>
        <v>382.46224100713982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412.49230769230769</v>
      </c>
      <c r="AR48" s="16">
        <f>IF(ISNA(VLOOKUP(A48,'Données projet'!$A$61:$I$81,5,0)),0%,VLOOKUP(A48,'Données projet'!$A$61:$I$81,5,0)*VLOOKUP('Données projet'!$B$10,Paramètres!$A$1:$I$89,7,0))</f>
        <v>0.315</v>
      </c>
      <c r="AS48" s="16">
        <f>IF(ISNA(VLOOKUP(A48,'Données projet'!$A$61:$I$81,6,0)),0%,VLOOKUP(A48,'Données projet'!$A$61:$I$81,6,0)*VLOOKUP('Données projet'!$B$10,Paramètres!$A$1:$I$89,7,0))</f>
        <v>7.5600000000000001E-2</v>
      </c>
      <c r="AT48" s="16">
        <f>IF(ISNA(VLOOKUP(A48,'Données projet'!$A$61:$I$81,7,0)),0%,VLOOKUP(A48,'Données projet'!$A$61:$I$81,7,0))</f>
        <v>0.13200000000000001</v>
      </c>
      <c r="AU48" s="21">
        <f>EXP(-LN(2)/35)*AU47+(1-EXP(-LN(2)/35))/(LN(2)/35)*AQ48*AR48*VLOOKUP('Données projet'!$B$10,Paramètres!$A$1:$I$89,3,0)*0.475*44/12</f>
        <v>103.07561822745187</v>
      </c>
      <c r="AV48" s="21">
        <f>EXP(-LN(2)/25)*AV47+(1-EXP(-LN(2)/25))/(LN(2)/25)*Calculateur!AQ48*Calculateur!AS48*VLOOKUP('Données projet'!$B$10,Paramètres!$A$1:$I$89,3,0)*0.475*44/12</f>
        <v>47.913319924429757</v>
      </c>
      <c r="AW48" s="21">
        <f>EXP(-LN(2)/2)*AW47+(1-EXP(-LN(2)/2))/(LN(2)/2)*AQ48*AT48*VLOOKUP('Données projet'!$B$10,Paramètres!$A$1:$I$89,3,0)*0.475*44/12</f>
        <v>37.093986954260707</v>
      </c>
      <c r="AX48" s="21">
        <f t="shared" si="6"/>
        <v>188.08292510614234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260.51637945828395</v>
      </c>
      <c r="T49" s="59">
        <f t="shared" si="34"/>
        <v>382.46224100713982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-2.8421709430404007E-13</v>
      </c>
      <c r="AJ49" s="13">
        <f>AI49*VLOOKUP('Données projet'!$B$10,Paramètres!$A$1:$I$89,3,0)*VLOOKUP('Données projet'!$B$10,Paramètres!$A$1:$I$89,5,0)</f>
        <v>-1.69961822393816E-13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260.51637945828395</v>
      </c>
      <c r="AO49" s="59">
        <f t="shared" si="36"/>
        <v>382.46224100713982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101.05436822393077</v>
      </c>
      <c r="AV49" s="21">
        <f>EXP(-LN(2)/25)*AV48+(1-EXP(-LN(2)/25))/(LN(2)/25)*Calculateur!AQ49*Calculateur!AS49*VLOOKUP('Données projet'!$B$10,Paramètres!$A$1:$I$89,3,0)*0.475*44/12</f>
        <v>46.603127671444241</v>
      </c>
      <c r="AW49" s="21">
        <f>EXP(-LN(2)/2)*AW48+(1-EXP(-LN(2)/2))/(LN(2)/2)*AQ49*AT49*VLOOKUP('Données projet'!$B$10,Paramètres!$A$1:$I$89,3,0)*0.475*44/12</f>
        <v>26.229409716603076</v>
      </c>
      <c r="AX49" s="21">
        <f t="shared" si="6"/>
        <v>173.88690561197808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260.51637945828395</v>
      </c>
      <c r="T50" s="59">
        <f t="shared" si="34"/>
        <v>382.46224100713982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-2.8421709430404007E-13</v>
      </c>
      <c r="AJ50" s="13">
        <f>AI50*VLOOKUP('Données projet'!$B$10,Paramètres!$A$1:$I$89,3,0)*VLOOKUP('Données projet'!$B$10,Paramètres!$A$1:$I$89,5,0)</f>
        <v>-1.69961822393816E-13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260.51637945828395</v>
      </c>
      <c r="AO50" s="59">
        <f t="shared" si="36"/>
        <v>382.46224100713982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99.072753700137937</v>
      </c>
      <c r="AV50" s="21">
        <f>EXP(-LN(2)/25)*AV49+(1-EXP(-LN(2)/25))/(LN(2)/25)*Calculateur!AQ50*Calculateur!AS50*VLOOKUP('Données projet'!$B$10,Paramètres!$A$1:$I$89,3,0)*0.475*44/12</f>
        <v>45.328762694516627</v>
      </c>
      <c r="AW50" s="21">
        <f>EXP(-LN(2)/2)*AW49+(1-EXP(-LN(2)/2))/(LN(2)/2)*AQ50*AT50*VLOOKUP('Données projet'!$B$10,Paramètres!$A$1:$I$89,3,0)*0.475*44/12</f>
        <v>18.546993477130357</v>
      </c>
      <c r="AX50" s="21">
        <f t="shared" si="6"/>
        <v>162.94850987178489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260.51637945828395</v>
      </c>
      <c r="T51" s="59">
        <f t="shared" si="34"/>
        <v>382.46224100713982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-2.8421709430404007E-13</v>
      </c>
      <c r="AJ51" s="13">
        <f>AI51*VLOOKUP('Données projet'!$B$10,Paramètres!$A$1:$I$89,3,0)*VLOOKUP('Données projet'!$B$10,Paramètres!$A$1:$I$89,5,0)</f>
        <v>-1.69961822393816E-13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260.51637945828395</v>
      </c>
      <c r="AO51" s="59">
        <f t="shared" si="36"/>
        <v>382.46224100713982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97.12999742849118</v>
      </c>
      <c r="AV51" s="21">
        <f>EXP(-LN(2)/25)*AV50+(1-EXP(-LN(2)/25))/(LN(2)/25)*Calculateur!AQ51*Calculateur!AS51*VLOOKUP('Données projet'!$B$10,Paramètres!$A$1:$I$89,3,0)*0.475*44/12</f>
        <v>44.089245294899037</v>
      </c>
      <c r="AW51" s="21">
        <f>EXP(-LN(2)/2)*AW50+(1-EXP(-LN(2)/2))/(LN(2)/2)*AQ51*AT51*VLOOKUP('Données projet'!$B$10,Paramètres!$A$1:$I$89,3,0)*0.475*44/12</f>
        <v>13.11470485830154</v>
      </c>
      <c r="AX51" s="21">
        <f t="shared" si="6"/>
        <v>154.33394758169175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260.51637945828395</v>
      </c>
      <c r="T52" s="59">
        <f t="shared" si="34"/>
        <v>382.46224100713982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-2.8421709430404007E-13</v>
      </c>
      <c r="AJ52" s="13">
        <f>AI52*VLOOKUP('Données projet'!$B$10,Paramètres!$A$1:$I$89,3,0)*VLOOKUP('Données projet'!$B$10,Paramètres!$A$1:$I$89,5,0)</f>
        <v>-1.69961822393816E-13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260.51637945828395</v>
      </c>
      <c r="AO52" s="59">
        <f t="shared" si="36"/>
        <v>382.46224100713982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95.22533742236709</v>
      </c>
      <c r="AV52" s="21">
        <f>EXP(-LN(2)/25)*AV51+(1-EXP(-LN(2)/25))/(LN(2)/25)*Calculateur!AQ52*Calculateur!AS52*VLOOKUP('Données projet'!$B$10,Paramètres!$A$1:$I$89,3,0)*0.475*44/12</f>
        <v>42.883622563757378</v>
      </c>
      <c r="AW52" s="21">
        <f>EXP(-LN(2)/2)*AW51+(1-EXP(-LN(2)/2))/(LN(2)/2)*AQ52*AT52*VLOOKUP('Données projet'!$B$10,Paramètres!$A$1:$I$89,3,0)*0.475*44/12</f>
        <v>9.2734967385651785</v>
      </c>
      <c r="AX52" s="21">
        <f t="shared" si="6"/>
        <v>147.38245672468963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260.51637945828395</v>
      </c>
      <c r="T53" s="59">
        <f t="shared" si="34"/>
        <v>382.46224100713982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-2.8421709430404007E-13</v>
      </c>
      <c r="AJ53" s="13">
        <f>AI53*VLOOKUP('Données projet'!$B$10,Paramètres!$A$1:$I$89,3,0)*VLOOKUP('Données projet'!$B$10,Paramètres!$A$1:$I$89,5,0)</f>
        <v>-1.69961822393816E-13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260.51637945828395</v>
      </c>
      <c r="AO53" s="59">
        <f t="shared" si="36"/>
        <v>382.46224100713982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93.358026637235213</v>
      </c>
      <c r="AV53" s="21">
        <f>EXP(-LN(2)/25)*AV52+(1-EXP(-LN(2)/25))/(LN(2)/25)*Calculateur!AQ53*Calculateur!AS53*VLOOKUP('Données projet'!$B$10,Paramètres!$A$1:$I$89,3,0)*0.475*44/12</f>
        <v>41.710967649599731</v>
      </c>
      <c r="AW53" s="21">
        <f>EXP(-LN(2)/2)*AW52+(1-EXP(-LN(2)/2))/(LN(2)/2)*AQ53*AT53*VLOOKUP('Données projet'!$B$10,Paramètres!$A$1:$I$89,3,0)*0.475*44/12</f>
        <v>6.5573524291507699</v>
      </c>
      <c r="AX53" s="21">
        <f t="shared" si="6"/>
        <v>141.6263467159857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260.51637945828395</v>
      </c>
      <c r="T54" s="59">
        <f t="shared" si="34"/>
        <v>382.46224100713982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-2.8421709430404007E-13</v>
      </c>
      <c r="AJ54" s="13">
        <f>AI54*VLOOKUP('Données projet'!$B$10,Paramètres!$A$1:$I$89,3,0)*VLOOKUP('Données projet'!$B$10,Paramètres!$A$1:$I$89,5,0)</f>
        <v>-1.69961822393816E-13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260.51637945828395</v>
      </c>
      <c r="AO54" s="59">
        <f t="shared" si="36"/>
        <v>382.46224100713982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91.527332677652652</v>
      </c>
      <c r="AV54" s="21">
        <f>EXP(-LN(2)/25)*AV53+(1-EXP(-LN(2)/25))/(LN(2)/25)*Calculateur!AQ54*Calculateur!AS54*VLOOKUP('Données projet'!$B$10,Paramètres!$A$1:$I$89,3,0)*0.475*44/12</f>
        <v>40.570379045736971</v>
      </c>
      <c r="AW54" s="21">
        <f>EXP(-LN(2)/2)*AW53+(1-EXP(-LN(2)/2))/(LN(2)/2)*AQ54*AT54*VLOOKUP('Données projet'!$B$10,Paramètres!$A$1:$I$89,3,0)*0.475*44/12</f>
        <v>4.6367483692825893</v>
      </c>
      <c r="AX54" s="21">
        <f t="shared" si="6"/>
        <v>136.73446009267224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260.51637945828395</v>
      </c>
      <c r="T55" s="59">
        <f t="shared" si="34"/>
        <v>382.46224100713982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-2.8421709430404007E-13</v>
      </c>
      <c r="AJ55" s="13">
        <f>AI55*VLOOKUP('Données projet'!$B$10,Paramètres!$A$1:$I$89,3,0)*VLOOKUP('Données projet'!$B$10,Paramètres!$A$1:$I$89,5,0)</f>
        <v>-1.69961822393816E-13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260.51637945828395</v>
      </c>
      <c r="AO55" s="59">
        <f t="shared" si="36"/>
        <v>382.46224100713982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89.732537510004434</v>
      </c>
      <c r="AV55" s="21">
        <f>EXP(-LN(2)/25)*AV54+(1-EXP(-LN(2)/25))/(LN(2)/25)*Calculateur!AQ55*Calculateur!AS55*VLOOKUP('Données projet'!$B$10,Paramètres!$A$1:$I$89,3,0)*0.475*44/12</f>
        <v>39.460979897227787</v>
      </c>
      <c r="AW55" s="21">
        <f>EXP(-LN(2)/2)*AW54+(1-EXP(-LN(2)/2))/(LN(2)/2)*AQ55*AT55*VLOOKUP('Données projet'!$B$10,Paramètres!$A$1:$I$89,3,0)*0.475*44/12</f>
        <v>3.2786762145753849</v>
      </c>
      <c r="AX55" s="21">
        <f t="shared" si="6"/>
        <v>132.47219362180761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260.51637945828395</v>
      </c>
      <c r="T56" s="59">
        <f t="shared" si="34"/>
        <v>382.46224100713982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-2.8421709430404007E-13</v>
      </c>
      <c r="AJ56" s="13">
        <f>AI56*VLOOKUP('Données projet'!$B$10,Paramètres!$A$1:$I$89,3,0)*VLOOKUP('Données projet'!$B$10,Paramètres!$A$1:$I$89,5,0)</f>
        <v>-1.69961822393816E-13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260.51637945828395</v>
      </c>
      <c r="AO56" s="59">
        <f t="shared" si="36"/>
        <v>382.46224100713982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87.972937180876841</v>
      </c>
      <c r="AV56" s="21">
        <f>EXP(-LN(2)/25)*AV55+(1-EXP(-LN(2)/25))/(LN(2)/25)*Calculateur!AQ56*Calculateur!AS56*VLOOKUP('Données projet'!$B$10,Paramètres!$A$1:$I$89,3,0)*0.475*44/12</f>
        <v>38.381917326775351</v>
      </c>
      <c r="AW56" s="21">
        <f>EXP(-LN(2)/2)*AW55+(1-EXP(-LN(2)/2))/(LN(2)/2)*AQ56*AT56*VLOOKUP('Données projet'!$B$10,Paramètres!$A$1:$I$89,3,0)*0.475*44/12</f>
        <v>2.3183741846412946</v>
      </c>
      <c r="AX56" s="21">
        <f t="shared" si="6"/>
        <v>128.67322869229349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260.51637945828395</v>
      </c>
      <c r="T57" s="59">
        <f t="shared" si="34"/>
        <v>382.46224100713982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-2.8421709430404007E-13</v>
      </c>
      <c r="AJ57" s="13">
        <f>AI57*VLOOKUP('Données projet'!$B$10,Paramètres!$A$1:$I$89,3,0)*VLOOKUP('Données projet'!$B$10,Paramètres!$A$1:$I$89,5,0)</f>
        <v>-1.69961822393816E-13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260.51637945828395</v>
      </c>
      <c r="AO57" s="59">
        <f t="shared" si="36"/>
        <v>382.46224100713982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86.247841540953218</v>
      </c>
      <c r="AV57" s="21">
        <f>EXP(-LN(2)/25)*AV56+(1-EXP(-LN(2)/25))/(LN(2)/25)*Calculateur!AQ57*Calculateur!AS57*VLOOKUP('Données projet'!$B$10,Paramètres!$A$1:$I$89,3,0)*0.475*44/12</f>
        <v>37.332361779057372</v>
      </c>
      <c r="AW57" s="21">
        <f>EXP(-LN(2)/2)*AW56+(1-EXP(-LN(2)/2))/(LN(2)/2)*AQ57*AT57*VLOOKUP('Données projet'!$B$10,Paramètres!$A$1:$I$89,3,0)*0.475*44/12</f>
        <v>1.6393381072876925</v>
      </c>
      <c r="AX57" s="21">
        <f t="shared" si="6"/>
        <v>125.21954142729828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260.51637945828395</v>
      </c>
      <c r="T58" s="59">
        <f t="shared" si="34"/>
        <v>382.46224100713982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-2.8421709430404007E-13</v>
      </c>
      <c r="AJ58" s="13">
        <f>AI58*VLOOKUP('Données projet'!$B$10,Paramètres!$A$1:$I$89,3,0)*VLOOKUP('Données projet'!$B$10,Paramètres!$A$1:$I$89,5,0)</f>
        <v>-1.69961822393816E-13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260.51637945828395</v>
      </c>
      <c r="AO58" s="59">
        <f t="shared" si="36"/>
        <v>382.46224100713982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84.556573974324053</v>
      </c>
      <c r="AV58" s="21">
        <f>EXP(-LN(2)/25)*AV57+(1-EXP(-LN(2)/25))/(LN(2)/25)*Calculateur!AQ58*Calculateur!AS58*VLOOKUP('Données projet'!$B$10,Paramètres!$A$1:$I$89,3,0)*0.475*44/12</f>
        <v>36.311506382985463</v>
      </c>
      <c r="AW58" s="21">
        <f>EXP(-LN(2)/2)*AW57+(1-EXP(-LN(2)/2))/(LN(2)/2)*AQ58*AT58*VLOOKUP('Données projet'!$B$10,Paramètres!$A$1:$I$89,3,0)*0.475*44/12</f>
        <v>1.1591870923206473</v>
      </c>
      <c r="AX58" s="21">
        <f t="shared" si="6"/>
        <v>122.02726744963016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260.51637945828395</v>
      </c>
      <c r="T59" s="59">
        <f t="shared" si="34"/>
        <v>382.46224100713982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-2.8421709430404007E-13</v>
      </c>
      <c r="AJ59" s="13">
        <f>AI59*VLOOKUP('Données projet'!$B$10,Paramètres!$A$1:$I$89,3,0)*VLOOKUP('Données projet'!$B$10,Paramètres!$A$1:$I$89,5,0)</f>
        <v>-1.69961822393816E-13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260.51637945828395</v>
      </c>
      <c r="AO59" s="59">
        <f t="shared" si="36"/>
        <v>382.46224100713982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82.898471133105133</v>
      </c>
      <c r="AV59" s="21">
        <f>EXP(-LN(2)/25)*AV58+(1-EXP(-LN(2)/25))/(LN(2)/25)*Calculateur!AQ59*Calculateur!AS59*VLOOKUP('Données projet'!$B$10,Paramètres!$A$1:$I$89,3,0)*0.475*44/12</f>
        <v>35.318566331403595</v>
      </c>
      <c r="AW59" s="21">
        <f>EXP(-LN(2)/2)*AW58+(1-EXP(-LN(2)/2))/(LN(2)/2)*AQ59*AT59*VLOOKUP('Données projet'!$B$10,Paramètres!$A$1:$I$89,3,0)*0.475*44/12</f>
        <v>0.81966905364384623</v>
      </c>
      <c r="AX59" s="21">
        <f t="shared" si="6"/>
        <v>119.03670651815258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260.51637945828395</v>
      </c>
      <c r="T60" s="59">
        <f t="shared" si="34"/>
        <v>382.46224100713982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-2.8421709430404007E-13</v>
      </c>
      <c r="AJ60" s="13">
        <f>AI60*VLOOKUP('Données projet'!$B$10,Paramètres!$A$1:$I$89,3,0)*VLOOKUP('Données projet'!$B$10,Paramètres!$A$1:$I$89,5,0)</f>
        <v>-1.69961822393816E-13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260.51637945828395</v>
      </c>
      <c r="AO60" s="59">
        <f t="shared" si="36"/>
        <v>382.46224100713982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81.272882677259645</v>
      </c>
      <c r="AV60" s="21">
        <f>EXP(-LN(2)/25)*AV59+(1-EXP(-LN(2)/25))/(LN(2)/25)*Calculateur!AQ60*Calculateur!AS60*VLOOKUP('Données projet'!$B$10,Paramètres!$A$1:$I$89,3,0)*0.475*44/12</f>
        <v>34.352778277748683</v>
      </c>
      <c r="AW60" s="21">
        <f>EXP(-LN(2)/2)*AW59+(1-EXP(-LN(2)/2))/(LN(2)/2)*AQ60*AT60*VLOOKUP('Données projet'!$B$10,Paramètres!$A$1:$I$89,3,0)*0.475*44/12</f>
        <v>0.57959354616032366</v>
      </c>
      <c r="AX60" s="21">
        <f t="shared" si="6"/>
        <v>116.20525450116865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260.51637945828395</v>
      </c>
      <c r="T61" s="59">
        <f t="shared" si="34"/>
        <v>382.46224100713982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-2.8421709430404007E-13</v>
      </c>
      <c r="AJ61" s="13">
        <f>AI61*VLOOKUP('Données projet'!$B$10,Paramètres!$A$1:$I$89,3,0)*VLOOKUP('Données projet'!$B$10,Paramètres!$A$1:$I$89,5,0)</f>
        <v>-1.69961822393816E-13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260.51637945828395</v>
      </c>
      <c r="AO61" s="59">
        <f t="shared" si="36"/>
        <v>382.46224100713982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79.679171019522229</v>
      </c>
      <c r="AV61" s="21">
        <f>EXP(-LN(2)/25)*AV60+(1-EXP(-LN(2)/25))/(LN(2)/25)*Calculateur!AQ61*Calculateur!AS61*VLOOKUP('Données projet'!$B$10,Paramètres!$A$1:$I$89,3,0)*0.475*44/12</f>
        <v>33.413399749209553</v>
      </c>
      <c r="AW61" s="21">
        <f>EXP(-LN(2)/2)*AW60+(1-EXP(-LN(2)/2))/(LN(2)/2)*AQ61*AT61*VLOOKUP('Données projet'!$B$10,Paramètres!$A$1:$I$89,3,0)*0.475*44/12</f>
        <v>0.40983452682192312</v>
      </c>
      <c r="AX61" s="21">
        <f t="shared" si="6"/>
        <v>113.5024052955537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260.51637945828395</v>
      </c>
      <c r="T62" s="59">
        <f t="shared" si="34"/>
        <v>382.46224100713982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-2.8421709430404007E-13</v>
      </c>
      <c r="AJ62" s="13">
        <f>AI62*VLOOKUP('Données projet'!$B$10,Paramètres!$A$1:$I$89,3,0)*VLOOKUP('Données projet'!$B$10,Paramètres!$A$1:$I$89,5,0)</f>
        <v>-1.69961822393816E-13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260.51637945828395</v>
      </c>
      <c r="AO62" s="59">
        <f t="shared" si="36"/>
        <v>382.46224100713982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78.116711075324915</v>
      </c>
      <c r="AV62" s="21">
        <f>EXP(-LN(2)/25)*AV61+(1-EXP(-LN(2)/25))/(LN(2)/25)*Calculateur!AQ62*Calculateur!AS62*VLOOKUP('Données projet'!$B$10,Paramètres!$A$1:$I$89,3,0)*0.475*44/12</f>
        <v>32.499708575933091</v>
      </c>
      <c r="AW62" s="21">
        <f>EXP(-LN(2)/2)*AW61+(1-EXP(-LN(2)/2))/(LN(2)/2)*AQ62*AT62*VLOOKUP('Données projet'!$B$10,Paramètres!$A$1:$I$89,3,0)*0.475*44/12</f>
        <v>0.28979677308016183</v>
      </c>
      <c r="AX62" s="21">
        <f t="shared" si="6"/>
        <v>110.90621642433817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260.51637945828395</v>
      </c>
      <c r="T63" s="59">
        <f t="shared" si="34"/>
        <v>382.46224100713982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-2.8421709430404007E-13</v>
      </c>
      <c r="AJ63" s="13">
        <f>AI63*VLOOKUP('Données projet'!$B$10,Paramètres!$A$1:$I$89,3,0)*VLOOKUP('Données projet'!$B$10,Paramètres!$A$1:$I$89,5,0)</f>
        <v>-1.69961822393816E-13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260.51637945828395</v>
      </c>
      <c r="AO63" s="59">
        <f t="shared" si="36"/>
        <v>382.46224100713982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76.584890017626847</v>
      </c>
      <c r="AV63" s="21">
        <f>EXP(-LN(2)/25)*AV62+(1-EXP(-LN(2)/25))/(LN(2)/25)*Calculateur!AQ63*Calculateur!AS63*VLOOKUP('Données projet'!$B$10,Paramètres!$A$1:$I$89,3,0)*0.475*44/12</f>
        <v>31.611002335838805</v>
      </c>
      <c r="AW63" s="21">
        <f>EXP(-LN(2)/2)*AW62+(1-EXP(-LN(2)/2))/(LN(2)/2)*AQ63*AT63*VLOOKUP('Données projet'!$B$10,Paramètres!$A$1:$I$89,3,0)*0.475*44/12</f>
        <v>0.20491726341096156</v>
      </c>
      <c r="AX63" s="21">
        <f t="shared" si="6"/>
        <v>108.40080961687661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260.51637945828395</v>
      </c>
      <c r="T64" s="59">
        <f t="shared" si="34"/>
        <v>382.46224100713982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-2.8421709430404007E-13</v>
      </c>
      <c r="AJ64" s="13">
        <f>AI64*VLOOKUP('Données projet'!$B$10,Paramètres!$A$1:$I$89,3,0)*VLOOKUP('Données projet'!$B$10,Paramètres!$A$1:$I$89,5,0)</f>
        <v>-1.69961822393816E-13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260.51637945828395</v>
      </c>
      <c r="AO64" s="59">
        <f t="shared" si="36"/>
        <v>382.46224100713982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75.083107036551652</v>
      </c>
      <c r="AV64" s="21">
        <f>EXP(-LN(2)/25)*AV63+(1-EXP(-LN(2)/25))/(LN(2)/25)*Calculateur!AQ64*Calculateur!AS64*VLOOKUP('Données projet'!$B$10,Paramètres!$A$1:$I$89,3,0)*0.475*44/12</f>
        <v>30.746597814614926</v>
      </c>
      <c r="AW64" s="21">
        <f>EXP(-LN(2)/2)*AW63+(1-EXP(-LN(2)/2))/(LN(2)/2)*AQ64*AT64*VLOOKUP('Données projet'!$B$10,Paramètres!$A$1:$I$89,3,0)*0.475*44/12</f>
        <v>0.14489838654008091</v>
      </c>
      <c r="AX64" s="21">
        <f t="shared" si="6"/>
        <v>105.97460323770666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260.51637945828395</v>
      </c>
      <c r="T65" s="59">
        <f t="shared" si="34"/>
        <v>382.46224100713982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-2.8421709430404007E-13</v>
      </c>
      <c r="AJ65" s="13">
        <f>AI65*VLOOKUP('Données projet'!$B$10,Paramètres!$A$1:$I$89,3,0)*VLOOKUP('Données projet'!$B$10,Paramètres!$A$1:$I$89,5,0)</f>
        <v>-1.69961822393816E-13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260.51637945828395</v>
      </c>
      <c r="AO65" s="59">
        <f t="shared" si="36"/>
        <v>382.46224100713982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73.610773103738168</v>
      </c>
      <c r="AV65" s="21">
        <f>EXP(-LN(2)/25)*AV64+(1-EXP(-LN(2)/25))/(LN(2)/25)*Calculateur!AQ65*Calculateur!AS65*VLOOKUP('Données projet'!$B$10,Paramètres!$A$1:$I$89,3,0)*0.475*44/12</f>
        <v>29.905830480480976</v>
      </c>
      <c r="AW65" s="21">
        <f>EXP(-LN(2)/2)*AW64+(1-EXP(-LN(2)/2))/(LN(2)/2)*AQ65*AT65*VLOOKUP('Données projet'!$B$10,Paramètres!$A$1:$I$89,3,0)*0.475*44/12</f>
        <v>0.10245863170548078</v>
      </c>
      <c r="AX65" s="21">
        <f t="shared" si="6"/>
        <v>103.61906221592461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260.51637945828395</v>
      </c>
      <c r="T66" s="59">
        <f t="shared" si="34"/>
        <v>382.46224100713982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-2.8421709430404007E-13</v>
      </c>
      <c r="AJ66" s="13">
        <f>AI66*VLOOKUP('Données projet'!$B$10,Paramètres!$A$1:$I$89,3,0)*VLOOKUP('Données projet'!$B$10,Paramètres!$A$1:$I$89,5,0)</f>
        <v>-1.69961822393816E-13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260.51637945828395</v>
      </c>
      <c r="AO66" s="59">
        <f t="shared" si="36"/>
        <v>382.46224100713982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72.167310741312136</v>
      </c>
      <c r="AV66" s="21">
        <f>EXP(-LN(2)/25)*AV65+(1-EXP(-LN(2)/25))/(LN(2)/25)*Calculateur!AQ66*Calculateur!AS66*VLOOKUP('Données projet'!$B$10,Paramètres!$A$1:$I$89,3,0)*0.475*44/12</f>
        <v>29.088053973312949</v>
      </c>
      <c r="AW66" s="21">
        <f>EXP(-LN(2)/2)*AW65+(1-EXP(-LN(2)/2))/(LN(2)/2)*AQ66*AT66*VLOOKUP('Données projet'!$B$10,Paramètres!$A$1:$I$89,3,0)*0.475*44/12</f>
        <v>7.2449193270040457E-2</v>
      </c>
      <c r="AX66" s="21">
        <f t="shared" si="6"/>
        <v>101.32781390789513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260.51637945828395</v>
      </c>
      <c r="T67" s="59">
        <f t="shared" si="34"/>
        <v>382.46224100713982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-2.8421709430404007E-13</v>
      </c>
      <c r="AJ67" s="13">
        <f>AI67*VLOOKUP('Données projet'!$B$10,Paramètres!$A$1:$I$89,3,0)*VLOOKUP('Données projet'!$B$10,Paramètres!$A$1:$I$89,5,0)</f>
        <v>-1.69961822393816E-13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260.51637945828395</v>
      </c>
      <c r="AO67" s="59">
        <f t="shared" si="36"/>
        <v>382.46224100713982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70.752153795388168</v>
      </c>
      <c r="AV67" s="21">
        <f>EXP(-LN(2)/25)*AV66+(1-EXP(-LN(2)/25))/(LN(2)/25)*Calculateur!AQ67*Calculateur!AS67*VLOOKUP('Données projet'!$B$10,Paramètres!$A$1:$I$89,3,0)*0.475*44/12</f>
        <v>28.29263960773843</v>
      </c>
      <c r="AW67" s="21">
        <f>EXP(-LN(2)/2)*AW66+(1-EXP(-LN(2)/2))/(LN(2)/2)*AQ67*AT67*VLOOKUP('Données projet'!$B$10,Paramètres!$A$1:$I$89,3,0)*0.475*44/12</f>
        <v>5.122931585274039E-2</v>
      </c>
      <c r="AX67" s="21">
        <f t="shared" si="6"/>
        <v>99.096022718979327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260.51637945828395</v>
      </c>
      <c r="T68" s="59">
        <f t="shared" si="34"/>
        <v>382.46224100713982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-2.8421709430404007E-13</v>
      </c>
      <c r="AJ68" s="13">
        <f>AI68*VLOOKUP('Données projet'!$B$10,Paramètres!$A$1:$I$89,3,0)*VLOOKUP('Données projet'!$B$10,Paramètres!$A$1:$I$89,5,0)</f>
        <v>-1.69961822393816E-13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260.51637945828395</v>
      </c>
      <c r="AO68" s="59">
        <f t="shared" si="36"/>
        <v>382.46224100713982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69.364747214013263</v>
      </c>
      <c r="AV68" s="21">
        <f>EXP(-LN(2)/25)*AV67+(1-EXP(-LN(2)/25))/(LN(2)/25)*Calculateur!AQ68*Calculateur!AS68*VLOOKUP('Données projet'!$B$10,Paramètres!$A$1:$I$89,3,0)*0.475*44/12</f>
        <v>27.518975889819568</v>
      </c>
      <c r="AW68" s="21">
        <f>EXP(-LN(2)/2)*AW67+(1-EXP(-LN(2)/2))/(LN(2)/2)*AQ68*AT68*VLOOKUP('Données projet'!$B$10,Paramètres!$A$1:$I$89,3,0)*0.475*44/12</f>
        <v>3.6224596635020229E-2</v>
      </c>
      <c r="AX68" s="21">
        <f t="shared" ref="AX68:AX131" si="60">SUM(AU68:AW68)</f>
        <v>96.919947700467858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260.51637945828395</v>
      </c>
      <c r="T69" s="59">
        <f t="shared" ref="T69:T132" si="88">$T$3</f>
        <v>382.46224100713982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-2.8421709430404007E-13</v>
      </c>
      <c r="AJ69" s="13">
        <f>AI69*VLOOKUP('Données projet'!$B$10,Paramètres!$A$1:$I$89,3,0)*VLOOKUP('Données projet'!$B$10,Paramètres!$A$1:$I$89,5,0)</f>
        <v>-1.69961822393816E-13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260.51637945828395</v>
      </c>
      <c r="AO69" s="59">
        <f t="shared" ref="AO69:AO132" si="90">$AO$3</f>
        <v>382.46224100713982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68.004546829464658</v>
      </c>
      <c r="AV69" s="21">
        <f>EXP(-LN(2)/25)*AV68+(1-EXP(-LN(2)/25))/(LN(2)/25)*Calculateur!AQ69*Calculateur!AS69*VLOOKUP('Données projet'!$B$10,Paramètres!$A$1:$I$89,3,0)*0.475*44/12</f>
        <v>26.766468046952404</v>
      </c>
      <c r="AW69" s="21">
        <f>EXP(-LN(2)/2)*AW68+(1-EXP(-LN(2)/2))/(LN(2)/2)*AQ69*AT69*VLOOKUP('Données projet'!$B$10,Paramètres!$A$1:$I$89,3,0)*0.475*44/12</f>
        <v>2.5614657926370195E-2</v>
      </c>
      <c r="AX69" s="21">
        <f t="shared" si="60"/>
        <v>94.796629534343438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260.51637945828395</v>
      </c>
      <c r="T70" s="59">
        <f t="shared" si="88"/>
        <v>382.46224100713982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-2.8421709430404007E-13</v>
      </c>
      <c r="AJ70" s="13">
        <f>AI70*VLOOKUP('Données projet'!$B$10,Paramètres!$A$1:$I$89,3,0)*VLOOKUP('Données projet'!$B$10,Paramètres!$A$1:$I$89,5,0)</f>
        <v>-1.69961822393816E-13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260.51637945828395</v>
      </c>
      <c r="AO70" s="59">
        <f t="shared" si="90"/>
        <v>382.46224100713982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66.671019144816739</v>
      </c>
      <c r="AV70" s="21">
        <f>EXP(-LN(2)/25)*AV69+(1-EXP(-LN(2)/25))/(LN(2)/25)*Calculateur!AQ70*Calculateur!AS70*VLOOKUP('Données projet'!$B$10,Paramètres!$A$1:$I$89,3,0)*0.475*44/12</f>
        <v>26.034537570621112</v>
      </c>
      <c r="AW70" s="21">
        <f>EXP(-LN(2)/2)*AW69+(1-EXP(-LN(2)/2))/(LN(2)/2)*AQ70*AT70*VLOOKUP('Données projet'!$B$10,Paramètres!$A$1:$I$89,3,0)*0.475*44/12</f>
        <v>1.8112298317510114E-2</v>
      </c>
      <c r="AX70" s="21">
        <f t="shared" si="60"/>
        <v>92.723669013755355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260.51637945828395</v>
      </c>
      <c r="T71" s="59">
        <f t="shared" si="88"/>
        <v>382.46224100713982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-2.8421709430404007E-13</v>
      </c>
      <c r="AJ71" s="13">
        <f>AI71*VLOOKUP('Données projet'!$B$10,Paramètres!$A$1:$I$89,3,0)*VLOOKUP('Données projet'!$B$10,Paramètres!$A$1:$I$89,5,0)</f>
        <v>-1.69961822393816E-13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260.51637945828395</v>
      </c>
      <c r="AO71" s="59">
        <f t="shared" si="90"/>
        <v>382.46224100713982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65.363641124693203</v>
      </c>
      <c r="AV71" s="21">
        <f>EXP(-LN(2)/25)*AV70+(1-EXP(-LN(2)/25))/(LN(2)/25)*Calculateur!AQ71*Calculateur!AS71*VLOOKUP('Données projet'!$B$10,Paramètres!$A$1:$I$89,3,0)*0.475*44/12</f>
        <v>25.322621771655648</v>
      </c>
      <c r="AW71" s="21">
        <f>EXP(-LN(2)/2)*AW70+(1-EXP(-LN(2)/2))/(LN(2)/2)*AQ71*AT71*VLOOKUP('Données projet'!$B$10,Paramètres!$A$1:$I$89,3,0)*0.475*44/12</f>
        <v>1.2807328963185097E-2</v>
      </c>
      <c r="AX71" s="21">
        <f t="shared" si="60"/>
        <v>90.699070225312042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260.51637945828395</v>
      </c>
      <c r="T72" s="59">
        <f t="shared" si="88"/>
        <v>382.46224100713982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-2.8421709430404007E-13</v>
      </c>
      <c r="AJ72" s="13">
        <f>AI72*VLOOKUP('Données projet'!$B$10,Paramètres!$A$1:$I$89,3,0)*VLOOKUP('Données projet'!$B$10,Paramètres!$A$1:$I$89,5,0)</f>
        <v>-1.69961822393816E-13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260.51637945828395</v>
      </c>
      <c r="AO72" s="59">
        <f t="shared" si="90"/>
        <v>382.46224100713982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64.081899990122423</v>
      </c>
      <c r="AV72" s="21">
        <f>EXP(-LN(2)/25)*AV71+(1-EXP(-LN(2)/25))/(LN(2)/25)*Calculateur!AQ72*Calculateur!AS72*VLOOKUP('Données projet'!$B$10,Paramètres!$A$1:$I$89,3,0)*0.475*44/12</f>
        <v>24.630173347650921</v>
      </c>
      <c r="AW72" s="21">
        <f>EXP(-LN(2)/2)*AW71+(1-EXP(-LN(2)/2))/(LN(2)/2)*AQ72*AT72*VLOOKUP('Données projet'!$B$10,Paramètres!$A$1:$I$89,3,0)*0.475*44/12</f>
        <v>9.0561491587550572E-3</v>
      </c>
      <c r="AX72" s="21">
        <f t="shared" si="60"/>
        <v>88.721129486932099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260.51637945828395</v>
      </c>
      <c r="T73" s="59">
        <f t="shared" si="88"/>
        <v>382.46224100713982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-2.8421709430404007E-13</v>
      </c>
      <c r="AJ73" s="13">
        <f>AI73*VLOOKUP('Données projet'!$B$10,Paramètres!$A$1:$I$89,3,0)*VLOOKUP('Données projet'!$B$10,Paramètres!$A$1:$I$89,5,0)</f>
        <v>-1.69961822393816E-13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260.51637945828395</v>
      </c>
      <c r="AO73" s="59">
        <f t="shared" si="90"/>
        <v>382.46224100713982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62.825293017415682</v>
      </c>
      <c r="AV73" s="21">
        <f>EXP(-LN(2)/25)*AV72+(1-EXP(-LN(2)/25))/(LN(2)/25)*Calculateur!AQ73*Calculateur!AS73*VLOOKUP('Données projet'!$B$10,Paramètres!$A$1:$I$89,3,0)*0.475*44/12</f>
        <v>23.956659962214882</v>
      </c>
      <c r="AW73" s="21">
        <f>EXP(-LN(2)/2)*AW72+(1-EXP(-LN(2)/2))/(LN(2)/2)*AQ73*AT73*VLOOKUP('Données projet'!$B$10,Paramètres!$A$1:$I$89,3,0)*0.475*44/12</f>
        <v>6.4036644815925487E-3</v>
      </c>
      <c r="AX73" s="21">
        <f t="shared" si="60"/>
        <v>86.788356644112156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260.51637945828395</v>
      </c>
      <c r="T74" s="59">
        <f t="shared" si="88"/>
        <v>382.46224100713982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-2.8421709430404007E-13</v>
      </c>
      <c r="AJ74" s="13">
        <f>AI74*VLOOKUP('Données projet'!$B$10,Paramètres!$A$1:$I$89,3,0)*VLOOKUP('Données projet'!$B$10,Paramètres!$A$1:$I$89,5,0)</f>
        <v>-1.69961822393816E-13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260.51637945828395</v>
      </c>
      <c r="AO74" s="59">
        <f t="shared" si="90"/>
        <v>382.46224100713982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61.593327340989148</v>
      </c>
      <c r="AV74" s="21">
        <f>EXP(-LN(2)/25)*AV73+(1-EXP(-LN(2)/25))/(LN(2)/25)*Calculateur!AQ74*Calculateur!AS74*VLOOKUP('Données projet'!$B$10,Paramètres!$A$1:$I$89,3,0)*0.475*44/12</f>
        <v>23.301563835722124</v>
      </c>
      <c r="AW74" s="21">
        <f>EXP(-LN(2)/2)*AW73+(1-EXP(-LN(2)/2))/(LN(2)/2)*AQ74*AT74*VLOOKUP('Données projet'!$B$10,Paramètres!$A$1:$I$89,3,0)*0.475*44/12</f>
        <v>4.5280745793775286E-3</v>
      </c>
      <c r="AX74" s="21">
        <f t="shared" si="60"/>
        <v>84.899419251290652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260.51637945828395</v>
      </c>
      <c r="T75" s="59">
        <f t="shared" si="88"/>
        <v>382.46224100713982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-2.8421709430404007E-13</v>
      </c>
      <c r="AJ75" s="13">
        <f>AI75*VLOOKUP('Données projet'!$B$10,Paramètres!$A$1:$I$89,3,0)*VLOOKUP('Données projet'!$B$10,Paramètres!$A$1:$I$89,5,0)</f>
        <v>-1.69961822393816E-13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260.51637945828395</v>
      </c>
      <c r="AO75" s="59">
        <f t="shared" si="90"/>
        <v>382.46224100713982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60.385519760052475</v>
      </c>
      <c r="AV75" s="21">
        <f>EXP(-LN(2)/25)*AV74+(1-EXP(-LN(2)/25))/(LN(2)/25)*Calculateur!AQ75*Calculateur!AS75*VLOOKUP('Données projet'!$B$10,Paramètres!$A$1:$I$89,3,0)*0.475*44/12</f>
        <v>22.664381347258317</v>
      </c>
      <c r="AW75" s="21">
        <f>EXP(-LN(2)/2)*AW74+(1-EXP(-LN(2)/2))/(LN(2)/2)*AQ75*AT75*VLOOKUP('Données projet'!$B$10,Paramètres!$A$1:$I$89,3,0)*0.475*44/12</f>
        <v>3.2018322407962744E-3</v>
      </c>
      <c r="AX75" s="21">
        <f t="shared" si="60"/>
        <v>83.053102939551579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260.51637945828395</v>
      </c>
      <c r="T76" s="59">
        <f t="shared" si="88"/>
        <v>382.46224100713982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-2.8421709430404007E-13</v>
      </c>
      <c r="AJ76" s="13">
        <f>AI76*VLOOKUP('Données projet'!$B$10,Paramètres!$A$1:$I$89,3,0)*VLOOKUP('Données projet'!$B$10,Paramètres!$A$1:$I$89,5,0)</f>
        <v>-1.69961822393816E-13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260.51637945828395</v>
      </c>
      <c r="AO76" s="59">
        <f t="shared" si="90"/>
        <v>382.46224100713982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59.201396549088088</v>
      </c>
      <c r="AV76" s="21">
        <f>EXP(-LN(2)/25)*AV75+(1-EXP(-LN(2)/25))/(LN(2)/25)*Calculateur!AQ76*Calculateur!AS76*VLOOKUP('Données projet'!$B$10,Paramètres!$A$1:$I$89,3,0)*0.475*44/12</f>
        <v>22.044622647449522</v>
      </c>
      <c r="AW76" s="21">
        <f>EXP(-LN(2)/2)*AW75+(1-EXP(-LN(2)/2))/(LN(2)/2)*AQ76*AT76*VLOOKUP('Données projet'!$B$10,Paramètres!$A$1:$I$89,3,0)*0.475*44/12</f>
        <v>2.2640372896887643E-3</v>
      </c>
      <c r="AX76" s="21">
        <f t="shared" si="60"/>
        <v>81.248283233827308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260.51637945828395</v>
      </c>
      <c r="T77" s="59">
        <f t="shared" si="88"/>
        <v>382.46224100713982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-2.8421709430404007E-13</v>
      </c>
      <c r="AJ77" s="13">
        <f>AI77*VLOOKUP('Données projet'!$B$10,Paramètres!$A$1:$I$89,3,0)*VLOOKUP('Données projet'!$B$10,Paramètres!$A$1:$I$89,5,0)</f>
        <v>-1.69961822393816E-13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260.51637945828395</v>
      </c>
      <c r="AO77" s="59">
        <f t="shared" si="90"/>
        <v>382.46224100713982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58.040493272046866</v>
      </c>
      <c r="AV77" s="21">
        <f>EXP(-LN(2)/25)*AV76+(1-EXP(-LN(2)/25))/(LN(2)/25)*Calculateur!AQ77*Calculateur!AS77*VLOOKUP('Données projet'!$B$10,Paramètres!$A$1:$I$89,3,0)*0.475*44/12</f>
        <v>21.441811281878692</v>
      </c>
      <c r="AW77" s="21">
        <f>EXP(-LN(2)/2)*AW76+(1-EXP(-LN(2)/2))/(LN(2)/2)*AQ77*AT77*VLOOKUP('Données projet'!$B$10,Paramètres!$A$1:$I$89,3,0)*0.475*44/12</f>
        <v>1.6009161203981372E-3</v>
      </c>
      <c r="AX77" s="21">
        <f t="shared" si="60"/>
        <v>79.483905470045954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260.51637945828395</v>
      </c>
      <c r="T78" s="59">
        <f t="shared" si="88"/>
        <v>382.46224100713982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-2.8421709430404007E-13</v>
      </c>
      <c r="AJ78" s="13">
        <f>AI78*VLOOKUP('Données projet'!$B$10,Paramètres!$A$1:$I$89,3,0)*VLOOKUP('Données projet'!$B$10,Paramètres!$A$1:$I$89,5,0)</f>
        <v>-1.69961822393816E-13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260.51637945828395</v>
      </c>
      <c r="AO78" s="59">
        <f t="shared" si="90"/>
        <v>382.46224100713982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56.902354600187344</v>
      </c>
      <c r="AV78" s="21">
        <f>EXP(-LN(2)/25)*AV77+(1-EXP(-LN(2)/25))/(LN(2)/25)*Calculateur!AQ78*Calculateur!AS78*VLOOKUP('Données projet'!$B$10,Paramètres!$A$1:$I$89,3,0)*0.475*44/12</f>
        <v>20.855483824799869</v>
      </c>
      <c r="AW78" s="21">
        <f>EXP(-LN(2)/2)*AW77+(1-EXP(-LN(2)/2))/(LN(2)/2)*AQ78*AT78*VLOOKUP('Données projet'!$B$10,Paramètres!$A$1:$I$89,3,0)*0.475*44/12</f>
        <v>1.1320186448443821E-3</v>
      </c>
      <c r="AX78" s="21">
        <f t="shared" si="60"/>
        <v>77.758970443632052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260.51637945828395</v>
      </c>
      <c r="T79" s="59">
        <f t="shared" si="88"/>
        <v>382.46224100713982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-2.8421709430404007E-13</v>
      </c>
      <c r="AJ79" s="13">
        <f>AI79*VLOOKUP('Données projet'!$B$10,Paramètres!$A$1:$I$89,3,0)*VLOOKUP('Données projet'!$B$10,Paramètres!$A$1:$I$89,5,0)</f>
        <v>-1.69961822393816E-13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260.51637945828395</v>
      </c>
      <c r="AO79" s="59">
        <f t="shared" si="90"/>
        <v>382.46224100713982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55.786534133486946</v>
      </c>
      <c r="AV79" s="21">
        <f>EXP(-LN(2)/25)*AV78+(1-EXP(-LN(2)/25))/(LN(2)/25)*Calculateur!AQ79*Calculateur!AS79*VLOOKUP('Données projet'!$B$10,Paramètres!$A$1:$I$89,3,0)*0.475*44/12</f>
        <v>20.285189522868489</v>
      </c>
      <c r="AW79" s="21">
        <f>EXP(-LN(2)/2)*AW78+(1-EXP(-LN(2)/2))/(LN(2)/2)*AQ79*AT79*VLOOKUP('Données projet'!$B$10,Paramètres!$A$1:$I$89,3,0)*0.475*44/12</f>
        <v>8.0045806019906859E-4</v>
      </c>
      <c r="AX79" s="21">
        <f t="shared" si="60"/>
        <v>76.072524114415629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260.51637945828395</v>
      </c>
      <c r="T80" s="59">
        <f t="shared" si="88"/>
        <v>382.46224100713982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-2.8421709430404007E-13</v>
      </c>
      <c r="AJ80" s="13">
        <f>AI80*VLOOKUP('Données projet'!$B$10,Paramètres!$A$1:$I$89,3,0)*VLOOKUP('Données projet'!$B$10,Paramètres!$A$1:$I$89,5,0)</f>
        <v>-1.69961822393816E-13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260.51637945828395</v>
      </c>
      <c r="AO80" s="59">
        <f t="shared" si="90"/>
        <v>382.46224100713982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54.692594225555254</v>
      </c>
      <c r="AV80" s="21">
        <f>EXP(-LN(2)/25)*AV79+(1-EXP(-LN(2)/25))/(LN(2)/25)*Calculateur!AQ80*Calculateur!AS80*VLOOKUP('Données projet'!$B$10,Paramètres!$A$1:$I$89,3,0)*0.475*44/12</f>
        <v>19.730489948613897</v>
      </c>
      <c r="AW80" s="21">
        <f>EXP(-LN(2)/2)*AW79+(1-EXP(-LN(2)/2))/(LN(2)/2)*AQ80*AT80*VLOOKUP('Données projet'!$B$10,Paramètres!$A$1:$I$89,3,0)*0.475*44/12</f>
        <v>5.6600932242219107E-4</v>
      </c>
      <c r="AX80" s="21">
        <f t="shared" si="60"/>
        <v>74.423650183491574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260.51637945828395</v>
      </c>
      <c r="T81" s="59">
        <f t="shared" si="88"/>
        <v>382.46224100713982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-2.8421709430404007E-13</v>
      </c>
      <c r="AJ81" s="13">
        <f>AI81*VLOOKUP('Données projet'!$B$10,Paramètres!$A$1:$I$89,3,0)*VLOOKUP('Données projet'!$B$10,Paramètres!$A$1:$I$89,5,0)</f>
        <v>-1.69961822393816E-13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260.51637945828395</v>
      </c>
      <c r="AO81" s="59">
        <f t="shared" si="90"/>
        <v>382.46224100713982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53.62010581198065</v>
      </c>
      <c r="AV81" s="21">
        <f>EXP(-LN(2)/25)*AV80+(1-EXP(-LN(2)/25))/(LN(2)/25)*Calculateur!AQ81*Calculateur!AS81*VLOOKUP('Données projet'!$B$10,Paramètres!$A$1:$I$89,3,0)*0.475*44/12</f>
        <v>19.190958663387679</v>
      </c>
      <c r="AW81" s="21">
        <f>EXP(-LN(2)/2)*AW80+(1-EXP(-LN(2)/2))/(LN(2)/2)*AQ81*AT81*VLOOKUP('Données projet'!$B$10,Paramètres!$A$1:$I$89,3,0)*0.475*44/12</f>
        <v>4.0022903009953429E-4</v>
      </c>
      <c r="AX81" s="21">
        <f t="shared" si="60"/>
        <v>72.811464704398432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260.51637945828395</v>
      </c>
      <c r="T82" s="59">
        <f t="shared" si="88"/>
        <v>382.46224100713982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-2.8421709430404007E-13</v>
      </c>
      <c r="AJ82" s="13">
        <f>AI82*VLOOKUP('Données projet'!$B$10,Paramètres!$A$1:$I$89,3,0)*VLOOKUP('Données projet'!$B$10,Paramètres!$A$1:$I$89,5,0)</f>
        <v>-1.69961822393816E-13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260.51637945828395</v>
      </c>
      <c r="AO82" s="59">
        <f t="shared" si="90"/>
        <v>382.46224100713982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52.568648242042904</v>
      </c>
      <c r="AV82" s="21">
        <f>EXP(-LN(2)/25)*AV81+(1-EXP(-LN(2)/25))/(LN(2)/25)*Calculateur!AQ82*Calculateur!AS82*VLOOKUP('Données projet'!$B$10,Paramètres!$A$1:$I$89,3,0)*0.475*44/12</f>
        <v>18.66618088952869</v>
      </c>
      <c r="AW82" s="21">
        <f>EXP(-LN(2)/2)*AW81+(1-EXP(-LN(2)/2))/(LN(2)/2)*AQ82*AT82*VLOOKUP('Données projet'!$B$10,Paramètres!$A$1:$I$89,3,0)*0.475*44/12</f>
        <v>2.8300466121109554E-4</v>
      </c>
      <c r="AX82" s="21">
        <f t="shared" si="60"/>
        <v>71.2351121362328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260.51637945828395</v>
      </c>
      <c r="T83" s="59">
        <f t="shared" si="88"/>
        <v>382.46224100713982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-2.8421709430404007E-13</v>
      </c>
      <c r="AJ83" s="13">
        <f>AI83*VLOOKUP('Données projet'!$B$10,Paramètres!$A$1:$I$89,3,0)*VLOOKUP('Données projet'!$B$10,Paramètres!$A$1:$I$89,5,0)</f>
        <v>-1.69961822393816E-13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260.51637945828395</v>
      </c>
      <c r="AO83" s="59">
        <f t="shared" si="90"/>
        <v>382.46224100713982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51.537809113725842</v>
      </c>
      <c r="AV83" s="21">
        <f>EXP(-LN(2)/25)*AV82+(1-EXP(-LN(2)/25))/(LN(2)/25)*Calculateur!AQ83*Calculateur!AS83*VLOOKUP('Données projet'!$B$10,Paramètres!$A$1:$I$89,3,0)*0.475*44/12</f>
        <v>18.155753191492735</v>
      </c>
      <c r="AW83" s="21">
        <f>EXP(-LN(2)/2)*AW82+(1-EXP(-LN(2)/2))/(LN(2)/2)*AQ83*AT83*VLOOKUP('Données projet'!$B$10,Paramètres!$A$1:$I$89,3,0)*0.475*44/12</f>
        <v>2.0011451504976715E-4</v>
      </c>
      <c r="AX83" s="21">
        <f t="shared" si="60"/>
        <v>69.693762419733631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260.51637945828395</v>
      </c>
      <c r="T84" s="59">
        <f t="shared" si="88"/>
        <v>382.46224100713982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-2.8421709430404007E-13</v>
      </c>
      <c r="AJ84" s="13">
        <f>AI84*VLOOKUP('Données projet'!$B$10,Paramètres!$A$1:$I$89,3,0)*VLOOKUP('Données projet'!$B$10,Paramètres!$A$1:$I$89,5,0)</f>
        <v>-1.69961822393816E-13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260.51637945828395</v>
      </c>
      <c r="AO84" s="59">
        <f t="shared" si="90"/>
        <v>382.46224100713982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50.52718411196529</v>
      </c>
      <c r="AV84" s="21">
        <f>EXP(-LN(2)/25)*AV83+(1-EXP(-LN(2)/25))/(LN(2)/25)*Calculateur!AQ84*Calculateur!AS84*VLOOKUP('Données projet'!$B$10,Paramètres!$A$1:$I$89,3,0)*0.475*44/12</f>
        <v>17.659283165701801</v>
      </c>
      <c r="AW84" s="21">
        <f>EXP(-LN(2)/2)*AW83+(1-EXP(-LN(2)/2))/(LN(2)/2)*AQ84*AT84*VLOOKUP('Données projet'!$B$10,Paramètres!$A$1:$I$89,3,0)*0.475*44/12</f>
        <v>1.4150233060554777E-4</v>
      </c>
      <c r="AX84" s="21">
        <f t="shared" si="60"/>
        <v>68.186608779997698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260.51637945828395</v>
      </c>
      <c r="T85" s="59">
        <f t="shared" si="88"/>
        <v>382.46224100713982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-2.8421709430404007E-13</v>
      </c>
      <c r="AJ85" s="13">
        <f>AI85*VLOOKUP('Données projet'!$B$10,Paramètres!$A$1:$I$89,3,0)*VLOOKUP('Données projet'!$B$10,Paramètres!$A$1:$I$89,5,0)</f>
        <v>-1.69961822393816E-13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260.51637945828395</v>
      </c>
      <c r="AO85" s="59">
        <f t="shared" si="90"/>
        <v>382.46224100713982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49.536376850068883</v>
      </c>
      <c r="AV85" s="21">
        <f>EXP(-LN(2)/25)*AV84+(1-EXP(-LN(2)/25))/(LN(2)/25)*Calculateur!AQ85*Calculateur!AS85*VLOOKUP('Données projet'!$B$10,Paramètres!$A$1:$I$89,3,0)*0.475*44/12</f>
        <v>17.176389138874345</v>
      </c>
      <c r="AW85" s="21">
        <f>EXP(-LN(2)/2)*AW84+(1-EXP(-LN(2)/2))/(LN(2)/2)*AQ85*AT85*VLOOKUP('Données projet'!$B$10,Paramètres!$A$1:$I$89,3,0)*0.475*44/12</f>
        <v>1.0005725752488357E-4</v>
      </c>
      <c r="AX85" s="21">
        <f t="shared" si="60"/>
        <v>66.712866046200759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260.51637945828395</v>
      </c>
      <c r="T86" s="59">
        <f t="shared" si="88"/>
        <v>382.46224100713982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-2.8421709430404007E-13</v>
      </c>
      <c r="AJ86" s="13">
        <f>AI86*VLOOKUP('Données projet'!$B$10,Paramètres!$A$1:$I$89,3,0)*VLOOKUP('Données projet'!$B$10,Paramètres!$A$1:$I$89,5,0)</f>
        <v>-1.69961822393816E-13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260.51637945828395</v>
      </c>
      <c r="AO86" s="59">
        <f t="shared" si="90"/>
        <v>382.46224100713982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48.564998714245505</v>
      </c>
      <c r="AV86" s="21">
        <f>EXP(-LN(2)/25)*AV85+(1-EXP(-LN(2)/25))/(LN(2)/25)*Calculateur!AQ86*Calculateur!AS86*VLOOKUP('Données projet'!$B$10,Paramètres!$A$1:$I$89,3,0)*0.475*44/12</f>
        <v>16.70669987460478</v>
      </c>
      <c r="AW86" s="21">
        <f>EXP(-LN(2)/2)*AW85+(1-EXP(-LN(2)/2))/(LN(2)/2)*AQ86*AT86*VLOOKUP('Données projet'!$B$10,Paramètres!$A$1:$I$89,3,0)*0.475*44/12</f>
        <v>7.0751165302773884E-5</v>
      </c>
      <c r="AX86" s="21">
        <f t="shared" si="60"/>
        <v>65.271769340015581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260.51637945828395</v>
      </c>
      <c r="T87" s="59">
        <f t="shared" si="88"/>
        <v>382.46224100713982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-2.8421709430404007E-13</v>
      </c>
      <c r="AJ87" s="13">
        <f>AI87*VLOOKUP('Données projet'!$B$10,Paramètres!$A$1:$I$89,3,0)*VLOOKUP('Données projet'!$B$10,Paramètres!$A$1:$I$89,5,0)</f>
        <v>-1.69961822393816E-13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260.51637945828395</v>
      </c>
      <c r="AO87" s="59">
        <f t="shared" si="90"/>
        <v>382.46224100713982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47.612668711183467</v>
      </c>
      <c r="AV87" s="21">
        <f>EXP(-LN(2)/25)*AV86+(1-EXP(-LN(2)/25))/(LN(2)/25)*Calculateur!AQ87*Calculateur!AS87*VLOOKUP('Données projet'!$B$10,Paramètres!$A$1:$I$89,3,0)*0.475*44/12</f>
        <v>16.249854287966549</v>
      </c>
      <c r="AW87" s="21">
        <f>EXP(-LN(2)/2)*AW86+(1-EXP(-LN(2)/2))/(LN(2)/2)*AQ87*AT87*VLOOKUP('Données projet'!$B$10,Paramètres!$A$1:$I$89,3,0)*0.475*44/12</f>
        <v>5.0028628762441787E-5</v>
      </c>
      <c r="AX87" s="21">
        <f t="shared" si="60"/>
        <v>63.86257302777878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260.51637945828395</v>
      </c>
      <c r="T88" s="59">
        <f t="shared" si="88"/>
        <v>382.46224100713982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-2.8421709430404007E-13</v>
      </c>
      <c r="AJ88" s="13">
        <f>AI88*VLOOKUP('Données projet'!$B$10,Paramètres!$A$1:$I$89,3,0)*VLOOKUP('Données projet'!$B$10,Paramètres!$A$1:$I$89,5,0)</f>
        <v>-1.69961822393816E-13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260.51637945828395</v>
      </c>
      <c r="AO88" s="59">
        <f t="shared" si="90"/>
        <v>382.46224100713982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46.679013318617528</v>
      </c>
      <c r="AV88" s="21">
        <f>EXP(-LN(2)/25)*AV87+(1-EXP(-LN(2)/25))/(LN(2)/25)*Calculateur!AQ88*Calculateur!AS88*VLOOKUP('Données projet'!$B$10,Paramètres!$A$1:$I$89,3,0)*0.475*44/12</f>
        <v>15.805501167919406</v>
      </c>
      <c r="AW88" s="21">
        <f>EXP(-LN(2)/2)*AW87+(1-EXP(-LN(2)/2))/(LN(2)/2)*AQ88*AT88*VLOOKUP('Données projet'!$B$10,Paramètres!$A$1:$I$89,3,0)*0.475*44/12</f>
        <v>3.5375582651386942E-5</v>
      </c>
      <c r="AX88" s="21">
        <f t="shared" si="60"/>
        <v>62.484549862119586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260.51637945828395</v>
      </c>
      <c r="T89" s="59">
        <f t="shared" si="88"/>
        <v>382.46224100713982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-2.8421709430404007E-13</v>
      </c>
      <c r="AJ89" s="13">
        <f>AI89*VLOOKUP('Données projet'!$B$10,Paramètres!$A$1:$I$89,3,0)*VLOOKUP('Données projet'!$B$10,Paramètres!$A$1:$I$89,5,0)</f>
        <v>-1.69961822393816E-13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260.51637945828395</v>
      </c>
      <c r="AO89" s="59">
        <f t="shared" si="90"/>
        <v>382.46224100713982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45.763666338826248</v>
      </c>
      <c r="AV89" s="21">
        <f>EXP(-LN(2)/25)*AV88+(1-EXP(-LN(2)/25))/(LN(2)/25)*Calculateur!AQ89*Calculateur!AS89*VLOOKUP('Données projet'!$B$10,Paramètres!$A$1:$I$89,3,0)*0.475*44/12</f>
        <v>15.373298907307467</v>
      </c>
      <c r="AW89" s="21">
        <f>EXP(-LN(2)/2)*AW88+(1-EXP(-LN(2)/2))/(LN(2)/2)*AQ89*AT89*VLOOKUP('Données projet'!$B$10,Paramètres!$A$1:$I$89,3,0)*0.475*44/12</f>
        <v>2.5014314381220893E-5</v>
      </c>
      <c r="AX89" s="21">
        <f t="shared" si="60"/>
        <v>61.136990260448094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260.51637945828395</v>
      </c>
      <c r="T90" s="59">
        <f t="shared" si="88"/>
        <v>382.46224100713982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-2.8421709430404007E-13</v>
      </c>
      <c r="AJ90" s="13">
        <f>AI90*VLOOKUP('Données projet'!$B$10,Paramètres!$A$1:$I$89,3,0)*VLOOKUP('Données projet'!$B$10,Paramètres!$A$1:$I$89,5,0)</f>
        <v>-1.69961822393816E-13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260.51637945828395</v>
      </c>
      <c r="AO90" s="59">
        <f t="shared" si="90"/>
        <v>382.46224100713982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44.866268755002146</v>
      </c>
      <c r="AV90" s="21">
        <f>EXP(-LN(2)/25)*AV89+(1-EXP(-LN(2)/25))/(LN(2)/25)*Calculateur!AQ90*Calculateur!AS90*VLOOKUP('Données projet'!$B$10,Paramètres!$A$1:$I$89,3,0)*0.475*44/12</f>
        <v>14.95291524024049</v>
      </c>
      <c r="AW90" s="21">
        <f>EXP(-LN(2)/2)*AW89+(1-EXP(-LN(2)/2))/(LN(2)/2)*AQ90*AT90*VLOOKUP('Données projet'!$B$10,Paramètres!$A$1:$I$89,3,0)*0.475*44/12</f>
        <v>1.7687791325693471E-5</v>
      </c>
      <c r="AX90" s="21">
        <f t="shared" si="60"/>
        <v>59.819201683033967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260.51637945828395</v>
      </c>
      <c r="T91" s="59">
        <f t="shared" si="88"/>
        <v>382.46224100713982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-2.8421709430404007E-13</v>
      </c>
      <c r="AJ91" s="13">
        <f>AI91*VLOOKUP('Données projet'!$B$10,Paramètres!$A$1:$I$89,3,0)*VLOOKUP('Données projet'!$B$10,Paramètres!$A$1:$I$89,5,0)</f>
        <v>-1.69961822393816E-13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260.51637945828395</v>
      </c>
      <c r="AO91" s="59">
        <f t="shared" si="90"/>
        <v>382.46224100713982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43.986468590438356</v>
      </c>
      <c r="AV91" s="21">
        <f>EXP(-LN(2)/25)*AV90+(1-EXP(-LN(2)/25))/(LN(2)/25)*Calculateur!AQ91*Calculateur!AS91*VLOOKUP('Données projet'!$B$10,Paramètres!$A$1:$I$89,3,0)*0.475*44/12</f>
        <v>14.544026986656476</v>
      </c>
      <c r="AW91" s="21">
        <f>EXP(-LN(2)/2)*AW90+(1-EXP(-LN(2)/2))/(LN(2)/2)*AQ91*AT91*VLOOKUP('Données projet'!$B$10,Paramètres!$A$1:$I$89,3,0)*0.475*44/12</f>
        <v>1.2507157190610447E-5</v>
      </c>
      <c r="AX91" s="21">
        <f t="shared" si="60"/>
        <v>58.53050808425202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260.51637945828395</v>
      </c>
      <c r="T92" s="59">
        <f t="shared" si="88"/>
        <v>382.46224100713982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-2.8421709430404007E-13</v>
      </c>
      <c r="AJ92" s="13">
        <f>AI92*VLOOKUP('Données projet'!$B$10,Paramètres!$A$1:$I$89,3,0)*VLOOKUP('Données projet'!$B$10,Paramètres!$A$1:$I$89,5,0)</f>
        <v>-1.69961822393816E-13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260.51637945828395</v>
      </c>
      <c r="AO92" s="59">
        <f t="shared" si="90"/>
        <v>382.46224100713982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43.123920770476545</v>
      </c>
      <c r="AV92" s="21">
        <f>EXP(-LN(2)/25)*AV91+(1-EXP(-LN(2)/25))/(LN(2)/25)*Calculateur!AQ92*Calculateur!AS92*VLOOKUP('Données projet'!$B$10,Paramètres!$A$1:$I$89,3,0)*0.475*44/12</f>
        <v>14.146319803869217</v>
      </c>
      <c r="AW92" s="21">
        <f>EXP(-LN(2)/2)*AW91+(1-EXP(-LN(2)/2))/(LN(2)/2)*AQ92*AT92*VLOOKUP('Données projet'!$B$10,Paramètres!$A$1:$I$89,3,0)*0.475*44/12</f>
        <v>8.8438956628467355E-6</v>
      </c>
      <c r="AX92" s="21">
        <f t="shared" si="60"/>
        <v>57.270249418241427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260.51637945828395</v>
      </c>
      <c r="T93" s="59">
        <f t="shared" si="88"/>
        <v>382.46224100713982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-2.8421709430404007E-13</v>
      </c>
      <c r="AJ93" s="13">
        <f>AI93*VLOOKUP('Données projet'!$B$10,Paramètres!$A$1:$I$89,3,0)*VLOOKUP('Données projet'!$B$10,Paramètres!$A$1:$I$89,5,0)</f>
        <v>-1.69961822393816E-13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260.51637945828395</v>
      </c>
      <c r="AO93" s="59">
        <f t="shared" si="90"/>
        <v>382.46224100713982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42.278286987161962</v>
      </c>
      <c r="AV93" s="21">
        <f>EXP(-LN(2)/25)*AV92+(1-EXP(-LN(2)/25))/(LN(2)/25)*Calculateur!AQ93*Calculateur!AS93*VLOOKUP('Données projet'!$B$10,Paramètres!$A$1:$I$89,3,0)*0.475*44/12</f>
        <v>13.759487944909786</v>
      </c>
      <c r="AW93" s="21">
        <f>EXP(-LN(2)/2)*AW92+(1-EXP(-LN(2)/2))/(LN(2)/2)*AQ93*AT93*VLOOKUP('Données projet'!$B$10,Paramètres!$A$1:$I$89,3,0)*0.475*44/12</f>
        <v>6.2535785953052233E-6</v>
      </c>
      <c r="AX93" s="21">
        <f t="shared" si="60"/>
        <v>56.037781185650346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260.51637945828395</v>
      </c>
      <c r="T94" s="59">
        <f t="shared" si="88"/>
        <v>382.46224100713982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-2.8421709430404007E-13</v>
      </c>
      <c r="AJ94" s="13">
        <f>AI94*VLOOKUP('Données projet'!$B$10,Paramètres!$A$1:$I$89,3,0)*VLOOKUP('Données projet'!$B$10,Paramètres!$A$1:$I$89,5,0)</f>
        <v>-1.69961822393816E-13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260.51637945828395</v>
      </c>
      <c r="AO94" s="59">
        <f t="shared" si="90"/>
        <v>382.46224100713982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41.449235566552503</v>
      </c>
      <c r="AV94" s="21">
        <f>EXP(-LN(2)/25)*AV93+(1-EXP(-LN(2)/25))/(LN(2)/25)*Calculateur!AQ94*Calculateur!AS94*VLOOKUP('Données projet'!$B$10,Paramètres!$A$1:$I$89,3,0)*0.475*44/12</f>
        <v>13.383234023476204</v>
      </c>
      <c r="AW94" s="21">
        <f>EXP(-LN(2)/2)*AW93+(1-EXP(-LN(2)/2))/(LN(2)/2)*AQ94*AT94*VLOOKUP('Données projet'!$B$10,Paramètres!$A$1:$I$89,3,0)*0.475*44/12</f>
        <v>4.4219478314233678E-6</v>
      </c>
      <c r="AX94" s="21">
        <f t="shared" si="60"/>
        <v>54.832474011976537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260.51637945828395</v>
      </c>
      <c r="T95" s="59">
        <f t="shared" si="88"/>
        <v>382.46224100713982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-2.8421709430404007E-13</v>
      </c>
      <c r="AJ95" s="13">
        <f>AI95*VLOOKUP('Données projet'!$B$10,Paramètres!$A$1:$I$89,3,0)*VLOOKUP('Données projet'!$B$10,Paramètres!$A$1:$I$89,5,0)</f>
        <v>-1.69961822393816E-13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260.51637945828395</v>
      </c>
      <c r="AO95" s="59">
        <f t="shared" si="90"/>
        <v>382.46224100713982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40.636441338629758</v>
      </c>
      <c r="AV95" s="21">
        <f>EXP(-LN(2)/25)*AV94+(1-EXP(-LN(2)/25))/(LN(2)/25)*Calculateur!AQ95*Calculateur!AS95*VLOOKUP('Données projet'!$B$10,Paramètres!$A$1:$I$89,3,0)*0.475*44/12</f>
        <v>13.017268785310558</v>
      </c>
      <c r="AW95" s="21">
        <f>EXP(-LN(2)/2)*AW94+(1-EXP(-LN(2)/2))/(LN(2)/2)*AQ95*AT95*VLOOKUP('Données projet'!$B$10,Paramètres!$A$1:$I$89,3,0)*0.475*44/12</f>
        <v>3.1267892976526117E-6</v>
      </c>
      <c r="AX95" s="21">
        <f t="shared" si="60"/>
        <v>53.653713250729609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260.51637945828395</v>
      </c>
      <c r="T96" s="59">
        <f t="shared" si="88"/>
        <v>382.46224100713982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-2.8421709430404007E-13</v>
      </c>
      <c r="AJ96" s="13">
        <f>AI96*VLOOKUP('Données projet'!$B$10,Paramètres!$A$1:$I$89,3,0)*VLOOKUP('Données projet'!$B$10,Paramètres!$A$1:$I$89,5,0)</f>
        <v>-1.69961822393816E-13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260.51637945828395</v>
      </c>
      <c r="AO96" s="59">
        <f t="shared" si="90"/>
        <v>382.46224100713982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39.839585509761051</v>
      </c>
      <c r="AV96" s="21">
        <f>EXP(-LN(2)/25)*AV95+(1-EXP(-LN(2)/25))/(LN(2)/25)*Calculateur!AQ96*Calculateur!AS96*VLOOKUP('Données projet'!$B$10,Paramètres!$A$1:$I$89,3,0)*0.475*44/12</f>
        <v>12.661310885827826</v>
      </c>
      <c r="AW96" s="21">
        <f>EXP(-LN(2)/2)*AW95+(1-EXP(-LN(2)/2))/(LN(2)/2)*AQ96*AT96*VLOOKUP('Données projet'!$B$10,Paramètres!$A$1:$I$89,3,0)*0.475*44/12</f>
        <v>2.2109739157116839E-6</v>
      </c>
      <c r="AX96" s="21">
        <f t="shared" si="60"/>
        <v>52.500898606562792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260.51637945828395</v>
      </c>
      <c r="T97" s="59">
        <f t="shared" si="88"/>
        <v>382.46224100713982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-2.8421709430404007E-13</v>
      </c>
      <c r="AJ97" s="13">
        <f>AI97*VLOOKUP('Données projet'!$B$10,Paramètres!$A$1:$I$89,3,0)*VLOOKUP('Données projet'!$B$10,Paramètres!$A$1:$I$89,5,0)</f>
        <v>-1.69961822393816E-13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260.51637945828395</v>
      </c>
      <c r="AO97" s="59">
        <f t="shared" si="90"/>
        <v>382.46224100713982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39.058355537662393</v>
      </c>
      <c r="AV97" s="21">
        <f>EXP(-LN(2)/25)*AV96+(1-EXP(-LN(2)/25))/(LN(2)/25)*Calculateur!AQ97*Calculateur!AS97*VLOOKUP('Données projet'!$B$10,Paramètres!$A$1:$I$89,3,0)*0.475*44/12</f>
        <v>12.315086673825462</v>
      </c>
      <c r="AW97" s="21">
        <f>EXP(-LN(2)/2)*AW96+(1-EXP(-LN(2)/2))/(LN(2)/2)*AQ97*AT97*VLOOKUP('Données projet'!$B$10,Paramètres!$A$1:$I$89,3,0)*0.475*44/12</f>
        <v>1.5633946488263058E-6</v>
      </c>
      <c r="AX97" s="21">
        <f t="shared" si="60"/>
        <v>51.373443774882503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260.51637945828395</v>
      </c>
      <c r="T98" s="59">
        <f t="shared" si="88"/>
        <v>382.46224100713982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-2.8421709430404007E-13</v>
      </c>
      <c r="AJ98" s="13">
        <f>AI98*VLOOKUP('Données projet'!$B$10,Paramètres!$A$1:$I$89,3,0)*VLOOKUP('Données projet'!$B$10,Paramètres!$A$1:$I$89,5,0)</f>
        <v>-1.69961822393816E-13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260.51637945828395</v>
      </c>
      <c r="AO98" s="59">
        <f t="shared" si="90"/>
        <v>382.46224100713982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38.29244500881336</v>
      </c>
      <c r="AV98" s="21">
        <f>EXP(-LN(2)/25)*AV97+(1-EXP(-LN(2)/25))/(LN(2)/25)*Calculateur!AQ98*Calculateur!AS98*VLOOKUP('Données projet'!$B$10,Paramètres!$A$1:$I$89,3,0)*0.475*44/12</f>
        <v>11.978329981107443</v>
      </c>
      <c r="AW98" s="21">
        <f>EXP(-LN(2)/2)*AW97+(1-EXP(-LN(2)/2))/(LN(2)/2)*AQ98*AT98*VLOOKUP('Données projet'!$B$10,Paramètres!$A$1:$I$89,3,0)*0.475*44/12</f>
        <v>1.1054869578558419E-6</v>
      </c>
      <c r="AX98" s="21">
        <f t="shared" si="60"/>
        <v>50.270776095407761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260.51637945828395</v>
      </c>
      <c r="T99" s="59">
        <f t="shared" si="88"/>
        <v>382.46224100713982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-2.8421709430404007E-13</v>
      </c>
      <c r="AJ99" s="13">
        <f>AI99*VLOOKUP('Données projet'!$B$10,Paramètres!$A$1:$I$89,3,0)*VLOOKUP('Données projet'!$B$10,Paramètres!$A$1:$I$89,5,0)</f>
        <v>-1.69961822393816E-13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260.51637945828395</v>
      </c>
      <c r="AO99" s="59">
        <f t="shared" si="90"/>
        <v>382.46224100713982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37.541553518275762</v>
      </c>
      <c r="AV99" s="21">
        <f>EXP(-LN(2)/25)*AV98+(1-EXP(-LN(2)/25))/(LN(2)/25)*Calculateur!AQ99*Calculateur!AS99*VLOOKUP('Données projet'!$B$10,Paramètres!$A$1:$I$89,3,0)*0.475*44/12</f>
        <v>11.650781917861062</v>
      </c>
      <c r="AW99" s="21">
        <f>EXP(-LN(2)/2)*AW98+(1-EXP(-LN(2)/2))/(LN(2)/2)*AQ99*AT99*VLOOKUP('Données projet'!$B$10,Paramètres!$A$1:$I$89,3,0)*0.475*44/12</f>
        <v>7.8169732441315292E-7</v>
      </c>
      <c r="AX99" s="21">
        <f t="shared" si="60"/>
        <v>49.192336217834146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260.51637945828395</v>
      </c>
      <c r="T100" s="59">
        <f t="shared" si="88"/>
        <v>382.46224100713982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-2.8421709430404007E-13</v>
      </c>
      <c r="AJ100" s="13">
        <f>AI100*VLOOKUP('Données projet'!$B$10,Paramètres!$A$1:$I$89,3,0)*VLOOKUP('Données projet'!$B$10,Paramètres!$A$1:$I$89,5,0)</f>
        <v>-1.69961822393816E-13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260.51637945828395</v>
      </c>
      <c r="AO100" s="59">
        <f t="shared" si="90"/>
        <v>382.46224100713982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36.80538655186902</v>
      </c>
      <c r="AV100" s="21">
        <f>EXP(-LN(2)/25)*AV99+(1-EXP(-LN(2)/25))/(LN(2)/25)*Calculateur!AQ100*Calculateur!AS100*VLOOKUP('Données projet'!$B$10,Paramètres!$A$1:$I$89,3,0)*0.475*44/12</f>
        <v>11.332190673629158</v>
      </c>
      <c r="AW100" s="21">
        <f>EXP(-LN(2)/2)*AW99+(1-EXP(-LN(2)/2))/(LN(2)/2)*AQ100*AT100*VLOOKUP('Données projet'!$B$10,Paramètres!$A$1:$I$89,3,0)*0.475*44/12</f>
        <v>5.5274347892792097E-7</v>
      </c>
      <c r="AX100" s="21">
        <f t="shared" si="60"/>
        <v>48.137577778241656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260.51637945828395</v>
      </c>
      <c r="T101" s="59">
        <f t="shared" si="88"/>
        <v>382.46224100713982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-2.8421709430404007E-13</v>
      </c>
      <c r="AJ101" s="13">
        <f>AI101*VLOOKUP('Données projet'!$B$10,Paramètres!$A$1:$I$89,3,0)*VLOOKUP('Données projet'!$B$10,Paramètres!$A$1:$I$89,5,0)</f>
        <v>-1.69961822393816E-13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260.51637945828395</v>
      </c>
      <c r="AO101" s="59">
        <f t="shared" si="90"/>
        <v>382.46224100713982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36.083655370656004</v>
      </c>
      <c r="AV101" s="21">
        <f>EXP(-LN(2)/25)*AV100+(1-EXP(-LN(2)/25))/(LN(2)/25)*Calculateur!AQ101*Calculateur!AS101*VLOOKUP('Données projet'!$B$10,Paramètres!$A$1:$I$89,3,0)*0.475*44/12</f>
        <v>11.022311323724761</v>
      </c>
      <c r="AW101" s="21">
        <f>EXP(-LN(2)/2)*AW100+(1-EXP(-LN(2)/2))/(LN(2)/2)*AQ101*AT101*VLOOKUP('Données projet'!$B$10,Paramètres!$A$1:$I$89,3,0)*0.475*44/12</f>
        <v>3.9084866220657646E-7</v>
      </c>
      <c r="AX101" s="21">
        <f t="shared" si="60"/>
        <v>47.10596708522943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260.51637945828395</v>
      </c>
      <c r="T102" s="59">
        <f t="shared" si="88"/>
        <v>382.46224100713982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-2.8421709430404007E-13</v>
      </c>
      <c r="AJ102" s="13">
        <f>AI102*VLOOKUP('Données projet'!$B$10,Paramètres!$A$1:$I$89,3,0)*VLOOKUP('Données projet'!$B$10,Paramètres!$A$1:$I$89,5,0)</f>
        <v>-1.69961822393816E-13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260.51637945828395</v>
      </c>
      <c r="AO102" s="59">
        <f t="shared" si="90"/>
        <v>382.46224100713982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35.37607689769402</v>
      </c>
      <c r="AV102" s="21">
        <f>EXP(-LN(2)/25)*AV101+(1-EXP(-LN(2)/25))/(LN(2)/25)*Calculateur!AQ102*Calculateur!AS102*VLOOKUP('Données projet'!$B$10,Paramètres!$A$1:$I$89,3,0)*0.475*44/12</f>
        <v>10.720905640939346</v>
      </c>
      <c r="AW102" s="21">
        <f>EXP(-LN(2)/2)*AW101+(1-EXP(-LN(2)/2))/(LN(2)/2)*AQ102*AT102*VLOOKUP('Données projet'!$B$10,Paramètres!$A$1:$I$89,3,0)*0.475*44/12</f>
        <v>2.7637173946396048E-7</v>
      </c>
      <c r="AX102" s="21">
        <f t="shared" si="60"/>
        <v>46.096982815005106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260.51637945828395</v>
      </c>
      <c r="T103" s="59">
        <f t="shared" si="88"/>
        <v>382.46224100713982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-2.8421709430404007E-13</v>
      </c>
      <c r="AJ103" s="13">
        <f>AI103*VLOOKUP('Données projet'!$B$10,Paramètres!$A$1:$I$89,3,0)*VLOOKUP('Données projet'!$B$10,Paramètres!$A$1:$I$89,5,0)</f>
        <v>-1.69961822393816E-13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260.51637945828395</v>
      </c>
      <c r="AO103" s="59">
        <f t="shared" si="90"/>
        <v>382.46224100713982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34.682373607006568</v>
      </c>
      <c r="AV103" s="21">
        <f>EXP(-LN(2)/25)*AV102+(1-EXP(-LN(2)/25))/(LN(2)/25)*Calculateur!AQ103*Calculateur!AS103*VLOOKUP('Données projet'!$B$10,Paramètres!$A$1:$I$89,3,0)*0.475*44/12</f>
        <v>10.427741912399934</v>
      </c>
      <c r="AW103" s="21">
        <f>EXP(-LN(2)/2)*AW102+(1-EXP(-LN(2)/2))/(LN(2)/2)*AQ103*AT103*VLOOKUP('Données projet'!$B$10,Paramètres!$A$1:$I$89,3,0)*0.475*44/12</f>
        <v>1.9542433110328823E-7</v>
      </c>
      <c r="AX103" s="21">
        <f t="shared" si="60"/>
        <v>45.11011571483084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260.51637945828395</v>
      </c>
      <c r="T104" s="59">
        <f t="shared" si="88"/>
        <v>382.46224100713982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-2.8421709430404007E-13</v>
      </c>
      <c r="AJ104" s="13">
        <f>AI104*VLOOKUP('Données projet'!$B$10,Paramètres!$A$1:$I$89,3,0)*VLOOKUP('Données projet'!$B$10,Paramètres!$A$1:$I$89,5,0)</f>
        <v>-1.69961822393816E-13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260.51637945828395</v>
      </c>
      <c r="AO104" s="59">
        <f t="shared" si="90"/>
        <v>382.46224100713982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34.002273414732272</v>
      </c>
      <c r="AV104" s="21">
        <f>EXP(-LN(2)/25)*AV103+(1-EXP(-LN(2)/25))/(LN(2)/25)*Calculateur!AQ104*Calculateur!AS104*VLOOKUP('Données projet'!$B$10,Paramètres!$A$1:$I$89,3,0)*0.475*44/12</f>
        <v>10.142594761434244</v>
      </c>
      <c r="AW104" s="21">
        <f>EXP(-LN(2)/2)*AW103+(1-EXP(-LN(2)/2))/(LN(2)/2)*AQ104*AT104*VLOOKUP('Données projet'!$B$10,Paramètres!$A$1:$I$89,3,0)*0.475*44/12</f>
        <v>1.3818586973198024E-7</v>
      </c>
      <c r="AX104" s="21">
        <f t="shared" si="60"/>
        <v>44.144868314352387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260.51637945828395</v>
      </c>
      <c r="T105" s="59">
        <f t="shared" si="88"/>
        <v>382.46224100713982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-2.8421709430404007E-13</v>
      </c>
      <c r="AJ105" s="13">
        <f>AI105*VLOOKUP('Données projet'!$B$10,Paramètres!$A$1:$I$89,3,0)*VLOOKUP('Données projet'!$B$10,Paramètres!$A$1:$I$89,5,0)</f>
        <v>-1.69961822393816E-13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260.51637945828395</v>
      </c>
      <c r="AO105" s="59">
        <f t="shared" si="90"/>
        <v>382.46224100713982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33.335509572408313</v>
      </c>
      <c r="AV105" s="21">
        <f>EXP(-LN(2)/25)*AV104+(1-EXP(-LN(2)/25))/(LN(2)/25)*Calculateur!AQ105*Calculateur!AS105*VLOOKUP('Données projet'!$B$10,Paramètres!$A$1:$I$89,3,0)*0.475*44/12</f>
        <v>9.8652449743069486</v>
      </c>
      <c r="AW105" s="21">
        <f>EXP(-LN(2)/2)*AW104+(1-EXP(-LN(2)/2))/(LN(2)/2)*AQ105*AT105*VLOOKUP('Données projet'!$B$10,Paramètres!$A$1:$I$89,3,0)*0.475*44/12</f>
        <v>9.7712165551644115E-8</v>
      </c>
      <c r="AX105" s="21">
        <f t="shared" si="60"/>
        <v>43.200754644427427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260.51637945828395</v>
      </c>
      <c r="T106" s="59">
        <f t="shared" si="88"/>
        <v>382.46224100713982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-2.8421709430404007E-13</v>
      </c>
      <c r="AJ106" s="13">
        <f>AI106*VLOOKUP('Données projet'!$B$10,Paramètres!$A$1:$I$89,3,0)*VLOOKUP('Données projet'!$B$10,Paramètres!$A$1:$I$89,5,0)</f>
        <v>-1.69961822393816E-13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260.51637945828395</v>
      </c>
      <c r="AO106" s="59">
        <f t="shared" si="90"/>
        <v>382.46224100713982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32.681820562346545</v>
      </c>
      <c r="AV106" s="21">
        <f>EXP(-LN(2)/25)*AV105+(1-EXP(-LN(2)/25))/(LN(2)/25)*Calculateur!AQ106*Calculateur!AS106*VLOOKUP('Données projet'!$B$10,Paramètres!$A$1:$I$89,3,0)*0.475*44/12</f>
        <v>9.5954793316938396</v>
      </c>
      <c r="AW106" s="21">
        <f>EXP(-LN(2)/2)*AW105+(1-EXP(-LN(2)/2))/(LN(2)/2)*AQ106*AT106*VLOOKUP('Données projet'!$B$10,Paramètres!$A$1:$I$89,3,0)*0.475*44/12</f>
        <v>6.9092934865990121E-8</v>
      </c>
      <c r="AX106" s="21">
        <f t="shared" si="60"/>
        <v>42.277299963133316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260.51637945828395</v>
      </c>
      <c r="T107" s="59">
        <f t="shared" si="88"/>
        <v>382.46224100713982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-2.8421709430404007E-13</v>
      </c>
      <c r="AJ107" s="13">
        <f>AI107*VLOOKUP('Données projet'!$B$10,Paramètres!$A$1:$I$89,3,0)*VLOOKUP('Données projet'!$B$10,Paramètres!$A$1:$I$89,5,0)</f>
        <v>-1.69961822393816E-13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260.51637945828395</v>
      </c>
      <c r="AO107" s="59">
        <f t="shared" si="90"/>
        <v>382.46224100713982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32.040949995061162</v>
      </c>
      <c r="AV107" s="21">
        <f>EXP(-LN(2)/25)*AV106+(1-EXP(-LN(2)/25))/(LN(2)/25)*Calculateur!AQ107*Calculateur!AS107*VLOOKUP('Données projet'!$B$10,Paramètres!$A$1:$I$89,3,0)*0.475*44/12</f>
        <v>9.3330904447643448</v>
      </c>
      <c r="AW107" s="21">
        <f>EXP(-LN(2)/2)*AW106+(1-EXP(-LN(2)/2))/(LN(2)/2)*AQ107*AT107*VLOOKUP('Données projet'!$B$10,Paramètres!$A$1:$I$89,3,0)*0.475*44/12</f>
        <v>4.8856082775822057E-8</v>
      </c>
      <c r="AX107" s="21">
        <f t="shared" si="60"/>
        <v>41.374040488681587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260.51637945828395</v>
      </c>
      <c r="T108" s="59">
        <f t="shared" si="88"/>
        <v>382.46224100713982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-2.8421709430404007E-13</v>
      </c>
      <c r="AJ108" s="13">
        <f>AI108*VLOOKUP('Données projet'!$B$10,Paramètres!$A$1:$I$89,3,0)*VLOOKUP('Données projet'!$B$10,Paramètres!$A$1:$I$89,5,0)</f>
        <v>-1.69961822393816E-13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260.51637945828395</v>
      </c>
      <c r="AO108" s="59">
        <f t="shared" si="90"/>
        <v>382.46224100713982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31.412646508707795</v>
      </c>
      <c r="AV108" s="21">
        <f>EXP(-LN(2)/25)*AV107+(1-EXP(-LN(2)/25))/(LN(2)/25)*Calculateur!AQ108*Calculateur!AS108*VLOOKUP('Données projet'!$B$10,Paramètres!$A$1:$I$89,3,0)*0.475*44/12</f>
        <v>9.0778765957463676</v>
      </c>
      <c r="AW108" s="21">
        <f>EXP(-LN(2)/2)*AW107+(1-EXP(-LN(2)/2))/(LN(2)/2)*AQ108*AT108*VLOOKUP('Données projet'!$B$10,Paramètres!$A$1:$I$89,3,0)*0.475*44/12</f>
        <v>3.4546467432995061E-8</v>
      </c>
      <c r="AX108" s="21">
        <f t="shared" si="60"/>
        <v>40.490523139000629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260.51637945828395</v>
      </c>
      <c r="T109" s="59">
        <f t="shared" si="88"/>
        <v>382.46224100713982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-2.8421709430404007E-13</v>
      </c>
      <c r="AJ109" s="13">
        <f>AI109*VLOOKUP('Données projet'!$B$10,Paramètres!$A$1:$I$89,3,0)*VLOOKUP('Données projet'!$B$10,Paramètres!$A$1:$I$89,5,0)</f>
        <v>-1.69961822393816E-13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260.51637945828395</v>
      </c>
      <c r="AO109" s="59">
        <f t="shared" si="90"/>
        <v>382.46224100713982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30.796663670494528</v>
      </c>
      <c r="AV109" s="21">
        <f>EXP(-LN(2)/25)*AV108+(1-EXP(-LN(2)/25))/(LN(2)/25)*Calculateur!AQ109*Calculateur!AS109*VLOOKUP('Données projet'!$B$10,Paramètres!$A$1:$I$89,3,0)*0.475*44/12</f>
        <v>8.8296415828509005</v>
      </c>
      <c r="AW109" s="21">
        <f>EXP(-LN(2)/2)*AW108+(1-EXP(-LN(2)/2))/(LN(2)/2)*AQ109*AT109*VLOOKUP('Données projet'!$B$10,Paramètres!$A$1:$I$89,3,0)*0.475*44/12</f>
        <v>2.4428041387911029E-8</v>
      </c>
      <c r="AX109" s="21">
        <f t="shared" si="60"/>
        <v>39.626305277773469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260.51637945828395</v>
      </c>
      <c r="T110" s="59">
        <f t="shared" si="88"/>
        <v>382.46224100713982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-2.8421709430404007E-13</v>
      </c>
      <c r="AJ110" s="13">
        <f>AI110*VLOOKUP('Données projet'!$B$10,Paramètres!$A$1:$I$89,3,0)*VLOOKUP('Données projet'!$B$10,Paramètres!$A$1:$I$89,5,0)</f>
        <v>-1.69961822393816E-13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260.51637945828395</v>
      </c>
      <c r="AO110" s="59">
        <f t="shared" si="90"/>
        <v>382.46224100713982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30.192759880026191</v>
      </c>
      <c r="AV110" s="21">
        <f>EXP(-LN(2)/25)*AV109+(1-EXP(-LN(2)/25))/(LN(2)/25)*Calculateur!AQ110*Calculateur!AS110*VLOOKUP('Données projet'!$B$10,Paramètres!$A$1:$I$89,3,0)*0.475*44/12</f>
        <v>8.5881945694371726</v>
      </c>
      <c r="AW110" s="21">
        <f>EXP(-LN(2)/2)*AW109+(1-EXP(-LN(2)/2))/(LN(2)/2)*AQ110*AT110*VLOOKUP('Données projet'!$B$10,Paramètres!$A$1:$I$89,3,0)*0.475*44/12</f>
        <v>1.727323371649753E-8</v>
      </c>
      <c r="AX110" s="21">
        <f t="shared" si="60"/>
        <v>38.780954466736603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260.51637945828395</v>
      </c>
      <c r="T111" s="59">
        <f t="shared" si="88"/>
        <v>382.46224100713982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-2.8421709430404007E-13</v>
      </c>
      <c r="AJ111" s="13">
        <f>AI111*VLOOKUP('Données projet'!$B$10,Paramètres!$A$1:$I$89,3,0)*VLOOKUP('Données projet'!$B$10,Paramètres!$A$1:$I$89,5,0)</f>
        <v>-1.69961822393816E-13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260.51637945828395</v>
      </c>
      <c r="AO111" s="59">
        <f t="shared" si="90"/>
        <v>382.46224100713982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29.600698274543998</v>
      </c>
      <c r="AV111" s="21">
        <f>EXP(-LN(2)/25)*AV110+(1-EXP(-LN(2)/25))/(LN(2)/25)*Calculateur!AQ111*Calculateur!AS111*VLOOKUP('Données projet'!$B$10,Paramètres!$A$1:$I$89,3,0)*0.475*44/12</f>
        <v>8.3533499373023901</v>
      </c>
      <c r="AW111" s="21">
        <f>EXP(-LN(2)/2)*AW110+(1-EXP(-LN(2)/2))/(LN(2)/2)*AQ111*AT111*VLOOKUP('Données projet'!$B$10,Paramètres!$A$1:$I$89,3,0)*0.475*44/12</f>
        <v>1.2214020693955514E-8</v>
      </c>
      <c r="AX111" s="21">
        <f t="shared" si="60"/>
        <v>37.954048224060408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260.51637945828395</v>
      </c>
      <c r="T112" s="59">
        <f t="shared" si="88"/>
        <v>382.46224100713982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-2.8421709430404007E-13</v>
      </c>
      <c r="AJ112" s="13">
        <f>AI112*VLOOKUP('Données projet'!$B$10,Paramètres!$A$1:$I$89,3,0)*VLOOKUP('Données projet'!$B$10,Paramètres!$A$1:$I$89,5,0)</f>
        <v>-1.69961822393816E-13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260.51637945828395</v>
      </c>
      <c r="AO112" s="59">
        <f t="shared" si="90"/>
        <v>382.46224100713982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29.020246636023391</v>
      </c>
      <c r="AV112" s="21">
        <f>EXP(-LN(2)/25)*AV111+(1-EXP(-LN(2)/25))/(LN(2)/25)*Calculateur!AQ112*Calculateur!AS112*VLOOKUP('Données projet'!$B$10,Paramètres!$A$1:$I$89,3,0)*0.475*44/12</f>
        <v>8.1249271439832746</v>
      </c>
      <c r="AW112" s="21">
        <f>EXP(-LN(2)/2)*AW111+(1-EXP(-LN(2)/2))/(LN(2)/2)*AQ112*AT112*VLOOKUP('Données projet'!$B$10,Paramètres!$A$1:$I$89,3,0)*0.475*44/12</f>
        <v>8.6366168582487651E-9</v>
      </c>
      <c r="AX112" s="21">
        <f t="shared" si="60"/>
        <v>37.145173788643284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260.51637945828395</v>
      </c>
      <c r="T113" s="59">
        <f t="shared" si="88"/>
        <v>382.46224100713982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-2.8421709430404007E-13</v>
      </c>
      <c r="AJ113" s="13">
        <f>AI113*VLOOKUP('Données projet'!$B$10,Paramètres!$A$1:$I$89,3,0)*VLOOKUP('Données projet'!$B$10,Paramètres!$A$1:$I$89,5,0)</f>
        <v>-1.69961822393816E-13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260.51637945828395</v>
      </c>
      <c r="AO113" s="59">
        <f t="shared" si="90"/>
        <v>382.46224100713982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28.451177300093629</v>
      </c>
      <c r="AV113" s="21">
        <f>EXP(-LN(2)/25)*AV112+(1-EXP(-LN(2)/25))/(LN(2)/25)*Calculateur!AQ113*Calculateur!AS113*VLOOKUP('Données projet'!$B$10,Paramètres!$A$1:$I$89,3,0)*0.475*44/12</f>
        <v>7.902750583959703</v>
      </c>
      <c r="AW113" s="21">
        <f>EXP(-LN(2)/2)*AW112+(1-EXP(-LN(2)/2))/(LN(2)/2)*AQ113*AT113*VLOOKUP('Données projet'!$B$10,Paramètres!$A$1:$I$89,3,0)*0.475*44/12</f>
        <v>6.1070103469777572E-9</v>
      </c>
      <c r="AX113" s="21">
        <f t="shared" si="60"/>
        <v>36.353927890160342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260.51637945828395</v>
      </c>
      <c r="T114" s="59">
        <f t="shared" si="88"/>
        <v>382.46224100713982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-2.8421709430404007E-13</v>
      </c>
      <c r="AJ114" s="13">
        <f>AI114*VLOOKUP('Données projet'!$B$10,Paramètres!$A$1:$I$89,3,0)*VLOOKUP('Données projet'!$B$10,Paramètres!$A$1:$I$89,5,0)</f>
        <v>-1.69961822393816E-13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260.51637945828395</v>
      </c>
      <c r="AO114" s="59">
        <f t="shared" si="90"/>
        <v>382.46224100713982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27.89326706674343</v>
      </c>
      <c r="AV114" s="21">
        <f>EXP(-LN(2)/25)*AV113+(1-EXP(-LN(2)/25))/(LN(2)/25)*Calculateur!AQ114*Calculateur!AS114*VLOOKUP('Données projet'!$B$10,Paramètres!$A$1:$I$89,3,0)*0.475*44/12</f>
        <v>7.6866494536537333</v>
      </c>
      <c r="AW114" s="21">
        <f>EXP(-LN(2)/2)*AW113+(1-EXP(-LN(2)/2))/(LN(2)/2)*AQ114*AT114*VLOOKUP('Données projet'!$B$10,Paramètres!$A$1:$I$89,3,0)*0.475*44/12</f>
        <v>4.3183084291243826E-9</v>
      </c>
      <c r="AX114" s="21">
        <f t="shared" si="60"/>
        <v>35.579916524715472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260.51637945828395</v>
      </c>
      <c r="T115" s="59">
        <f t="shared" si="88"/>
        <v>382.46224100713982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-2.8421709430404007E-13</v>
      </c>
      <c r="AJ115" s="13">
        <f>AI115*VLOOKUP('Données projet'!$B$10,Paramètres!$A$1:$I$89,3,0)*VLOOKUP('Données projet'!$B$10,Paramètres!$A$1:$I$89,5,0)</f>
        <v>-1.69961822393816E-13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260.51637945828395</v>
      </c>
      <c r="AO115" s="59">
        <f t="shared" si="90"/>
        <v>382.46224100713982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27.346297112777588</v>
      </c>
      <c r="AV115" s="21">
        <f>EXP(-LN(2)/25)*AV114+(1-EXP(-LN(2)/25))/(LN(2)/25)*Calculateur!AQ115*Calculateur!AS115*VLOOKUP('Données projet'!$B$10,Paramètres!$A$1:$I$89,3,0)*0.475*44/12</f>
        <v>7.4764576201202448</v>
      </c>
      <c r="AW115" s="21">
        <f>EXP(-LN(2)/2)*AW114+(1-EXP(-LN(2)/2))/(LN(2)/2)*AQ115*AT115*VLOOKUP('Données projet'!$B$10,Paramètres!$A$1:$I$89,3,0)*0.475*44/12</f>
        <v>3.0535051734888786E-9</v>
      </c>
      <c r="AX115" s="21">
        <f t="shared" si="60"/>
        <v>34.822754735951342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260.51637945828395</v>
      </c>
      <c r="T116" s="59">
        <f t="shared" si="88"/>
        <v>382.46224100713982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-2.8421709430404007E-13</v>
      </c>
      <c r="AJ116" s="13">
        <f>AI116*VLOOKUP('Données projet'!$B$10,Paramètres!$A$1:$I$89,3,0)*VLOOKUP('Données projet'!$B$10,Paramètres!$A$1:$I$89,5,0)</f>
        <v>-1.69961822393816E-13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260.51637945828395</v>
      </c>
      <c r="AO116" s="59">
        <f t="shared" si="90"/>
        <v>382.46224100713982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26.810052905990286</v>
      </c>
      <c r="AV116" s="21">
        <f>EXP(-LN(2)/25)*AV115+(1-EXP(-LN(2)/25))/(LN(2)/25)*Calculateur!AQ116*Calculateur!AS116*VLOOKUP('Données projet'!$B$10,Paramètres!$A$1:$I$89,3,0)*0.475*44/12</f>
        <v>7.2720134933282381</v>
      </c>
      <c r="AW116" s="21">
        <f>EXP(-LN(2)/2)*AW115+(1-EXP(-LN(2)/2))/(LN(2)/2)*AQ116*AT116*VLOOKUP('Données projet'!$B$10,Paramètres!$A$1:$I$89,3,0)*0.475*44/12</f>
        <v>2.1591542145621913E-9</v>
      </c>
      <c r="AX116" s="21">
        <f t="shared" si="60"/>
        <v>34.082066401477675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260.51637945828395</v>
      </c>
      <c r="T117" s="59">
        <f t="shared" si="88"/>
        <v>382.46224100713982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-2.8421709430404007E-13</v>
      </c>
      <c r="AJ117" s="13">
        <f>AI117*VLOOKUP('Données projet'!$B$10,Paramètres!$A$1:$I$89,3,0)*VLOOKUP('Données projet'!$B$10,Paramètres!$A$1:$I$89,5,0)</f>
        <v>-1.69961822393816E-13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260.51637945828395</v>
      </c>
      <c r="AO117" s="59">
        <f t="shared" si="90"/>
        <v>382.46224100713982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26.284324121021413</v>
      </c>
      <c r="AV117" s="21">
        <f>EXP(-LN(2)/25)*AV116+(1-EXP(-LN(2)/25))/(LN(2)/25)*Calculateur!AQ117*Calculateur!AS117*VLOOKUP('Données projet'!$B$10,Paramètres!$A$1:$I$89,3,0)*0.475*44/12</f>
        <v>7.0731599019346083</v>
      </c>
      <c r="AW117" s="21">
        <f>EXP(-LN(2)/2)*AW116+(1-EXP(-LN(2)/2))/(LN(2)/2)*AQ117*AT117*VLOOKUP('Données projet'!$B$10,Paramètres!$A$1:$I$89,3,0)*0.475*44/12</f>
        <v>1.5267525867444393E-9</v>
      </c>
      <c r="AX117" s="21">
        <f t="shared" si="60"/>
        <v>33.357484024482773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260.51637945828395</v>
      </c>
      <c r="T118" s="59">
        <f t="shared" si="88"/>
        <v>382.46224100713982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-2.8421709430404007E-13</v>
      </c>
      <c r="AJ118" s="13">
        <f>AI118*VLOOKUP('Données projet'!$B$10,Paramètres!$A$1:$I$89,3,0)*VLOOKUP('Données projet'!$B$10,Paramètres!$A$1:$I$89,5,0)</f>
        <v>-1.69961822393816E-13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260.51637945828395</v>
      </c>
      <c r="AO118" s="59">
        <f t="shared" si="90"/>
        <v>382.46224100713982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25.768904556862882</v>
      </c>
      <c r="AV118" s="21">
        <f>EXP(-LN(2)/25)*AV117+(1-EXP(-LN(2)/25))/(LN(2)/25)*Calculateur!AQ118*Calculateur!AS118*VLOOKUP('Données projet'!$B$10,Paramètres!$A$1:$I$89,3,0)*0.475*44/12</f>
        <v>6.879743972454893</v>
      </c>
      <c r="AW118" s="21">
        <f>EXP(-LN(2)/2)*AW117+(1-EXP(-LN(2)/2))/(LN(2)/2)*AQ118*AT118*VLOOKUP('Données projet'!$B$10,Paramètres!$A$1:$I$89,3,0)*0.475*44/12</f>
        <v>1.0795771072810956E-9</v>
      </c>
      <c r="AX118" s="21">
        <f t="shared" si="60"/>
        <v>32.648648530397352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260.51637945828395</v>
      </c>
      <c r="T119" s="59">
        <f t="shared" si="88"/>
        <v>382.46224100713982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-2.8421709430404007E-13</v>
      </c>
      <c r="AJ119" s="13">
        <f>AI119*VLOOKUP('Données projet'!$B$10,Paramètres!$A$1:$I$89,3,0)*VLOOKUP('Données projet'!$B$10,Paramètres!$A$1:$I$89,5,0)</f>
        <v>-1.69961822393816E-13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260.51637945828395</v>
      </c>
      <c r="AO119" s="59">
        <f t="shared" si="90"/>
        <v>382.46224100713982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25.26359205598261</v>
      </c>
      <c r="AV119" s="21">
        <f>EXP(-LN(2)/25)*AV118+(1-EXP(-LN(2)/25))/(LN(2)/25)*Calculateur!AQ119*Calculateur!AS119*VLOOKUP('Données projet'!$B$10,Paramètres!$A$1:$I$89,3,0)*0.475*44/12</f>
        <v>6.691617011738102</v>
      </c>
      <c r="AW119" s="21">
        <f>EXP(-LN(2)/2)*AW118+(1-EXP(-LN(2)/2))/(LN(2)/2)*AQ119*AT119*VLOOKUP('Données projet'!$B$10,Paramètres!$A$1:$I$89,3,0)*0.475*44/12</f>
        <v>7.6337629337221965E-10</v>
      </c>
      <c r="AX119" s="21">
        <f t="shared" si="60"/>
        <v>31.955209068484088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260.51637945828395</v>
      </c>
      <c r="T120" s="59">
        <f t="shared" si="88"/>
        <v>382.46224100713982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-2.8421709430404007E-13</v>
      </c>
      <c r="AJ120" s="13">
        <f>AI120*VLOOKUP('Données projet'!$B$10,Paramètres!$A$1:$I$89,3,0)*VLOOKUP('Données projet'!$B$10,Paramètres!$A$1:$I$89,5,0)</f>
        <v>-1.69961822393816E-13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260.51637945828395</v>
      </c>
      <c r="AO120" s="59">
        <f t="shared" si="90"/>
        <v>382.46224100713982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24.768188425034406</v>
      </c>
      <c r="AV120" s="21">
        <f>EXP(-LN(2)/25)*AV119+(1-EXP(-LN(2)/25))/(LN(2)/25)*Calculateur!AQ120*Calculateur!AS120*VLOOKUP('Données projet'!$B$10,Paramètres!$A$1:$I$89,3,0)*0.475*44/12</f>
        <v>6.5086343926552788</v>
      </c>
      <c r="AW120" s="21">
        <f>EXP(-LN(2)/2)*AW119+(1-EXP(-LN(2)/2))/(LN(2)/2)*AQ120*AT120*VLOOKUP('Données projet'!$B$10,Paramètres!$A$1:$I$89,3,0)*0.475*44/12</f>
        <v>5.3978855364054782E-10</v>
      </c>
      <c r="AX120" s="21">
        <f t="shared" si="60"/>
        <v>31.276822818229473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260.51637945828395</v>
      </c>
      <c r="T121" s="59">
        <f t="shared" si="88"/>
        <v>382.46224100713982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-2.8421709430404007E-13</v>
      </c>
      <c r="AJ121" s="13">
        <f>AI121*VLOOKUP('Données projet'!$B$10,Paramètres!$A$1:$I$89,3,0)*VLOOKUP('Données projet'!$B$10,Paramètres!$A$1:$I$89,5,0)</f>
        <v>-1.69961822393816E-13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260.51637945828395</v>
      </c>
      <c r="AO121" s="59">
        <f t="shared" si="90"/>
        <v>382.46224100713982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24.282499357122717</v>
      </c>
      <c r="AV121" s="21">
        <f>EXP(-LN(2)/25)*AV120+(1-EXP(-LN(2)/25))/(LN(2)/25)*Calculateur!AQ121*Calculateur!AS121*VLOOKUP('Données projet'!$B$10,Paramètres!$A$1:$I$89,3,0)*0.475*44/12</f>
        <v>6.3306554429139128</v>
      </c>
      <c r="AW121" s="21">
        <f>EXP(-LN(2)/2)*AW120+(1-EXP(-LN(2)/2))/(LN(2)/2)*AQ121*AT121*VLOOKUP('Données projet'!$B$10,Paramètres!$A$1:$I$89,3,0)*0.475*44/12</f>
        <v>3.8168814668610982E-10</v>
      </c>
      <c r="AX121" s="21">
        <f t="shared" si="60"/>
        <v>30.613154800418318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260.51637945828395</v>
      </c>
      <c r="T122" s="59">
        <f t="shared" si="88"/>
        <v>382.46224100713982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-2.8421709430404007E-13</v>
      </c>
      <c r="AJ122" s="13">
        <f>AI122*VLOOKUP('Données projet'!$B$10,Paramètres!$A$1:$I$89,3,0)*VLOOKUP('Données projet'!$B$10,Paramètres!$A$1:$I$89,5,0)</f>
        <v>-1.69961822393816E-13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260.51637945828395</v>
      </c>
      <c r="AO122" s="59">
        <f t="shared" si="90"/>
        <v>382.46224100713982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23.806334355591698</v>
      </c>
      <c r="AV122" s="21">
        <f>EXP(-LN(2)/25)*AV121+(1-EXP(-LN(2)/25))/(LN(2)/25)*Calculateur!AQ122*Calculateur!AS122*VLOOKUP('Données projet'!$B$10,Paramètres!$A$1:$I$89,3,0)*0.475*44/12</f>
        <v>6.157543336912731</v>
      </c>
      <c r="AW122" s="21">
        <f>EXP(-LN(2)/2)*AW121+(1-EXP(-LN(2)/2))/(LN(2)/2)*AQ122*AT122*VLOOKUP('Données projet'!$B$10,Paramètres!$A$1:$I$89,3,0)*0.475*44/12</f>
        <v>2.6989427682027391E-10</v>
      </c>
      <c r="AX122" s="21">
        <f t="shared" si="60"/>
        <v>29.963877692774322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260.51637945828395</v>
      </c>
      <c r="T123" s="59">
        <f t="shared" si="88"/>
        <v>382.46224100713982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-2.8421709430404007E-13</v>
      </c>
      <c r="AJ123" s="13">
        <f>AI123*VLOOKUP('Données projet'!$B$10,Paramètres!$A$1:$I$89,3,0)*VLOOKUP('Données projet'!$B$10,Paramètres!$A$1:$I$89,5,0)</f>
        <v>-1.69961822393816E-13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260.51637945828395</v>
      </c>
      <c r="AO123" s="59">
        <f t="shared" si="90"/>
        <v>382.46224100713982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23.339506659308729</v>
      </c>
      <c r="AV123" s="21">
        <f>EXP(-LN(2)/25)*AV122+(1-EXP(-LN(2)/25))/(LN(2)/25)*Calculateur!AQ123*Calculateur!AS123*VLOOKUP('Données projet'!$B$10,Paramètres!$A$1:$I$89,3,0)*0.475*44/12</f>
        <v>5.9891649905537214</v>
      </c>
      <c r="AW123" s="21">
        <f>EXP(-LN(2)/2)*AW122+(1-EXP(-LN(2)/2))/(LN(2)/2)*AQ123*AT123*VLOOKUP('Données projet'!$B$10,Paramètres!$A$1:$I$89,3,0)*0.475*44/12</f>
        <v>1.9084407334305491E-10</v>
      </c>
      <c r="AX123" s="21">
        <f t="shared" si="60"/>
        <v>29.328671650053295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260.51637945828395</v>
      </c>
      <c r="T124" s="59">
        <f t="shared" si="88"/>
        <v>382.46224100713982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-2.8421709430404007E-13</v>
      </c>
      <c r="AJ124" s="13">
        <f>AI124*VLOOKUP('Données projet'!$B$10,Paramètres!$A$1:$I$89,3,0)*VLOOKUP('Données projet'!$B$10,Paramètres!$A$1:$I$89,5,0)</f>
        <v>-1.69961822393816E-13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260.51637945828395</v>
      </c>
      <c r="AO124" s="59">
        <f t="shared" si="90"/>
        <v>382.46224100713982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22.881833169413088</v>
      </c>
      <c r="AV124" s="21">
        <f>EXP(-LN(2)/25)*AV123+(1-EXP(-LN(2)/25))/(LN(2)/25)*Calculateur!AQ124*Calculateur!AS124*VLOOKUP('Données projet'!$B$10,Paramètres!$A$1:$I$89,3,0)*0.475*44/12</f>
        <v>5.825390958930531</v>
      </c>
      <c r="AW124" s="21">
        <f>EXP(-LN(2)/2)*AW123+(1-EXP(-LN(2)/2))/(LN(2)/2)*AQ124*AT124*VLOOKUP('Données projet'!$B$10,Paramètres!$A$1:$I$89,3,0)*0.475*44/12</f>
        <v>1.3494713841013696E-10</v>
      </c>
      <c r="AX124" s="21">
        <f t="shared" si="60"/>
        <v>28.707224128478565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260.51637945828395</v>
      </c>
      <c r="T125" s="59">
        <f t="shared" si="88"/>
        <v>382.46224100713982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-2.8421709430404007E-13</v>
      </c>
      <c r="AJ125" s="13">
        <f>AI125*VLOOKUP('Données projet'!$B$10,Paramètres!$A$1:$I$89,3,0)*VLOOKUP('Données projet'!$B$10,Paramètres!$A$1:$I$89,5,0)</f>
        <v>-1.69961822393816E-13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260.51637945828395</v>
      </c>
      <c r="AO125" s="59">
        <f t="shared" si="90"/>
        <v>382.46224100713982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22.433134377501037</v>
      </c>
      <c r="AV125" s="21">
        <f>EXP(-LN(2)/25)*AV124+(1-EXP(-LN(2)/25))/(LN(2)/25)*Calculateur!AQ125*Calculateur!AS125*VLOOKUP('Données projet'!$B$10,Paramètres!$A$1:$I$89,3,0)*0.475*44/12</f>
        <v>5.6660953368145792</v>
      </c>
      <c r="AW125" s="21">
        <f>EXP(-LN(2)/2)*AW124+(1-EXP(-LN(2)/2))/(LN(2)/2)*AQ125*AT125*VLOOKUP('Données projet'!$B$10,Paramètres!$A$1:$I$89,3,0)*0.475*44/12</f>
        <v>9.5422036671527456E-11</v>
      </c>
      <c r="AX125" s="21">
        <f t="shared" si="60"/>
        <v>28.099229714411038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260.51637945828395</v>
      </c>
      <c r="T126" s="59">
        <f t="shared" si="88"/>
        <v>382.46224100713982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-2.8421709430404007E-13</v>
      </c>
      <c r="AJ126" s="13">
        <f>AI126*VLOOKUP('Données projet'!$B$10,Paramètres!$A$1:$I$89,3,0)*VLOOKUP('Données projet'!$B$10,Paramètres!$A$1:$I$89,5,0)</f>
        <v>-1.69961822393816E-13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260.51637945828395</v>
      </c>
      <c r="AO126" s="59">
        <f t="shared" si="90"/>
        <v>382.46224100713982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21.993234295219143</v>
      </c>
      <c r="AV126" s="21">
        <f>EXP(-LN(2)/25)*AV125+(1-EXP(-LN(2)/25))/(LN(2)/25)*Calculateur!AQ126*Calculateur!AS126*VLOOKUP('Données projet'!$B$10,Paramètres!$A$1:$I$89,3,0)*0.475*44/12</f>
        <v>5.5111556618623805</v>
      </c>
      <c r="AW126" s="21">
        <f>EXP(-LN(2)/2)*AW125+(1-EXP(-LN(2)/2))/(LN(2)/2)*AQ126*AT126*VLOOKUP('Données projet'!$B$10,Paramètres!$A$1:$I$89,3,0)*0.475*44/12</f>
        <v>6.7473569205068478E-11</v>
      </c>
      <c r="AX126" s="21">
        <f t="shared" si="60"/>
        <v>27.504389957148994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260.51637945828395</v>
      </c>
      <c r="T127" s="59">
        <f t="shared" si="88"/>
        <v>382.46224100713982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-2.8421709430404007E-13</v>
      </c>
      <c r="AJ127" s="13">
        <f>AI127*VLOOKUP('Données projet'!$B$10,Paramètres!$A$1:$I$89,3,0)*VLOOKUP('Données projet'!$B$10,Paramètres!$A$1:$I$89,5,0)</f>
        <v>-1.69961822393816E-13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260.51637945828395</v>
      </c>
      <c r="AO127" s="59">
        <f t="shared" si="90"/>
        <v>382.46224100713982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21.56196038523824</v>
      </c>
      <c r="AV127" s="21">
        <f>EXP(-LN(2)/25)*AV126+(1-EXP(-LN(2)/25))/(LN(2)/25)*Calculateur!AQ127*Calculateur!AS127*VLOOKUP('Données projet'!$B$10,Paramètres!$A$1:$I$89,3,0)*0.475*44/12</f>
        <v>5.3604528204696731</v>
      </c>
      <c r="AW127" s="21">
        <f>EXP(-LN(2)/2)*AW126+(1-EXP(-LN(2)/2))/(LN(2)/2)*AQ127*AT127*VLOOKUP('Données projet'!$B$10,Paramètres!$A$1:$I$89,3,0)*0.475*44/12</f>
        <v>4.7711018335763728E-11</v>
      </c>
      <c r="AX127" s="21">
        <f t="shared" si="60"/>
        <v>26.922413205755621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260.51637945828395</v>
      </c>
      <c r="T128" s="59">
        <f t="shared" si="88"/>
        <v>382.46224100713982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-2.8421709430404007E-13</v>
      </c>
      <c r="AJ128" s="13">
        <f>AI128*VLOOKUP('Données projet'!$B$10,Paramètres!$A$1:$I$89,3,0)*VLOOKUP('Données projet'!$B$10,Paramètres!$A$1:$I$89,5,0)</f>
        <v>-1.69961822393816E-13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260.51637945828395</v>
      </c>
      <c r="AO128" s="59">
        <f t="shared" si="90"/>
        <v>382.46224100713982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21.139143493580953</v>
      </c>
      <c r="AV128" s="21">
        <f>EXP(-LN(2)/25)*AV127+(1-EXP(-LN(2)/25))/(LN(2)/25)*Calculateur!AQ128*Calculateur!AS128*VLOOKUP('Données projet'!$B$10,Paramètres!$A$1:$I$89,3,0)*0.475*44/12</f>
        <v>5.2138709561999672</v>
      </c>
      <c r="AW128" s="21">
        <f>EXP(-LN(2)/2)*AW127+(1-EXP(-LN(2)/2))/(LN(2)/2)*AQ128*AT128*VLOOKUP('Données projet'!$B$10,Paramètres!$A$1:$I$89,3,0)*0.475*44/12</f>
        <v>3.3736784602534239E-11</v>
      </c>
      <c r="AX128" s="21">
        <f t="shared" si="60"/>
        <v>26.353014449814658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260.51637945828395</v>
      </c>
      <c r="T129" s="59">
        <f t="shared" si="88"/>
        <v>382.46224100713982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-2.8421709430404007E-13</v>
      </c>
      <c r="AJ129" s="13">
        <f>AI129*VLOOKUP('Données projet'!$B$10,Paramètres!$A$1:$I$89,3,0)*VLOOKUP('Données projet'!$B$10,Paramètres!$A$1:$I$89,5,0)</f>
        <v>-1.69961822393816E-13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260.51637945828395</v>
      </c>
      <c r="AO129" s="59">
        <f t="shared" si="90"/>
        <v>382.46224100713982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20.724617783276223</v>
      </c>
      <c r="AV129" s="21">
        <f>EXP(-LN(2)/25)*AV128+(1-EXP(-LN(2)/25))/(LN(2)/25)*Calculateur!AQ129*Calculateur!AS129*VLOOKUP('Données projet'!$B$10,Paramètres!$A$1:$I$89,3,0)*0.475*44/12</f>
        <v>5.0712973807171222</v>
      </c>
      <c r="AW129" s="21">
        <f>EXP(-LN(2)/2)*AW128+(1-EXP(-LN(2)/2))/(LN(2)/2)*AQ129*AT129*VLOOKUP('Données projet'!$B$10,Paramètres!$A$1:$I$89,3,0)*0.475*44/12</f>
        <v>2.3855509167881864E-11</v>
      </c>
      <c r="AX129" s="21">
        <f t="shared" si="60"/>
        <v>25.795915164017202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260.51637945828395</v>
      </c>
      <c r="T130" s="59">
        <f t="shared" si="88"/>
        <v>382.46224100713982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-2.8421709430404007E-13</v>
      </c>
      <c r="AJ130" s="13">
        <f>AI130*VLOOKUP('Données projet'!$B$10,Paramètres!$A$1:$I$89,3,0)*VLOOKUP('Données projet'!$B$10,Paramètres!$A$1:$I$89,5,0)</f>
        <v>-1.69961822393816E-13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260.51637945828395</v>
      </c>
      <c r="AO130" s="59">
        <f t="shared" si="90"/>
        <v>382.46224100713982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20.318220669314851</v>
      </c>
      <c r="AV130" s="21">
        <f>EXP(-LN(2)/25)*AV129+(1-EXP(-LN(2)/25))/(LN(2)/25)*Calculateur!AQ130*Calculateur!AS130*VLOOKUP('Données projet'!$B$10,Paramètres!$A$1:$I$89,3,0)*0.475*44/12</f>
        <v>4.9326224871534743</v>
      </c>
      <c r="AW130" s="21">
        <f>EXP(-LN(2)/2)*AW129+(1-EXP(-LN(2)/2))/(LN(2)/2)*AQ130*AT130*VLOOKUP('Données projet'!$B$10,Paramètres!$A$1:$I$89,3,0)*0.475*44/12</f>
        <v>1.6868392301267119E-11</v>
      </c>
      <c r="AX130" s="21">
        <f t="shared" si="60"/>
        <v>25.250843156485193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260.51637945828395</v>
      </c>
      <c r="T131" s="59">
        <f t="shared" si="88"/>
        <v>382.46224100713982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-2.8421709430404007E-13</v>
      </c>
      <c r="AJ131" s="13">
        <f>AI131*VLOOKUP('Données projet'!$B$10,Paramètres!$A$1:$I$89,3,0)*VLOOKUP('Données projet'!$B$10,Paramètres!$A$1:$I$89,5,0)</f>
        <v>-1.69961822393816E-13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260.51637945828395</v>
      </c>
      <c r="AO131" s="59">
        <f t="shared" si="90"/>
        <v>382.46224100713982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19.919792754880497</v>
      </c>
      <c r="AV131" s="21">
        <f>EXP(-LN(2)/25)*AV130+(1-EXP(-LN(2)/25))/(LN(2)/25)*Calculateur!AQ131*Calculateur!AS131*VLOOKUP('Données projet'!$B$10,Paramètres!$A$1:$I$89,3,0)*0.475*44/12</f>
        <v>4.7977396658469198</v>
      </c>
      <c r="AW131" s="21">
        <f>EXP(-LN(2)/2)*AW130+(1-EXP(-LN(2)/2))/(LN(2)/2)*AQ131*AT131*VLOOKUP('Données projet'!$B$10,Paramètres!$A$1:$I$89,3,0)*0.475*44/12</f>
        <v>1.1927754583940932E-11</v>
      </c>
      <c r="AX131" s="21">
        <f t="shared" si="60"/>
        <v>24.717532420739342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260.51637945828395</v>
      </c>
      <c r="T132" s="59">
        <f t="shared" si="88"/>
        <v>382.46224100713982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-2.8421709430404007E-13</v>
      </c>
      <c r="AJ132" s="13">
        <f>AI132*VLOOKUP('Données projet'!$B$10,Paramètres!$A$1:$I$89,3,0)*VLOOKUP('Données projet'!$B$10,Paramètres!$A$1:$I$89,5,0)</f>
        <v>-1.69961822393816E-13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260.51637945828395</v>
      </c>
      <c r="AO132" s="59">
        <f t="shared" si="90"/>
        <v>382.46224100713982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19.529177768831172</v>
      </c>
      <c r="AV132" s="21">
        <f>EXP(-LN(2)/25)*AV131+(1-EXP(-LN(2)/25))/(LN(2)/25)*Calculateur!AQ132*Calculateur!AS132*VLOOKUP('Données projet'!$B$10,Paramètres!$A$1:$I$89,3,0)*0.475*44/12</f>
        <v>4.6665452223821724</v>
      </c>
      <c r="AW132" s="21">
        <f>EXP(-LN(2)/2)*AW131+(1-EXP(-LN(2)/2))/(LN(2)/2)*AQ132*AT132*VLOOKUP('Données projet'!$B$10,Paramètres!$A$1:$I$89,3,0)*0.475*44/12</f>
        <v>8.4341961506335597E-12</v>
      </c>
      <c r="AX132" s="21">
        <f t="shared" ref="AX132:AX153" si="114">SUM(AU132:AW132)</f>
        <v>24.195722991221778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260.51637945828395</v>
      </c>
      <c r="T133" s="59">
        <f t="shared" ref="T133:T196" si="142">$T$3</f>
        <v>382.46224100713982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-2.8421709430404007E-13</v>
      </c>
      <c r="AJ133" s="13">
        <f>AI133*VLOOKUP('Données projet'!$B$10,Paramètres!$A$1:$I$89,3,0)*VLOOKUP('Données projet'!$B$10,Paramètres!$A$1:$I$89,5,0)</f>
        <v>-1.69961822393816E-13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260.51637945828395</v>
      </c>
      <c r="AO133" s="59">
        <f t="shared" ref="AO133:AO196" si="144">$AO$3</f>
        <v>382.46224100713982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19.146222504406655</v>
      </c>
      <c r="AV133" s="21">
        <f>EXP(-LN(2)/25)*AV132+(1-EXP(-LN(2)/25))/(LN(2)/25)*Calculateur!AQ133*Calculateur!AS133*VLOOKUP('Données projet'!$B$10,Paramètres!$A$1:$I$89,3,0)*0.475*44/12</f>
        <v>4.5389382978731838</v>
      </c>
      <c r="AW133" s="21">
        <f>EXP(-LN(2)/2)*AW132+(1-EXP(-LN(2)/2))/(LN(2)/2)*AQ133*AT133*VLOOKUP('Données projet'!$B$10,Paramètres!$A$1:$I$89,3,0)*0.475*44/12</f>
        <v>5.963877291970466E-12</v>
      </c>
      <c r="AX133" s="21">
        <f t="shared" si="114"/>
        <v>23.685160802285804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260.51637945828395</v>
      </c>
      <c r="T134" s="59">
        <f t="shared" si="142"/>
        <v>382.46224100713982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-2.8421709430404007E-13</v>
      </c>
      <c r="AJ134" s="13">
        <f>AI134*VLOOKUP('Données projet'!$B$10,Paramètres!$A$1:$I$89,3,0)*VLOOKUP('Données projet'!$B$10,Paramètres!$A$1:$I$89,5,0)</f>
        <v>-1.69961822393816E-13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260.51637945828395</v>
      </c>
      <c r="AO134" s="59">
        <f t="shared" si="144"/>
        <v>382.46224100713982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18.770776759137856</v>
      </c>
      <c r="AV134" s="21">
        <f>EXP(-LN(2)/25)*AV133+(1-EXP(-LN(2)/25))/(LN(2)/25)*Calculateur!AQ134*Calculateur!AS134*VLOOKUP('Données projet'!$B$10,Paramètres!$A$1:$I$89,3,0)*0.475*44/12</f>
        <v>4.4148207914254503</v>
      </c>
      <c r="AW134" s="21">
        <f>EXP(-LN(2)/2)*AW133+(1-EXP(-LN(2)/2))/(LN(2)/2)*AQ134*AT134*VLOOKUP('Données projet'!$B$10,Paramètres!$A$1:$I$89,3,0)*0.475*44/12</f>
        <v>4.2170980753167799E-12</v>
      </c>
      <c r="AX134" s="21">
        <f t="shared" si="114"/>
        <v>23.185597550567525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260.51637945828395</v>
      </c>
      <c r="T135" s="59">
        <f t="shared" si="142"/>
        <v>382.46224100713982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-2.8421709430404007E-13</v>
      </c>
      <c r="AJ135" s="13">
        <f>AI135*VLOOKUP('Données projet'!$B$10,Paramètres!$A$1:$I$89,3,0)*VLOOKUP('Données projet'!$B$10,Paramètres!$A$1:$I$89,5,0)</f>
        <v>-1.69961822393816E-13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260.51637945828395</v>
      </c>
      <c r="AO135" s="59">
        <f t="shared" si="144"/>
        <v>382.46224100713982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18.402693275934485</v>
      </c>
      <c r="AV135" s="21">
        <f>EXP(-LN(2)/25)*AV134+(1-EXP(-LN(2)/25))/(LN(2)/25)*Calculateur!AQ135*Calculateur!AS135*VLOOKUP('Données projet'!$B$10,Paramètres!$A$1:$I$89,3,0)*0.475*44/12</f>
        <v>4.2940972847185863</v>
      </c>
      <c r="AW135" s="21">
        <f>EXP(-LN(2)/2)*AW134+(1-EXP(-LN(2)/2))/(LN(2)/2)*AQ135*AT135*VLOOKUP('Données projet'!$B$10,Paramètres!$A$1:$I$89,3,0)*0.475*44/12</f>
        <v>2.981938645985233E-12</v>
      </c>
      <c r="AX135" s="21">
        <f t="shared" si="114"/>
        <v>22.696790560656051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260.51637945828395</v>
      </c>
      <c r="T136" s="59">
        <f t="shared" si="142"/>
        <v>382.46224100713982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-2.8421709430404007E-13</v>
      </c>
      <c r="AJ136" s="13">
        <f>AI136*VLOOKUP('Données projet'!$B$10,Paramètres!$A$1:$I$89,3,0)*VLOOKUP('Données projet'!$B$10,Paramètres!$A$1:$I$89,5,0)</f>
        <v>-1.69961822393816E-13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260.51637945828395</v>
      </c>
      <c r="AO136" s="59">
        <f t="shared" si="144"/>
        <v>382.46224100713982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18.041827685327977</v>
      </c>
      <c r="AV136" s="21">
        <f>EXP(-LN(2)/25)*AV135+(1-EXP(-LN(2)/25))/(LN(2)/25)*Calculateur!AQ136*Calculateur!AS136*VLOOKUP('Données projet'!$B$10,Paramètres!$A$1:$I$89,3,0)*0.475*44/12</f>
        <v>4.176674968651195</v>
      </c>
      <c r="AW136" s="21">
        <f>EXP(-LN(2)/2)*AW135+(1-EXP(-LN(2)/2))/(LN(2)/2)*AQ136*AT136*VLOOKUP('Données projet'!$B$10,Paramètres!$A$1:$I$89,3,0)*0.475*44/12</f>
        <v>2.1085490376583899E-12</v>
      </c>
      <c r="AX136" s="21">
        <f t="shared" si="114"/>
        <v>22.218502653981282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260.51637945828395</v>
      </c>
      <c r="T137" s="59">
        <f t="shared" si="142"/>
        <v>382.46224100713982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-2.8421709430404007E-13</v>
      </c>
      <c r="AJ137" s="13">
        <f>AI137*VLOOKUP('Données projet'!$B$10,Paramètres!$A$1:$I$89,3,0)*VLOOKUP('Données projet'!$B$10,Paramètres!$A$1:$I$89,5,0)</f>
        <v>-1.69961822393816E-13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260.51637945828395</v>
      </c>
      <c r="AO137" s="59">
        <f t="shared" si="144"/>
        <v>382.46224100713982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17.688038448846985</v>
      </c>
      <c r="AV137" s="21">
        <f>EXP(-LN(2)/25)*AV136+(1-EXP(-LN(2)/25))/(LN(2)/25)*Calculateur!AQ137*Calculateur!AS137*VLOOKUP('Données projet'!$B$10,Paramètres!$A$1:$I$89,3,0)*0.475*44/12</f>
        <v>4.0624635719916373</v>
      </c>
      <c r="AW137" s="21">
        <f>EXP(-LN(2)/2)*AW136+(1-EXP(-LN(2)/2))/(LN(2)/2)*AQ137*AT137*VLOOKUP('Données projet'!$B$10,Paramètres!$A$1:$I$89,3,0)*0.475*44/12</f>
        <v>1.4909693229926165E-12</v>
      </c>
      <c r="AX137" s="21">
        <f t="shared" si="114"/>
        <v>21.750502020840116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260.51637945828395</v>
      </c>
      <c r="T138" s="59">
        <f t="shared" si="142"/>
        <v>382.46224100713982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-2.8421709430404007E-13</v>
      </c>
      <c r="AJ138" s="13">
        <f>AI138*VLOOKUP('Données projet'!$B$10,Paramètres!$A$1:$I$89,3,0)*VLOOKUP('Données projet'!$B$10,Paramètres!$A$1:$I$89,5,0)</f>
        <v>-1.69961822393816E-13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260.51637945828395</v>
      </c>
      <c r="AO138" s="59">
        <f t="shared" si="144"/>
        <v>382.46224100713982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17.341186803503259</v>
      </c>
      <c r="AV138" s="21">
        <f>EXP(-LN(2)/25)*AV137+(1-EXP(-LN(2)/25))/(LN(2)/25)*Calculateur!AQ138*Calculateur!AS138*VLOOKUP('Données projet'!$B$10,Paramètres!$A$1:$I$89,3,0)*0.475*44/12</f>
        <v>3.9513752919798515</v>
      </c>
      <c r="AW138" s="21">
        <f>EXP(-LN(2)/2)*AW137+(1-EXP(-LN(2)/2))/(LN(2)/2)*AQ138*AT138*VLOOKUP('Données projet'!$B$10,Paramètres!$A$1:$I$89,3,0)*0.475*44/12</f>
        <v>1.054274518829195E-12</v>
      </c>
      <c r="AX138" s="21">
        <f t="shared" si="114"/>
        <v>21.292562095484165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260.51637945828395</v>
      </c>
      <c r="T139" s="59">
        <f t="shared" si="142"/>
        <v>382.46224100713982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-2.8421709430404007E-13</v>
      </c>
      <c r="AJ139" s="13">
        <f>AI139*VLOOKUP('Données projet'!$B$10,Paramètres!$A$1:$I$89,3,0)*VLOOKUP('Données projet'!$B$10,Paramètres!$A$1:$I$89,5,0)</f>
        <v>-1.69961822393816E-13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260.51637945828395</v>
      </c>
      <c r="AO139" s="59">
        <f t="shared" si="144"/>
        <v>382.46224100713982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17.001136707366111</v>
      </c>
      <c r="AV139" s="21">
        <f>EXP(-LN(2)/25)*AV138+(1-EXP(-LN(2)/25))/(LN(2)/25)*Calculateur!AQ139*Calculateur!AS139*VLOOKUP('Données projet'!$B$10,Paramètres!$A$1:$I$89,3,0)*0.475*44/12</f>
        <v>3.8433247268268667</v>
      </c>
      <c r="AW139" s="21">
        <f>EXP(-LN(2)/2)*AW138+(1-EXP(-LN(2)/2))/(LN(2)/2)*AQ139*AT139*VLOOKUP('Données projet'!$B$10,Paramètres!$A$1:$I$89,3,0)*0.475*44/12</f>
        <v>7.4548466149630825E-13</v>
      </c>
      <c r="AX139" s="21">
        <f t="shared" si="114"/>
        <v>20.844461434193725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260.51637945828395</v>
      </c>
      <c r="T140" s="59">
        <f t="shared" si="142"/>
        <v>382.46224100713982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-2.8421709430404007E-13</v>
      </c>
      <c r="AJ140" s="13">
        <f>AI140*VLOOKUP('Données projet'!$B$10,Paramètres!$A$1:$I$89,3,0)*VLOOKUP('Données projet'!$B$10,Paramètres!$A$1:$I$89,5,0)</f>
        <v>-1.69961822393816E-13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260.51637945828395</v>
      </c>
      <c r="AO140" s="59">
        <f t="shared" si="144"/>
        <v>382.46224100713982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16.667754786204135</v>
      </c>
      <c r="AV140" s="21">
        <f>EXP(-LN(2)/25)*AV139+(1-EXP(-LN(2)/25))/(LN(2)/25)*Calculateur!AQ140*Calculateur!AS140*VLOOKUP('Données projet'!$B$10,Paramètres!$A$1:$I$89,3,0)*0.475*44/12</f>
        <v>3.7382288100601224</v>
      </c>
      <c r="AW140" s="21">
        <f>EXP(-LN(2)/2)*AW139+(1-EXP(-LN(2)/2))/(LN(2)/2)*AQ140*AT140*VLOOKUP('Données projet'!$B$10,Paramètres!$A$1:$I$89,3,0)*0.475*44/12</f>
        <v>5.2713725941459748E-13</v>
      </c>
      <c r="AX140" s="21">
        <f t="shared" si="114"/>
        <v>20.405983596264782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260.51637945828395</v>
      </c>
      <c r="T141" s="59">
        <f t="shared" si="142"/>
        <v>382.46224100713982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-2.8421709430404007E-13</v>
      </c>
      <c r="AJ141" s="13">
        <f>AI141*VLOOKUP('Données projet'!$B$10,Paramètres!$A$1:$I$89,3,0)*VLOOKUP('Données projet'!$B$10,Paramètres!$A$1:$I$89,5,0)</f>
        <v>-1.69961822393816E-13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260.51637945828395</v>
      </c>
      <c r="AO141" s="59">
        <f t="shared" si="144"/>
        <v>382.46224100713982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16.340910281173251</v>
      </c>
      <c r="AV141" s="21">
        <f>EXP(-LN(2)/25)*AV140+(1-EXP(-LN(2)/25))/(LN(2)/25)*Calculateur!AQ141*Calculateur!AS141*VLOOKUP('Données projet'!$B$10,Paramètres!$A$1:$I$89,3,0)*0.475*44/12</f>
        <v>3.636006746664119</v>
      </c>
      <c r="AW141" s="21">
        <f>EXP(-LN(2)/2)*AW140+(1-EXP(-LN(2)/2))/(LN(2)/2)*AQ141*AT141*VLOOKUP('Données projet'!$B$10,Paramètres!$A$1:$I$89,3,0)*0.475*44/12</f>
        <v>3.7274233074815412E-13</v>
      </c>
      <c r="AX141" s="21">
        <f t="shared" si="114"/>
        <v>19.976917027837743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260.51637945828395</v>
      </c>
      <c r="T142" s="59">
        <f t="shared" si="142"/>
        <v>382.46224100713982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-2.8421709430404007E-13</v>
      </c>
      <c r="AJ142" s="13">
        <f>AI142*VLOOKUP('Données projet'!$B$10,Paramètres!$A$1:$I$89,3,0)*VLOOKUP('Données projet'!$B$10,Paramètres!$A$1:$I$89,5,0)</f>
        <v>-1.69961822393816E-13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260.51637945828395</v>
      </c>
      <c r="AO142" s="59">
        <f t="shared" si="144"/>
        <v>382.46224100713982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16.02047499753056</v>
      </c>
      <c r="AV142" s="21">
        <f>EXP(-LN(2)/25)*AV141+(1-EXP(-LN(2)/25))/(LN(2)/25)*Calculateur!AQ142*Calculateur!AS142*VLOOKUP('Données projet'!$B$10,Paramètres!$A$1:$I$89,3,0)*0.475*44/12</f>
        <v>3.5365799509673042</v>
      </c>
      <c r="AW142" s="21">
        <f>EXP(-LN(2)/2)*AW141+(1-EXP(-LN(2)/2))/(LN(2)/2)*AQ142*AT142*VLOOKUP('Données projet'!$B$10,Paramètres!$A$1:$I$89,3,0)*0.475*44/12</f>
        <v>2.6356862970729874E-13</v>
      </c>
      <c r="AX142" s="21">
        <f t="shared" si="114"/>
        <v>19.557054948498127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260.51637945828395</v>
      </c>
      <c r="T143" s="59">
        <f t="shared" si="142"/>
        <v>382.46224100713982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-2.8421709430404007E-13</v>
      </c>
      <c r="AJ143" s="13">
        <f>AI143*VLOOKUP('Données projet'!$B$10,Paramètres!$A$1:$I$89,3,0)*VLOOKUP('Données projet'!$B$10,Paramètres!$A$1:$I$89,5,0)</f>
        <v>-1.69961822393816E-13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260.51637945828395</v>
      </c>
      <c r="AO143" s="59">
        <f t="shared" si="144"/>
        <v>382.46224100713982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15.706323254353876</v>
      </c>
      <c r="AV143" s="21">
        <f>EXP(-LN(2)/25)*AV142+(1-EXP(-LN(2)/25))/(LN(2)/25)*Calculateur!AQ143*Calculateur!AS143*VLOOKUP('Données projet'!$B$10,Paramètres!$A$1:$I$89,3,0)*0.475*44/12</f>
        <v>3.4398719862274465</v>
      </c>
      <c r="AW143" s="21">
        <f>EXP(-LN(2)/2)*AW142+(1-EXP(-LN(2)/2))/(LN(2)/2)*AQ143*AT143*VLOOKUP('Données projet'!$B$10,Paramètres!$A$1:$I$89,3,0)*0.475*44/12</f>
        <v>1.8637116537407706E-13</v>
      </c>
      <c r="AX143" s="21">
        <f t="shared" si="114"/>
        <v>19.146195240581505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260.51637945828395</v>
      </c>
      <c r="T144" s="59">
        <f t="shared" si="142"/>
        <v>382.46224100713982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-2.8421709430404007E-13</v>
      </c>
      <c r="AJ144" s="13">
        <f>AI144*VLOOKUP('Données projet'!$B$10,Paramètres!$A$1:$I$89,3,0)*VLOOKUP('Données projet'!$B$10,Paramètres!$A$1:$I$89,5,0)</f>
        <v>-1.69961822393816E-13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260.51637945828395</v>
      </c>
      <c r="AO144" s="59">
        <f t="shared" si="144"/>
        <v>382.46224100713982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15.398331835247244</v>
      </c>
      <c r="AV144" s="21">
        <f>EXP(-LN(2)/25)*AV143+(1-EXP(-LN(2)/25))/(LN(2)/25)*Calculateur!AQ144*Calculateur!AS144*VLOOKUP('Données projet'!$B$10,Paramètres!$A$1:$I$89,3,0)*0.475*44/12</f>
        <v>3.345808505869051</v>
      </c>
      <c r="AW144" s="21">
        <f>EXP(-LN(2)/2)*AW143+(1-EXP(-LN(2)/2))/(LN(2)/2)*AQ144*AT144*VLOOKUP('Données projet'!$B$10,Paramètres!$A$1:$I$89,3,0)*0.475*44/12</f>
        <v>1.3178431485364937E-13</v>
      </c>
      <c r="AX144" s="21">
        <f t="shared" si="114"/>
        <v>18.744140341116427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260.51637945828395</v>
      </c>
      <c r="T145" s="59">
        <f t="shared" si="142"/>
        <v>382.46224100713982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-2.8421709430404007E-13</v>
      </c>
      <c r="AJ145" s="13">
        <f>AI145*VLOOKUP('Données projet'!$B$10,Paramètres!$A$1:$I$89,3,0)*VLOOKUP('Données projet'!$B$10,Paramètres!$A$1:$I$89,5,0)</f>
        <v>-1.69961822393816E-13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260.51637945828395</v>
      </c>
      <c r="AO145" s="59">
        <f t="shared" si="144"/>
        <v>382.46224100713982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15.096379940013078</v>
      </c>
      <c r="AV145" s="21">
        <f>EXP(-LN(2)/25)*AV144+(1-EXP(-LN(2)/25))/(LN(2)/25)*Calculateur!AQ145*Calculateur!AS145*VLOOKUP('Données projet'!$B$10,Paramètres!$A$1:$I$89,3,0)*0.475*44/12</f>
        <v>3.2543171963276394</v>
      </c>
      <c r="AW145" s="21">
        <f>EXP(-LN(2)/2)*AW144+(1-EXP(-LN(2)/2))/(LN(2)/2)*AQ145*AT145*VLOOKUP('Données projet'!$B$10,Paramètres!$A$1:$I$89,3,0)*0.475*44/12</f>
        <v>9.3185582687038531E-14</v>
      </c>
      <c r="AX145" s="21">
        <f t="shared" si="114"/>
        <v>18.350697136340809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260.51637945828395</v>
      </c>
      <c r="T146" s="59">
        <f t="shared" si="142"/>
        <v>382.46224100713982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-2.8421709430404007E-13</v>
      </c>
      <c r="AJ146" s="13">
        <f>AI146*VLOOKUP('Données projet'!$B$10,Paramètres!$A$1:$I$89,3,0)*VLOOKUP('Données projet'!$B$10,Paramètres!$A$1:$I$89,5,0)</f>
        <v>-1.69961822393816E-13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260.51637945828395</v>
      </c>
      <c r="AO146" s="59">
        <f t="shared" si="144"/>
        <v>382.46224100713982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14.800349137271981</v>
      </c>
      <c r="AV146" s="21">
        <f>EXP(-LN(2)/25)*AV145+(1-EXP(-LN(2)/25))/(LN(2)/25)*Calculateur!AQ146*Calculateur!AS146*VLOOKUP('Données projet'!$B$10,Paramètres!$A$1:$I$89,3,0)*0.475*44/12</f>
        <v>3.1653277214569564</v>
      </c>
      <c r="AW146" s="21">
        <f>EXP(-LN(2)/2)*AW145+(1-EXP(-LN(2)/2))/(LN(2)/2)*AQ146*AT146*VLOOKUP('Données projet'!$B$10,Paramètres!$A$1:$I$89,3,0)*0.475*44/12</f>
        <v>6.5892157426824685E-14</v>
      </c>
      <c r="AX146" s="21">
        <f t="shared" si="114"/>
        <v>17.965676858729005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260.51637945828395</v>
      </c>
      <c r="T147" s="59">
        <f t="shared" si="142"/>
        <v>382.46224100713982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-2.8421709430404007E-13</v>
      </c>
      <c r="AJ147" s="13">
        <f>AI147*VLOOKUP('Données projet'!$B$10,Paramètres!$A$1:$I$89,3,0)*VLOOKUP('Données projet'!$B$10,Paramètres!$A$1:$I$89,5,0)</f>
        <v>-1.69961822393816E-13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260.51637945828395</v>
      </c>
      <c r="AO147" s="59">
        <f t="shared" si="144"/>
        <v>382.46224100713982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14.510123318011678</v>
      </c>
      <c r="AV147" s="21">
        <f>EXP(-LN(2)/25)*AV146+(1-EXP(-LN(2)/25))/(LN(2)/25)*Calculateur!AQ147*Calculateur!AS147*VLOOKUP('Données projet'!$B$10,Paramètres!$A$1:$I$89,3,0)*0.475*44/12</f>
        <v>3.0787716684563655</v>
      </c>
      <c r="AW147" s="21">
        <f>EXP(-LN(2)/2)*AW146+(1-EXP(-LN(2)/2))/(LN(2)/2)*AQ147*AT147*VLOOKUP('Données projet'!$B$10,Paramètres!$A$1:$I$89,3,0)*0.475*44/12</f>
        <v>4.6592791343519266E-14</v>
      </c>
      <c r="AX147" s="21">
        <f t="shared" si="114"/>
        <v>17.588894986468087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260.51637945828395</v>
      </c>
      <c r="T148" s="59">
        <f t="shared" si="142"/>
        <v>382.46224100713982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-2.8421709430404007E-13</v>
      </c>
      <c r="AJ148" s="13">
        <f>AI148*VLOOKUP('Données projet'!$B$10,Paramètres!$A$1:$I$89,3,0)*VLOOKUP('Données projet'!$B$10,Paramètres!$A$1:$I$89,5,0)</f>
        <v>-1.69961822393816E-13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260.51637945828395</v>
      </c>
      <c r="AO148" s="59">
        <f t="shared" si="144"/>
        <v>382.46224100713982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14.225588650046799</v>
      </c>
      <c r="AV148" s="21">
        <f>EXP(-LN(2)/25)*AV147+(1-EXP(-LN(2)/25))/(LN(2)/25)*Calculateur!AQ148*Calculateur!AS148*VLOOKUP('Données projet'!$B$10,Paramètres!$A$1:$I$89,3,0)*0.475*44/12</f>
        <v>2.9945824952768607</v>
      </c>
      <c r="AW148" s="21">
        <f>EXP(-LN(2)/2)*AW147+(1-EXP(-LN(2)/2))/(LN(2)/2)*AQ148*AT148*VLOOKUP('Données projet'!$B$10,Paramètres!$A$1:$I$89,3,0)*0.475*44/12</f>
        <v>3.2946078713412343E-14</v>
      </c>
      <c r="AX148" s="21">
        <f t="shared" si="114"/>
        <v>17.220171145323693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260.51637945828395</v>
      </c>
      <c r="T149" s="59">
        <f t="shared" si="142"/>
        <v>382.46224100713982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-2.8421709430404007E-13</v>
      </c>
      <c r="AJ149" s="13">
        <f>AI149*VLOOKUP('Données projet'!$B$10,Paramètres!$A$1:$I$89,3,0)*VLOOKUP('Données projet'!$B$10,Paramètres!$A$1:$I$89,5,0)</f>
        <v>-1.69961822393816E-13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260.51637945828395</v>
      </c>
      <c r="AO149" s="59">
        <f t="shared" si="144"/>
        <v>382.46224100713982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13.946633533371699</v>
      </c>
      <c r="AV149" s="21">
        <f>EXP(-LN(2)/25)*AV148+(1-EXP(-LN(2)/25))/(LN(2)/25)*Calculateur!AQ149*Calculateur!AS149*VLOOKUP('Données projet'!$B$10,Paramètres!$A$1:$I$89,3,0)*0.475*44/12</f>
        <v>2.9126954794652655</v>
      </c>
      <c r="AW149" s="21">
        <f>EXP(-LN(2)/2)*AW148+(1-EXP(-LN(2)/2))/(LN(2)/2)*AQ149*AT149*VLOOKUP('Données projet'!$B$10,Paramètres!$A$1:$I$89,3,0)*0.475*44/12</f>
        <v>2.3296395671759633E-14</v>
      </c>
      <c r="AX149" s="21">
        <f t="shared" si="114"/>
        <v>16.859329012836991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260.51637945828395</v>
      </c>
      <c r="T150" s="59">
        <f t="shared" si="142"/>
        <v>382.46224100713982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-2.8421709430404007E-13</v>
      </c>
      <c r="AJ150" s="13">
        <f>AI150*VLOOKUP('Données projet'!$B$10,Paramètres!$A$1:$I$89,3,0)*VLOOKUP('Données projet'!$B$10,Paramètres!$A$1:$I$89,5,0)</f>
        <v>-1.69961822393816E-13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260.51637945828395</v>
      </c>
      <c r="AO150" s="59">
        <f t="shared" si="144"/>
        <v>382.46224100713982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13.673148556388778</v>
      </c>
      <c r="AV150" s="21">
        <f>EXP(-LN(2)/25)*AV149+(1-EXP(-LN(2)/25))/(LN(2)/25)*Calculateur!AQ150*Calculateur!AS150*VLOOKUP('Données projet'!$B$10,Paramètres!$A$1:$I$89,3,0)*0.475*44/12</f>
        <v>2.8330476684072896</v>
      </c>
      <c r="AW150" s="21">
        <f>EXP(-LN(2)/2)*AW149+(1-EXP(-LN(2)/2))/(LN(2)/2)*AQ150*AT150*VLOOKUP('Données projet'!$B$10,Paramètres!$A$1:$I$89,3,0)*0.475*44/12</f>
        <v>1.6473039356706171E-14</v>
      </c>
      <c r="AX150" s="21">
        <f t="shared" si="114"/>
        <v>16.506196224796085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260.51637945828395</v>
      </c>
      <c r="T151" s="59">
        <f t="shared" si="142"/>
        <v>382.46224100713982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-2.8421709430404007E-13</v>
      </c>
      <c r="AJ151" s="13">
        <f>AI151*VLOOKUP('Données projet'!$B$10,Paramètres!$A$1:$I$89,3,0)*VLOOKUP('Données projet'!$B$10,Paramètres!$A$1:$I$89,5,0)</f>
        <v>-1.69961822393816E-13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260.51637945828395</v>
      </c>
      <c r="AO151" s="59">
        <f t="shared" si="144"/>
        <v>382.46224100713982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13.405026452995127</v>
      </c>
      <c r="AV151" s="21">
        <f>EXP(-LN(2)/25)*AV150+(1-EXP(-LN(2)/25))/(LN(2)/25)*Calculateur!AQ151*Calculateur!AS151*VLOOKUP('Données projet'!$B$10,Paramètres!$A$1:$I$89,3,0)*0.475*44/12</f>
        <v>2.7555778309311902</v>
      </c>
      <c r="AW151" s="21">
        <f>EXP(-LN(2)/2)*AW150+(1-EXP(-LN(2)/2))/(LN(2)/2)*AQ151*AT151*VLOOKUP('Données projet'!$B$10,Paramètres!$A$1:$I$89,3,0)*0.475*44/12</f>
        <v>1.1648197835879816E-14</v>
      </c>
      <c r="AX151" s="21">
        <f t="shared" si="114"/>
        <v>16.160604283926329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260.51637945828395</v>
      </c>
      <c r="T152" s="59">
        <f t="shared" si="142"/>
        <v>382.46224100713982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-2.8421709430404007E-13</v>
      </c>
      <c r="AJ152" s="13">
        <f>AI152*VLOOKUP('Données projet'!$B$10,Paramètres!$A$1:$I$89,3,0)*VLOOKUP('Données projet'!$B$10,Paramètres!$A$1:$I$89,5,0)</f>
        <v>-1.69961822393816E-13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260.51637945828395</v>
      </c>
      <c r="AO152" s="59">
        <f t="shared" si="144"/>
        <v>382.46224100713982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13.142162060510691</v>
      </c>
      <c r="AV152" s="21">
        <f>EXP(-LN(2)/25)*AV151+(1-EXP(-LN(2)/25))/(LN(2)/25)*Calculateur!AQ152*Calculateur!AS152*VLOOKUP('Données projet'!$B$10,Paramètres!$A$1:$I$89,3,0)*0.475*44/12</f>
        <v>2.6802264102348365</v>
      </c>
      <c r="AW152" s="21">
        <f>EXP(-LN(2)/2)*AW151+(1-EXP(-LN(2)/2))/(LN(2)/2)*AQ152*AT152*VLOOKUP('Données projet'!$B$10,Paramètres!$A$1:$I$89,3,0)*0.475*44/12</f>
        <v>8.2365196783530857E-15</v>
      </c>
      <c r="AX152" s="21">
        <f t="shared" si="114"/>
        <v>15.822388470745535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260.51637945828395</v>
      </c>
      <c r="T153" s="59">
        <f t="shared" si="142"/>
        <v>382.46224100713982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-2.8421709430404007E-13</v>
      </c>
      <c r="AJ153" s="13">
        <f>AI153*VLOOKUP('Données projet'!$B$10,Paramètres!$A$1:$I$89,3,0)*VLOOKUP('Données projet'!$B$10,Paramètres!$A$1:$I$89,5,0)</f>
        <v>-1.69961822393816E-13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260.51637945828395</v>
      </c>
      <c r="AO153" s="59">
        <f t="shared" si="144"/>
        <v>382.46224100713982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12.884452278431425</v>
      </c>
      <c r="AV153" s="21">
        <f>EXP(-LN(2)/25)*AV152+(1-EXP(-LN(2)/25))/(LN(2)/25)*Calculateur!AQ153*Calculateur!AS153*VLOOKUP('Données projet'!$B$10,Paramètres!$A$1:$I$89,3,0)*0.475*44/12</f>
        <v>2.6069354780999836</v>
      </c>
      <c r="AW153" s="21">
        <f>EXP(-LN(2)/2)*AW152+(1-EXP(-LN(2)/2))/(LN(2)/2)*AQ153*AT153*VLOOKUP('Données projet'!$B$10,Paramètres!$A$1:$I$89,3,0)*0.475*44/12</f>
        <v>5.8240989179399082E-15</v>
      </c>
      <c r="AX153" s="21">
        <f t="shared" si="114"/>
        <v>15.491387756531415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260.51637945828395</v>
      </c>
      <c r="T154" s="59">
        <f t="shared" si="142"/>
        <v>382.46224100713982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-2.8421709430404007E-13</v>
      </c>
      <c r="AJ154" s="13">
        <f>AI154*VLOOKUP('Données projet'!$B$10,Paramètres!$A$1:$I$89,3,0)*VLOOKUP('Données projet'!$B$10,Paramètres!$A$1:$I$89,5,0)</f>
        <v>-1.69961822393816E-13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260.51637945828395</v>
      </c>
      <c r="AO154" s="59">
        <f t="shared" si="144"/>
        <v>382.46224100713982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12.631796027991289</v>
      </c>
      <c r="AV154" s="21">
        <f>EXP(-LN(2)/25)*AV153+(1-EXP(-LN(2)/25))/(LN(2)/25)*Calculateur!AQ154*Calculateur!AS154*VLOOKUP('Données projet'!$B$10,Paramètres!$A$1:$I$89,3,0)*0.475*44/12</f>
        <v>2.5356486903585611</v>
      </c>
      <c r="AW154" s="21">
        <f>EXP(-LN(2)/2)*AW153+(1-EXP(-LN(2)/2))/(LN(2)/2)*AQ154*AT154*VLOOKUP('Données projet'!$B$10,Paramètres!$A$1:$I$89,3,0)*0.475*44/12</f>
        <v>4.1182598391765428E-15</v>
      </c>
      <c r="AX154" s="21">
        <f t="shared" ref="AX154:AX203" si="166">SUM(AU154:AW154)</f>
        <v>15.167444718349854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260.51637945828395</v>
      </c>
      <c r="T155" s="59">
        <f t="shared" si="142"/>
        <v>382.46224100713982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-2.8421709430404007E-13</v>
      </c>
      <c r="AJ155" s="13">
        <f>AI155*VLOOKUP('Données projet'!$B$10,Paramètres!$A$1:$I$89,3,0)*VLOOKUP('Données projet'!$B$10,Paramètres!$A$1:$I$89,5,0)</f>
        <v>-1.69961822393816E-13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260.51637945828395</v>
      </c>
      <c r="AO155" s="59">
        <f t="shared" si="144"/>
        <v>382.46224100713982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12.384094212517187</v>
      </c>
      <c r="AV155" s="21">
        <f>EXP(-LN(2)/25)*AV154+(1-EXP(-LN(2)/25))/(LN(2)/25)*Calculateur!AQ155*Calculateur!AS155*VLOOKUP('Données projet'!$B$10,Paramètres!$A$1:$I$89,3,0)*0.475*44/12</f>
        <v>2.4663112435767371</v>
      </c>
      <c r="AW155" s="21">
        <f>EXP(-LN(2)/2)*AW154+(1-EXP(-LN(2)/2))/(LN(2)/2)*AQ155*AT155*VLOOKUP('Données projet'!$B$10,Paramètres!$A$1:$I$89,3,0)*0.475*44/12</f>
        <v>2.9120494589699541E-15</v>
      </c>
      <c r="AX155" s="21">
        <f t="shared" si="166"/>
        <v>14.850405456093927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260.51637945828395</v>
      </c>
      <c r="T156" s="59">
        <f t="shared" si="142"/>
        <v>382.46224100713982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-2.8421709430404007E-13</v>
      </c>
      <c r="AJ156" s="13">
        <f>AI156*VLOOKUP('Données projet'!$B$10,Paramètres!$A$1:$I$89,3,0)*VLOOKUP('Données projet'!$B$10,Paramètres!$A$1:$I$89,5,0)</f>
        <v>-1.69961822393816E-13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260.51637945828395</v>
      </c>
      <c r="AO156" s="59">
        <f t="shared" si="144"/>
        <v>382.46224100713982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12.141249678561344</v>
      </c>
      <c r="AV156" s="21">
        <f>EXP(-LN(2)/25)*AV155+(1-EXP(-LN(2)/25))/(LN(2)/25)*Calculateur!AQ156*Calculateur!AS156*VLOOKUP('Données projet'!$B$10,Paramètres!$A$1:$I$89,3,0)*0.475*44/12</f>
        <v>2.3988698329234599</v>
      </c>
      <c r="AW156" s="21">
        <f>EXP(-LN(2)/2)*AW155+(1-EXP(-LN(2)/2))/(LN(2)/2)*AQ156*AT156*VLOOKUP('Données projet'!$B$10,Paramètres!$A$1:$I$89,3,0)*0.475*44/12</f>
        <v>2.0591299195882714E-15</v>
      </c>
      <c r="AX156" s="21">
        <f t="shared" si="166"/>
        <v>14.540119511484805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260.51637945828395</v>
      </c>
      <c r="T157" s="59">
        <f t="shared" si="142"/>
        <v>382.46224100713982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-2.8421709430404007E-13</v>
      </c>
      <c r="AJ157" s="13">
        <f>AI157*VLOOKUP('Données projet'!$B$10,Paramètres!$A$1:$I$89,3,0)*VLOOKUP('Données projet'!$B$10,Paramètres!$A$1:$I$89,5,0)</f>
        <v>-1.69961822393816E-13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260.51637945828395</v>
      </c>
      <c r="AO157" s="59">
        <f t="shared" si="144"/>
        <v>382.46224100713982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11.903167177795835</v>
      </c>
      <c r="AV157" s="21">
        <f>EXP(-LN(2)/25)*AV156+(1-EXP(-LN(2)/25))/(LN(2)/25)*Calculateur!AQ157*Calculateur!AS157*VLOOKUP('Données projet'!$B$10,Paramètres!$A$1:$I$89,3,0)*0.475*44/12</f>
        <v>2.3332726111910862</v>
      </c>
      <c r="AW157" s="21">
        <f>EXP(-LN(2)/2)*AW156+(1-EXP(-LN(2)/2))/(LN(2)/2)*AQ157*AT157*VLOOKUP('Données projet'!$B$10,Paramètres!$A$1:$I$89,3,0)*0.475*44/12</f>
        <v>1.456024729484977E-15</v>
      </c>
      <c r="AX157" s="21">
        <f t="shared" si="166"/>
        <v>14.236439788986923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260.51637945828395</v>
      </c>
      <c r="T158" s="59">
        <f t="shared" si="142"/>
        <v>382.46224100713982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-2.8421709430404007E-13</v>
      </c>
      <c r="AJ158" s="13">
        <f>AI158*VLOOKUP('Données projet'!$B$10,Paramètres!$A$1:$I$89,3,0)*VLOOKUP('Données projet'!$B$10,Paramètres!$A$1:$I$89,5,0)</f>
        <v>-1.69961822393816E-13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260.51637945828395</v>
      </c>
      <c r="AO158" s="59">
        <f t="shared" si="144"/>
        <v>382.46224100713982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11.66975332965435</v>
      </c>
      <c r="AV158" s="21">
        <f>EXP(-LN(2)/25)*AV157+(1-EXP(-LN(2)/25))/(LN(2)/25)*Calculateur!AQ158*Calculateur!AS158*VLOOKUP('Données projet'!$B$10,Paramètres!$A$1:$I$89,3,0)*0.475*44/12</f>
        <v>2.2694691489365919</v>
      </c>
      <c r="AW158" s="21">
        <f>EXP(-LN(2)/2)*AW157+(1-EXP(-LN(2)/2))/(LN(2)/2)*AQ158*AT158*VLOOKUP('Données projet'!$B$10,Paramètres!$A$1:$I$89,3,0)*0.475*44/12</f>
        <v>1.0295649597941357E-15</v>
      </c>
      <c r="AX158" s="21">
        <f t="shared" si="166"/>
        <v>13.939222478590944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260.51637945828395</v>
      </c>
      <c r="T159" s="59">
        <f t="shared" si="142"/>
        <v>382.46224100713982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-2.8421709430404007E-13</v>
      </c>
      <c r="AJ159" s="13">
        <f>AI159*VLOOKUP('Données projet'!$B$10,Paramètres!$A$1:$I$89,3,0)*VLOOKUP('Données projet'!$B$10,Paramètres!$A$1:$I$89,5,0)</f>
        <v>-1.69961822393816E-13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260.51637945828395</v>
      </c>
      <c r="AO159" s="59">
        <f t="shared" si="144"/>
        <v>382.46224100713982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11.44091658470653</v>
      </c>
      <c r="AV159" s="21">
        <f>EXP(-LN(2)/25)*AV158+(1-EXP(-LN(2)/25))/(LN(2)/25)*Calculateur!AQ159*Calculateur!AS159*VLOOKUP('Données projet'!$B$10,Paramètres!$A$1:$I$89,3,0)*0.475*44/12</f>
        <v>2.2074103957127251</v>
      </c>
      <c r="AW159" s="21">
        <f>EXP(-LN(2)/2)*AW158+(1-EXP(-LN(2)/2))/(LN(2)/2)*AQ159*AT159*VLOOKUP('Données projet'!$B$10,Paramètres!$A$1:$I$89,3,0)*0.475*44/12</f>
        <v>7.2801236474248852E-16</v>
      </c>
      <c r="AX159" s="21">
        <f t="shared" si="166"/>
        <v>13.648326980419256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260.51637945828395</v>
      </c>
      <c r="T160" s="59">
        <f t="shared" si="142"/>
        <v>382.46224100713982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-2.8421709430404007E-13</v>
      </c>
      <c r="AJ160" s="13">
        <f>AI160*VLOOKUP('Données projet'!$B$10,Paramètres!$A$1:$I$89,3,0)*VLOOKUP('Données projet'!$B$10,Paramètres!$A$1:$I$89,5,0)</f>
        <v>-1.69961822393816E-13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260.51637945828395</v>
      </c>
      <c r="AO160" s="59">
        <f t="shared" si="144"/>
        <v>382.46224100713982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11.216567188750505</v>
      </c>
      <c r="AV160" s="21">
        <f>EXP(-LN(2)/25)*AV159+(1-EXP(-LN(2)/25))/(LN(2)/25)*Calculateur!AQ160*Calculateur!AS160*VLOOKUP('Données projet'!$B$10,Paramètres!$A$1:$I$89,3,0)*0.475*44/12</f>
        <v>2.1470486423592932</v>
      </c>
      <c r="AW160" s="21">
        <f>EXP(-LN(2)/2)*AW159+(1-EXP(-LN(2)/2))/(LN(2)/2)*AQ160*AT160*VLOOKUP('Données projet'!$B$10,Paramètres!$A$1:$I$89,3,0)*0.475*44/12</f>
        <v>5.1478247989706785E-16</v>
      </c>
      <c r="AX160" s="21">
        <f t="shared" si="166"/>
        <v>13.363615831109797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260.51637945828395</v>
      </c>
      <c r="T161" s="59">
        <f t="shared" si="142"/>
        <v>382.46224100713982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-2.8421709430404007E-13</v>
      </c>
      <c r="AJ161" s="13">
        <f>AI161*VLOOKUP('Données projet'!$B$10,Paramètres!$A$1:$I$89,3,0)*VLOOKUP('Données projet'!$B$10,Paramètres!$A$1:$I$89,5,0)</f>
        <v>-1.69961822393816E-13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260.51637945828395</v>
      </c>
      <c r="AO161" s="59">
        <f t="shared" si="144"/>
        <v>382.46224100713982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10.996617147609557</v>
      </c>
      <c r="AV161" s="21">
        <f>EXP(-LN(2)/25)*AV160+(1-EXP(-LN(2)/25))/(LN(2)/25)*Calculateur!AQ161*Calculateur!AS161*VLOOKUP('Données projet'!$B$10,Paramètres!$A$1:$I$89,3,0)*0.475*44/12</f>
        <v>2.0883374843255975</v>
      </c>
      <c r="AW161" s="21">
        <f>EXP(-LN(2)/2)*AW160+(1-EXP(-LN(2)/2))/(LN(2)/2)*AQ161*AT161*VLOOKUP('Données projet'!$B$10,Paramètres!$A$1:$I$89,3,0)*0.475*44/12</f>
        <v>3.6400618237124426E-16</v>
      </c>
      <c r="AX161" s="21">
        <f t="shared" si="166"/>
        <v>13.084954631935155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260.51637945828395</v>
      </c>
      <c r="T162" s="59">
        <f t="shared" si="142"/>
        <v>382.46224100713982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-2.8421709430404007E-13</v>
      </c>
      <c r="AJ162" s="13">
        <f>AI162*VLOOKUP('Données projet'!$B$10,Paramètres!$A$1:$I$89,3,0)*VLOOKUP('Données projet'!$B$10,Paramètres!$A$1:$I$89,5,0)</f>
        <v>-1.69961822393816E-13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260.51637945828395</v>
      </c>
      <c r="AO162" s="59">
        <f t="shared" si="144"/>
        <v>382.46224100713982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10.780980192619106</v>
      </c>
      <c r="AV162" s="21">
        <f>EXP(-LN(2)/25)*AV161+(1-EXP(-LN(2)/25))/(LN(2)/25)*Calculateur!AQ162*Calculateur!AS162*VLOOKUP('Données projet'!$B$10,Paramètres!$A$1:$I$89,3,0)*0.475*44/12</f>
        <v>2.0312317859958187</v>
      </c>
      <c r="AW162" s="21">
        <f>EXP(-LN(2)/2)*AW161+(1-EXP(-LN(2)/2))/(LN(2)/2)*AQ162*AT162*VLOOKUP('Données projet'!$B$10,Paramètres!$A$1:$I$89,3,0)*0.475*44/12</f>
        <v>2.5739123994853393E-16</v>
      </c>
      <c r="AX162" s="21">
        <f t="shared" si="166"/>
        <v>12.812211978614926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260.51637945828395</v>
      </c>
      <c r="T163" s="59">
        <f t="shared" si="142"/>
        <v>382.46224100713982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-2.8421709430404007E-13</v>
      </c>
      <c r="AJ163" s="13">
        <f>AI163*VLOOKUP('Données projet'!$B$10,Paramètres!$A$1:$I$89,3,0)*VLOOKUP('Données projet'!$B$10,Paramètres!$A$1:$I$89,5,0)</f>
        <v>-1.69961822393816E-13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260.51637945828395</v>
      </c>
      <c r="AO163" s="59">
        <f t="shared" si="144"/>
        <v>382.46224100713982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10.569571746790462</v>
      </c>
      <c r="AV163" s="21">
        <f>EXP(-LN(2)/25)*AV162+(1-EXP(-LN(2)/25))/(LN(2)/25)*Calculateur!AQ163*Calculateur!AS163*VLOOKUP('Données projet'!$B$10,Paramètres!$A$1:$I$89,3,0)*0.475*44/12</f>
        <v>1.9756876459899257</v>
      </c>
      <c r="AW163" s="21">
        <f>EXP(-LN(2)/2)*AW162+(1-EXP(-LN(2)/2))/(LN(2)/2)*AQ163*AT163*VLOOKUP('Données projet'!$B$10,Paramètres!$A$1:$I$89,3,0)*0.475*44/12</f>
        <v>1.8200309118562213E-16</v>
      </c>
      <c r="AX163" s="21">
        <f t="shared" si="166"/>
        <v>12.545259392780387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260.51637945828395</v>
      </c>
      <c r="T164" s="59">
        <f t="shared" si="142"/>
        <v>382.46224100713982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-2.8421709430404007E-13</v>
      </c>
      <c r="AJ164" s="13">
        <f>AI164*VLOOKUP('Données projet'!$B$10,Paramètres!$A$1:$I$89,3,0)*VLOOKUP('Données projet'!$B$10,Paramètres!$A$1:$I$89,5,0)</f>
        <v>-1.69961822393816E-13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260.51637945828395</v>
      </c>
      <c r="AO164" s="59">
        <f t="shared" si="144"/>
        <v>382.46224100713982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10.362308891638097</v>
      </c>
      <c r="AV164" s="21">
        <f>EXP(-LN(2)/25)*AV163+(1-EXP(-LN(2)/25))/(LN(2)/25)*Calculateur!AQ164*Calculateur!AS164*VLOOKUP('Données projet'!$B$10,Paramètres!$A$1:$I$89,3,0)*0.475*44/12</f>
        <v>1.9216623634134333</v>
      </c>
      <c r="AW164" s="21">
        <f>EXP(-LN(2)/2)*AW163+(1-EXP(-LN(2)/2))/(LN(2)/2)*AQ164*AT164*VLOOKUP('Données projet'!$B$10,Paramètres!$A$1:$I$89,3,0)*0.475*44/12</f>
        <v>1.2869561997426696E-16</v>
      </c>
      <c r="AX164" s="21">
        <f t="shared" si="166"/>
        <v>12.283971255051531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260.51637945828395</v>
      </c>
      <c r="T165" s="59">
        <f t="shared" si="142"/>
        <v>382.46224100713982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-2.8421709430404007E-13</v>
      </c>
      <c r="AJ165" s="13">
        <f>AI165*VLOOKUP('Données projet'!$B$10,Paramètres!$A$1:$I$89,3,0)*VLOOKUP('Données projet'!$B$10,Paramètres!$A$1:$I$89,5,0)</f>
        <v>-1.69961822393816E-13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260.51637945828395</v>
      </c>
      <c r="AO165" s="59">
        <f t="shared" si="144"/>
        <v>382.46224100713982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10.159110334657411</v>
      </c>
      <c r="AV165" s="21">
        <f>EXP(-LN(2)/25)*AV164+(1-EXP(-LN(2)/25))/(LN(2)/25)*Calculateur!AQ165*Calculateur!AS165*VLOOKUP('Données projet'!$B$10,Paramètres!$A$1:$I$89,3,0)*0.475*44/12</f>
        <v>1.8691144050300612</v>
      </c>
      <c r="AW165" s="21">
        <f>EXP(-LN(2)/2)*AW164+(1-EXP(-LN(2)/2))/(LN(2)/2)*AQ165*AT165*VLOOKUP('Données projet'!$B$10,Paramètres!$A$1:$I$89,3,0)*0.475*44/12</f>
        <v>9.1001545592811066E-17</v>
      </c>
      <c r="AX165" s="21">
        <f t="shared" si="166"/>
        <v>12.028224739687472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260.51637945828395</v>
      </c>
      <c r="T166" s="59">
        <f t="shared" si="142"/>
        <v>382.46224100713982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-2.8421709430404007E-13</v>
      </c>
      <c r="AJ166" s="13">
        <f>AI166*VLOOKUP('Données projet'!$B$10,Paramètres!$A$1:$I$89,3,0)*VLOOKUP('Données projet'!$B$10,Paramètres!$A$1:$I$89,5,0)</f>
        <v>-1.69961822393816E-13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260.51637945828395</v>
      </c>
      <c r="AO166" s="59">
        <f t="shared" si="144"/>
        <v>382.46224100713982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9.959896377440236</v>
      </c>
      <c r="AV166" s="21">
        <f>EXP(-LN(2)/25)*AV165+(1-EXP(-LN(2)/25))/(LN(2)/25)*Calculateur!AQ166*Calculateur!AS166*VLOOKUP('Données projet'!$B$10,Paramètres!$A$1:$I$89,3,0)*0.475*44/12</f>
        <v>1.8180033733320595</v>
      </c>
      <c r="AW166" s="21">
        <f>EXP(-LN(2)/2)*AW165+(1-EXP(-LN(2)/2))/(LN(2)/2)*AQ166*AT166*VLOOKUP('Données projet'!$B$10,Paramètres!$A$1:$I$89,3,0)*0.475*44/12</f>
        <v>6.4347809987133482E-17</v>
      </c>
      <c r="AX166" s="21">
        <f t="shared" si="166"/>
        <v>11.777899750772296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260.51637945828395</v>
      </c>
      <c r="T167" s="59">
        <f t="shared" si="142"/>
        <v>382.46224100713982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-2.8421709430404007E-13</v>
      </c>
      <c r="AJ167" s="13">
        <f>AI167*VLOOKUP('Données projet'!$B$10,Paramètres!$A$1:$I$89,3,0)*VLOOKUP('Données projet'!$B$10,Paramètres!$A$1:$I$89,5,0)</f>
        <v>-1.69961822393816E-13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260.51637945828395</v>
      </c>
      <c r="AO167" s="59">
        <f t="shared" si="144"/>
        <v>382.46224100713982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9.7645888844155735</v>
      </c>
      <c r="AV167" s="21">
        <f>EXP(-LN(2)/25)*AV166+(1-EXP(-LN(2)/25))/(LN(2)/25)*Calculateur!AQ167*Calculateur!AS167*VLOOKUP('Données projet'!$B$10,Paramètres!$A$1:$I$89,3,0)*0.475*44/12</f>
        <v>1.7682899754836521</v>
      </c>
      <c r="AW167" s="21">
        <f>EXP(-LN(2)/2)*AW166+(1-EXP(-LN(2)/2))/(LN(2)/2)*AQ167*AT167*VLOOKUP('Données projet'!$B$10,Paramètres!$A$1:$I$89,3,0)*0.475*44/12</f>
        <v>4.5500772796405533E-17</v>
      </c>
      <c r="AX167" s="21">
        <f t="shared" si="166"/>
        <v>11.532878859899226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260.51637945828395</v>
      </c>
      <c r="T168" s="59">
        <f t="shared" si="142"/>
        <v>382.46224100713982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-2.8421709430404007E-13</v>
      </c>
      <c r="AJ168" s="13">
        <f>AI168*VLOOKUP('Données projet'!$B$10,Paramètres!$A$1:$I$89,3,0)*VLOOKUP('Données projet'!$B$10,Paramètres!$A$1:$I$89,5,0)</f>
        <v>-1.69961822393816E-13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260.51637945828395</v>
      </c>
      <c r="AO168" s="59">
        <f t="shared" si="144"/>
        <v>382.46224100713982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9.5731112522033168</v>
      </c>
      <c r="AV168" s="21">
        <f>EXP(-LN(2)/25)*AV167+(1-EXP(-LN(2)/25))/(LN(2)/25)*Calculateur!AQ168*Calculateur!AS168*VLOOKUP('Données projet'!$B$10,Paramètres!$A$1:$I$89,3,0)*0.475*44/12</f>
        <v>1.7199359931137232</v>
      </c>
      <c r="AW168" s="21">
        <f>EXP(-LN(2)/2)*AW167+(1-EXP(-LN(2)/2))/(LN(2)/2)*AQ168*AT168*VLOOKUP('Données projet'!$B$10,Paramètres!$A$1:$I$89,3,0)*0.475*44/12</f>
        <v>3.2173904993566741E-17</v>
      </c>
      <c r="AX168" s="21">
        <f t="shared" si="166"/>
        <v>11.293047245317041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260.51637945828395</v>
      </c>
      <c r="T169" s="59">
        <f t="shared" si="142"/>
        <v>382.46224100713982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-2.8421709430404007E-13</v>
      </c>
      <c r="AJ169" s="13">
        <f>AI169*VLOOKUP('Données projet'!$B$10,Paramètres!$A$1:$I$89,3,0)*VLOOKUP('Données projet'!$B$10,Paramètres!$A$1:$I$89,5,0)</f>
        <v>-1.69961822393816E-13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260.51637945828395</v>
      </c>
      <c r="AO169" s="59">
        <f t="shared" si="144"/>
        <v>382.46224100713982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9.3853883795689175</v>
      </c>
      <c r="AV169" s="21">
        <f>EXP(-LN(2)/25)*AV168+(1-EXP(-LN(2)/25))/(LN(2)/25)*Calculateur!AQ169*Calculateur!AS169*VLOOKUP('Données projet'!$B$10,Paramètres!$A$1:$I$89,3,0)*0.475*44/12</f>
        <v>1.6729042529345255</v>
      </c>
      <c r="AW169" s="21">
        <f>EXP(-LN(2)/2)*AW168+(1-EXP(-LN(2)/2))/(LN(2)/2)*AQ169*AT169*VLOOKUP('Données projet'!$B$10,Paramètres!$A$1:$I$89,3,0)*0.475*44/12</f>
        <v>2.2750386398202766E-17</v>
      </c>
      <c r="AX169" s="21">
        <f t="shared" si="166"/>
        <v>11.058292632503443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260.51637945828395</v>
      </c>
      <c r="T170" s="59">
        <f t="shared" si="142"/>
        <v>382.46224100713982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-2.8421709430404007E-13</v>
      </c>
      <c r="AJ170" s="13">
        <f>AI170*VLOOKUP('Données projet'!$B$10,Paramètres!$A$1:$I$89,3,0)*VLOOKUP('Données projet'!$B$10,Paramètres!$A$1:$I$89,5,0)</f>
        <v>-1.69961822393816E-13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260.51637945828395</v>
      </c>
      <c r="AO170" s="59">
        <f t="shared" si="144"/>
        <v>382.46224100713982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9.2013466379672337</v>
      </c>
      <c r="AV170" s="21">
        <f>EXP(-LN(2)/25)*AV169+(1-EXP(-LN(2)/25))/(LN(2)/25)*Calculateur!AQ170*Calculateur!AS170*VLOOKUP('Données projet'!$B$10,Paramètres!$A$1:$I$89,3,0)*0.475*44/12</f>
        <v>1.6271585981638197</v>
      </c>
      <c r="AW170" s="21">
        <f>EXP(-LN(2)/2)*AW169+(1-EXP(-LN(2)/2))/(LN(2)/2)*AQ170*AT170*VLOOKUP('Données projet'!$B$10,Paramètres!$A$1:$I$89,3,0)*0.475*44/12</f>
        <v>1.608695249678337E-17</v>
      </c>
      <c r="AX170" s="21">
        <f t="shared" si="166"/>
        <v>10.828505236131054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260.51637945828395</v>
      </c>
      <c r="T171" s="59">
        <f t="shared" si="142"/>
        <v>382.46224100713982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-2.8421709430404007E-13</v>
      </c>
      <c r="AJ171" s="13">
        <f>AI171*VLOOKUP('Données projet'!$B$10,Paramètres!$A$1:$I$89,3,0)*VLOOKUP('Données projet'!$B$10,Paramètres!$A$1:$I$89,5,0)</f>
        <v>-1.69961822393816E-13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260.51637945828395</v>
      </c>
      <c r="AO171" s="59">
        <f t="shared" si="144"/>
        <v>382.46224100713982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9.0209138426639797</v>
      </c>
      <c r="AV171" s="21">
        <f>EXP(-LN(2)/25)*AV170+(1-EXP(-LN(2)/25))/(LN(2)/25)*Calculateur!AQ171*Calculateur!AS171*VLOOKUP('Données projet'!$B$10,Paramètres!$A$1:$I$89,3,0)*0.475*44/12</f>
        <v>1.5826638607284782</v>
      </c>
      <c r="AW171" s="21">
        <f>EXP(-LN(2)/2)*AW170+(1-EXP(-LN(2)/2))/(LN(2)/2)*AQ171*AT171*VLOOKUP('Données projet'!$B$10,Paramètres!$A$1:$I$89,3,0)*0.475*44/12</f>
        <v>1.1375193199101383E-17</v>
      </c>
      <c r="AX171" s="21">
        <f t="shared" si="166"/>
        <v>10.603577703392459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260.51637945828395</v>
      </c>
      <c r="T172" s="59">
        <f t="shared" si="142"/>
        <v>382.46224100713982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-2.8421709430404007E-13</v>
      </c>
      <c r="AJ172" s="13">
        <f>AI172*VLOOKUP('Données projet'!$B$10,Paramètres!$A$1:$I$89,3,0)*VLOOKUP('Données projet'!$B$10,Paramètres!$A$1:$I$89,5,0)</f>
        <v>-1.69961822393816E-13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260.51637945828395</v>
      </c>
      <c r="AO172" s="59">
        <f t="shared" si="144"/>
        <v>382.46224100713982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8.8440192244234836</v>
      </c>
      <c r="AV172" s="21">
        <f>EXP(-LN(2)/25)*AV171+(1-EXP(-LN(2)/25))/(LN(2)/25)*Calculateur!AQ172*Calculateur!AS172*VLOOKUP('Données projet'!$B$10,Paramètres!$A$1:$I$89,3,0)*0.475*44/12</f>
        <v>1.5393858342281828</v>
      </c>
      <c r="AW172" s="21">
        <f>EXP(-LN(2)/2)*AW171+(1-EXP(-LN(2)/2))/(LN(2)/2)*AQ172*AT172*VLOOKUP('Données projet'!$B$10,Paramètres!$A$1:$I$89,3,0)*0.475*44/12</f>
        <v>8.0434762483916852E-18</v>
      </c>
      <c r="AX172" s="21">
        <f t="shared" si="166"/>
        <v>10.383405058651666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260.51637945828395</v>
      </c>
      <c r="T173" s="59">
        <f t="shared" si="142"/>
        <v>382.46224100713982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-2.8421709430404007E-13</v>
      </c>
      <c r="AJ173" s="13">
        <f>AI173*VLOOKUP('Données projet'!$B$10,Paramètres!$A$1:$I$89,3,0)*VLOOKUP('Données projet'!$B$10,Paramètres!$A$1:$I$89,5,0)</f>
        <v>-1.69961822393816E-13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260.51637945828395</v>
      </c>
      <c r="AO173" s="59">
        <f t="shared" si="144"/>
        <v>382.46224100713982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8.6705934017516206</v>
      </c>
      <c r="AV173" s="21">
        <f>EXP(-LN(2)/25)*AV172+(1-EXP(-LN(2)/25))/(LN(2)/25)*Calculateur!AQ173*Calculateur!AS173*VLOOKUP('Données projet'!$B$10,Paramètres!$A$1:$I$89,3,0)*0.475*44/12</f>
        <v>1.4972912476384304</v>
      </c>
      <c r="AW173" s="21">
        <f>EXP(-LN(2)/2)*AW172+(1-EXP(-LN(2)/2))/(LN(2)/2)*AQ173*AT173*VLOOKUP('Données projet'!$B$10,Paramètres!$A$1:$I$89,3,0)*0.475*44/12</f>
        <v>5.6875965995506916E-18</v>
      </c>
      <c r="AX173" s="21">
        <f t="shared" si="166"/>
        <v>10.16788464939005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260.51637945828395</v>
      </c>
      <c r="T174" s="59">
        <f t="shared" si="142"/>
        <v>382.46224100713982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-2.8421709430404007E-13</v>
      </c>
      <c r="AJ174" s="13">
        <f>AI174*VLOOKUP('Données projet'!$B$10,Paramètres!$A$1:$I$89,3,0)*VLOOKUP('Données projet'!$B$10,Paramètres!$A$1:$I$89,5,0)</f>
        <v>-1.69961822393816E-13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260.51637945828395</v>
      </c>
      <c r="AO174" s="59">
        <f t="shared" si="144"/>
        <v>382.46224100713982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8.5005683536830468</v>
      </c>
      <c r="AV174" s="21">
        <f>EXP(-LN(2)/25)*AV173+(1-EXP(-LN(2)/25))/(LN(2)/25)*Calculateur!AQ174*Calculateur!AS174*VLOOKUP('Données projet'!$B$10,Paramètres!$A$1:$I$89,3,0)*0.475*44/12</f>
        <v>1.4563477397326328</v>
      </c>
      <c r="AW174" s="21">
        <f>EXP(-LN(2)/2)*AW173+(1-EXP(-LN(2)/2))/(LN(2)/2)*AQ174*AT174*VLOOKUP('Données projet'!$B$10,Paramètres!$A$1:$I$89,3,0)*0.475*44/12</f>
        <v>4.0217381241958426E-18</v>
      </c>
      <c r="AX174" s="21">
        <f t="shared" si="166"/>
        <v>9.9569160934156802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260.51637945828395</v>
      </c>
      <c r="T175" s="59">
        <f t="shared" si="142"/>
        <v>382.46224100713982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-2.8421709430404007E-13</v>
      </c>
      <c r="AJ175" s="13">
        <f>AI175*VLOOKUP('Données projet'!$B$10,Paramètres!$A$1:$I$89,3,0)*VLOOKUP('Données projet'!$B$10,Paramètres!$A$1:$I$89,5,0)</f>
        <v>-1.69961822393816E-13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260.51637945828395</v>
      </c>
      <c r="AO175" s="59">
        <f t="shared" si="144"/>
        <v>382.46224100713982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8.3338773931020587</v>
      </c>
      <c r="AV175" s="21">
        <f>EXP(-LN(2)/25)*AV174+(1-EXP(-LN(2)/25))/(LN(2)/25)*Calculateur!AQ175*Calculateur!AS175*VLOOKUP('Données projet'!$B$10,Paramètres!$A$1:$I$89,3,0)*0.475*44/12</f>
        <v>1.4165238342036448</v>
      </c>
      <c r="AW175" s="21">
        <f>EXP(-LN(2)/2)*AW174+(1-EXP(-LN(2)/2))/(LN(2)/2)*AQ175*AT175*VLOOKUP('Données projet'!$B$10,Paramètres!$A$1:$I$89,3,0)*0.475*44/12</f>
        <v>2.8437982997753458E-18</v>
      </c>
      <c r="AX175" s="21">
        <f t="shared" si="166"/>
        <v>9.7504012273057032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260.51637945828395</v>
      </c>
      <c r="T176" s="59">
        <f t="shared" si="142"/>
        <v>382.46224100713982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-2.8421709430404007E-13</v>
      </c>
      <c r="AJ176" s="13">
        <f>AI176*VLOOKUP('Données projet'!$B$10,Paramètres!$A$1:$I$89,3,0)*VLOOKUP('Données projet'!$B$10,Paramètres!$A$1:$I$89,5,0)</f>
        <v>-1.69961822393816E-13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260.51637945828395</v>
      </c>
      <c r="AO176" s="59">
        <f t="shared" si="144"/>
        <v>382.46224100713982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8.1704551405866166</v>
      </c>
      <c r="AV176" s="21">
        <f>EXP(-LN(2)/25)*AV175+(1-EXP(-LN(2)/25))/(LN(2)/25)*Calculateur!AQ176*Calculateur!AS176*VLOOKUP('Données projet'!$B$10,Paramètres!$A$1:$I$89,3,0)*0.475*44/12</f>
        <v>1.3777889154655951</v>
      </c>
      <c r="AW176" s="21">
        <f>EXP(-LN(2)/2)*AW175+(1-EXP(-LN(2)/2))/(LN(2)/2)*AQ176*AT176*VLOOKUP('Données projet'!$B$10,Paramètres!$A$1:$I$89,3,0)*0.475*44/12</f>
        <v>2.0108690620979213E-18</v>
      </c>
      <c r="AX176" s="21">
        <f t="shared" si="166"/>
        <v>9.5482440560522122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260.51637945828395</v>
      </c>
      <c r="T177" s="59">
        <f t="shared" si="142"/>
        <v>382.46224100713982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-2.8421709430404007E-13</v>
      </c>
      <c r="AJ177" s="13">
        <f>AI177*VLOOKUP('Données projet'!$B$10,Paramètres!$A$1:$I$89,3,0)*VLOOKUP('Données projet'!$B$10,Paramètres!$A$1:$I$89,5,0)</f>
        <v>-1.69961822393816E-13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260.51637945828395</v>
      </c>
      <c r="AO177" s="59">
        <f t="shared" si="144"/>
        <v>382.46224100713982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8.0102374987652709</v>
      </c>
      <c r="AV177" s="21">
        <f>EXP(-LN(2)/25)*AV176+(1-EXP(-LN(2)/25))/(LN(2)/25)*Calculateur!AQ177*Calculateur!AS177*VLOOKUP('Données projet'!$B$10,Paramètres!$A$1:$I$89,3,0)*0.475*44/12</f>
        <v>1.3401132051174183</v>
      </c>
      <c r="AW177" s="21">
        <f>EXP(-LN(2)/2)*AW176+(1-EXP(-LN(2)/2))/(LN(2)/2)*AQ177*AT177*VLOOKUP('Données projet'!$B$10,Paramètres!$A$1:$I$89,3,0)*0.475*44/12</f>
        <v>1.4218991498876729E-18</v>
      </c>
      <c r="AX177" s="21">
        <f t="shared" si="166"/>
        <v>9.3503507038826896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260.51637945828395</v>
      </c>
      <c r="T178" s="59">
        <f t="shared" si="142"/>
        <v>382.46224100713982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-2.8421709430404007E-13</v>
      </c>
      <c r="AJ178" s="13">
        <f>AI178*VLOOKUP('Données projet'!$B$10,Paramètres!$A$1:$I$89,3,0)*VLOOKUP('Données projet'!$B$10,Paramètres!$A$1:$I$89,5,0)</f>
        <v>-1.69961822393816E-13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260.51637945828395</v>
      </c>
      <c r="AO178" s="59">
        <f t="shared" si="144"/>
        <v>382.46224100713982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7.8531616271769291</v>
      </c>
      <c r="AV178" s="21">
        <f>EXP(-LN(2)/25)*AV177+(1-EXP(-LN(2)/25))/(LN(2)/25)*Calculateur!AQ178*Calculateur!AS178*VLOOKUP('Données projet'!$B$10,Paramètres!$A$1:$I$89,3,0)*0.475*44/12</f>
        <v>1.3034677390499918</v>
      </c>
      <c r="AW178" s="21">
        <f>EXP(-LN(2)/2)*AW177+(1-EXP(-LN(2)/2))/(LN(2)/2)*AQ178*AT178*VLOOKUP('Données projet'!$B$10,Paramètres!$A$1:$I$89,3,0)*0.475*44/12</f>
        <v>1.0054345310489607E-18</v>
      </c>
      <c r="AX178" s="21">
        <f t="shared" si="166"/>
        <v>9.1566293662269214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260.51637945828395</v>
      </c>
      <c r="T179" s="59">
        <f t="shared" si="142"/>
        <v>382.46224100713982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-2.8421709430404007E-13</v>
      </c>
      <c r="AJ179" s="13">
        <f>AI179*VLOOKUP('Données projet'!$B$10,Paramètres!$A$1:$I$89,3,0)*VLOOKUP('Données projet'!$B$10,Paramètres!$A$1:$I$89,5,0)</f>
        <v>-1.69961822393816E-13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260.51637945828395</v>
      </c>
      <c r="AO179" s="59">
        <f t="shared" si="144"/>
        <v>382.46224100713982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7.6991659176236134</v>
      </c>
      <c r="AV179" s="21">
        <f>EXP(-LN(2)/25)*AV178+(1-EXP(-LN(2)/25))/(LN(2)/25)*Calculateur!AQ179*Calculateur!AS179*VLOOKUP('Données projet'!$B$10,Paramètres!$A$1:$I$89,3,0)*0.475*44/12</f>
        <v>1.2678243451792806</v>
      </c>
      <c r="AW179" s="21">
        <f>EXP(-LN(2)/2)*AW178+(1-EXP(-LN(2)/2))/(LN(2)/2)*AQ179*AT179*VLOOKUP('Données projet'!$B$10,Paramètres!$A$1:$I$89,3,0)*0.475*44/12</f>
        <v>7.1094957494383645E-19</v>
      </c>
      <c r="AX179" s="21">
        <f t="shared" si="166"/>
        <v>8.9669902628028932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260.51637945828395</v>
      </c>
      <c r="T180" s="59">
        <f t="shared" si="142"/>
        <v>382.46224100713982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-2.8421709430404007E-13</v>
      </c>
      <c r="AJ180" s="13">
        <f>AI180*VLOOKUP('Données projet'!$B$10,Paramètres!$A$1:$I$89,3,0)*VLOOKUP('Données projet'!$B$10,Paramètres!$A$1:$I$89,5,0)</f>
        <v>-1.69961822393816E-13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260.51637945828395</v>
      </c>
      <c r="AO180" s="59">
        <f t="shared" si="144"/>
        <v>382.46224100713982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7.54818997000653</v>
      </c>
      <c r="AV180" s="21">
        <f>EXP(-LN(2)/25)*AV179+(1-EXP(-LN(2)/25))/(LN(2)/25)*Calculateur!AQ180*Calculateur!AS180*VLOOKUP('Données projet'!$B$10,Paramètres!$A$1:$I$89,3,0)*0.475*44/12</f>
        <v>1.2331556217883686</v>
      </c>
      <c r="AW180" s="21">
        <f>EXP(-LN(2)/2)*AW179+(1-EXP(-LN(2)/2))/(LN(2)/2)*AQ180*AT180*VLOOKUP('Données projet'!$B$10,Paramètres!$A$1:$I$89,3,0)*0.475*44/12</f>
        <v>5.0271726552448033E-19</v>
      </c>
      <c r="AX180" s="21">
        <f t="shared" si="166"/>
        <v>8.7813455917948993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260.51637945828395</v>
      </c>
      <c r="T181" s="59">
        <f t="shared" si="142"/>
        <v>382.46224100713982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-2.8421709430404007E-13</v>
      </c>
      <c r="AJ181" s="13">
        <f>AI181*VLOOKUP('Données projet'!$B$10,Paramètres!$A$1:$I$89,3,0)*VLOOKUP('Données projet'!$B$10,Paramètres!$A$1:$I$89,5,0)</f>
        <v>-1.69961822393816E-13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260.51637945828395</v>
      </c>
      <c r="AO181" s="59">
        <f t="shared" si="144"/>
        <v>382.46224100713982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7.4001745686359826</v>
      </c>
      <c r="AV181" s="21">
        <f>EXP(-LN(2)/25)*AV180+(1-EXP(-LN(2)/25))/(LN(2)/25)*Calculateur!AQ181*Calculateur!AS181*VLOOKUP('Données projet'!$B$10,Paramètres!$A$1:$I$89,3,0)*0.475*44/12</f>
        <v>1.1994349164617299</v>
      </c>
      <c r="AW181" s="21">
        <f>EXP(-LN(2)/2)*AW180+(1-EXP(-LN(2)/2))/(LN(2)/2)*AQ181*AT181*VLOOKUP('Données projet'!$B$10,Paramètres!$A$1:$I$89,3,0)*0.475*44/12</f>
        <v>3.5547478747191822E-19</v>
      </c>
      <c r="AX181" s="21">
        <f t="shared" si="166"/>
        <v>8.5996094850977123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260.51637945828395</v>
      </c>
      <c r="T182" s="59">
        <f t="shared" si="142"/>
        <v>382.46224100713982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-2.8421709430404007E-13</v>
      </c>
      <c r="AJ182" s="13">
        <f>AI182*VLOOKUP('Données projet'!$B$10,Paramètres!$A$1:$I$89,3,0)*VLOOKUP('Données projet'!$B$10,Paramètres!$A$1:$I$89,5,0)</f>
        <v>-1.69961822393816E-13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260.51637945828395</v>
      </c>
      <c r="AO182" s="59">
        <f t="shared" si="144"/>
        <v>382.46224100713982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7.2550616590058308</v>
      </c>
      <c r="AV182" s="21">
        <f>EXP(-LN(2)/25)*AV181+(1-EXP(-LN(2)/25))/(LN(2)/25)*Calculateur!AQ182*Calculateur!AS182*VLOOKUP('Données projet'!$B$10,Paramètres!$A$1:$I$89,3,0)*0.475*44/12</f>
        <v>1.1666363055955431</v>
      </c>
      <c r="AW182" s="21">
        <f>EXP(-LN(2)/2)*AW181+(1-EXP(-LN(2)/2))/(LN(2)/2)*AQ182*AT182*VLOOKUP('Données projet'!$B$10,Paramètres!$A$1:$I$89,3,0)*0.475*44/12</f>
        <v>2.5135863276224016E-19</v>
      </c>
      <c r="AX182" s="21">
        <f t="shared" si="166"/>
        <v>8.4216979646013748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260.51637945828395</v>
      </c>
      <c r="T183" s="59">
        <f t="shared" si="142"/>
        <v>382.46224100713982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-2.8421709430404007E-13</v>
      </c>
      <c r="AJ183" s="13">
        <f>AI183*VLOOKUP('Données projet'!$B$10,Paramètres!$A$1:$I$89,3,0)*VLOOKUP('Données projet'!$B$10,Paramètres!$A$1:$I$89,5,0)</f>
        <v>-1.69961822393816E-13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260.51637945828395</v>
      </c>
      <c r="AO183" s="59">
        <f t="shared" si="144"/>
        <v>382.46224100713982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7.1127943250233914</v>
      </c>
      <c r="AV183" s="21">
        <f>EXP(-LN(2)/25)*AV182+(1-EXP(-LN(2)/25))/(LN(2)/25)*Calculateur!AQ183*Calculateur!AS183*VLOOKUP('Données projet'!$B$10,Paramètres!$A$1:$I$89,3,0)*0.475*44/12</f>
        <v>1.134734574468296</v>
      </c>
      <c r="AW183" s="21">
        <f>EXP(-LN(2)/2)*AW182+(1-EXP(-LN(2)/2))/(LN(2)/2)*AQ183*AT183*VLOOKUP('Données projet'!$B$10,Paramètres!$A$1:$I$89,3,0)*0.475*44/12</f>
        <v>1.7773739373595911E-19</v>
      </c>
      <c r="AX183" s="21">
        <f t="shared" si="166"/>
        <v>8.2475288994916873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260.51637945828395</v>
      </c>
      <c r="T184" s="59">
        <f t="shared" si="142"/>
        <v>382.46224100713982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-2.8421709430404007E-13</v>
      </c>
      <c r="AJ184" s="13">
        <f>AI184*VLOOKUP('Données projet'!$B$10,Paramètres!$A$1:$I$89,3,0)*VLOOKUP('Données projet'!$B$10,Paramètres!$A$1:$I$89,5,0)</f>
        <v>-1.69961822393816E-13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260.51637945828395</v>
      </c>
      <c r="AO184" s="59">
        <f t="shared" si="144"/>
        <v>382.46224100713982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6.9733167666858416</v>
      </c>
      <c r="AV184" s="21">
        <f>EXP(-LN(2)/25)*AV183+(1-EXP(-LN(2)/25))/(LN(2)/25)*Calculateur!AQ184*Calculateur!AS184*VLOOKUP('Données projet'!$B$10,Paramètres!$A$1:$I$89,3,0)*0.475*44/12</f>
        <v>1.1037051978563626</v>
      </c>
      <c r="AW184" s="21">
        <f>EXP(-LN(2)/2)*AW183+(1-EXP(-LN(2)/2))/(LN(2)/2)*AQ184*AT184*VLOOKUP('Données projet'!$B$10,Paramètres!$A$1:$I$89,3,0)*0.475*44/12</f>
        <v>1.2567931638112008E-19</v>
      </c>
      <c r="AX184" s="21">
        <f t="shared" si="166"/>
        <v>8.0770219645422046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260.51637945828395</v>
      </c>
      <c r="T185" s="59">
        <f t="shared" si="142"/>
        <v>382.46224100713982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-2.8421709430404007E-13</v>
      </c>
      <c r="AJ185" s="13">
        <f>AI185*VLOOKUP('Données projet'!$B$10,Paramètres!$A$1:$I$89,3,0)*VLOOKUP('Données projet'!$B$10,Paramètres!$A$1:$I$89,5,0)</f>
        <v>-1.69961822393816E-13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260.51637945828395</v>
      </c>
      <c r="AO185" s="59">
        <f t="shared" si="144"/>
        <v>382.46224100713982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6.836574278194381</v>
      </c>
      <c r="AV185" s="21">
        <f>EXP(-LN(2)/25)*AV184+(1-EXP(-LN(2)/25))/(LN(2)/25)*Calculateur!AQ185*Calculateur!AS185*VLOOKUP('Données projet'!$B$10,Paramètres!$A$1:$I$89,3,0)*0.475*44/12</f>
        <v>1.0735243211796466</v>
      </c>
      <c r="AW185" s="21">
        <f>EXP(-LN(2)/2)*AW184+(1-EXP(-LN(2)/2))/(LN(2)/2)*AQ185*AT185*VLOOKUP('Données projet'!$B$10,Paramètres!$A$1:$I$89,3,0)*0.475*44/12</f>
        <v>8.8868696867979556E-20</v>
      </c>
      <c r="AX185" s="21">
        <f t="shared" si="166"/>
        <v>7.9100985993740274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260.51637945828395</v>
      </c>
      <c r="T186" s="59">
        <f t="shared" si="142"/>
        <v>382.46224100713982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-2.8421709430404007E-13</v>
      </c>
      <c r="AJ186" s="13">
        <f>AI186*VLOOKUP('Données projet'!$B$10,Paramètres!$A$1:$I$89,3,0)*VLOOKUP('Données projet'!$B$10,Paramètres!$A$1:$I$89,5,0)</f>
        <v>-1.69961822393816E-13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260.51637945828395</v>
      </c>
      <c r="AO186" s="59">
        <f t="shared" si="144"/>
        <v>382.46224100713982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6.7025132264975555</v>
      </c>
      <c r="AV186" s="21">
        <f>EXP(-LN(2)/25)*AV185+(1-EXP(-LN(2)/25))/(LN(2)/25)*Calculateur!AQ186*Calculateur!AS186*VLOOKUP('Données projet'!$B$10,Paramètres!$A$1:$I$89,3,0)*0.475*44/12</f>
        <v>1.0441687421627988</v>
      </c>
      <c r="AW186" s="21">
        <f>EXP(-LN(2)/2)*AW185+(1-EXP(-LN(2)/2))/(LN(2)/2)*AQ186*AT186*VLOOKUP('Données projet'!$B$10,Paramètres!$A$1:$I$89,3,0)*0.475*44/12</f>
        <v>6.2839658190560041E-20</v>
      </c>
      <c r="AX186" s="21">
        <f t="shared" si="166"/>
        <v>7.7466819686603543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260.51637945828395</v>
      </c>
      <c r="T187" s="59">
        <f t="shared" si="142"/>
        <v>382.46224100713982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-2.8421709430404007E-13</v>
      </c>
      <c r="AJ187" s="13">
        <f>AI187*VLOOKUP('Données projet'!$B$10,Paramètres!$A$1:$I$89,3,0)*VLOOKUP('Données projet'!$B$10,Paramètres!$A$1:$I$89,5,0)</f>
        <v>-1.69961822393816E-13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260.51637945828395</v>
      </c>
      <c r="AO187" s="59">
        <f t="shared" si="144"/>
        <v>382.46224100713982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6.5710810302553373</v>
      </c>
      <c r="AV187" s="21">
        <f>EXP(-LN(2)/25)*AV186+(1-EXP(-LN(2)/25))/(LN(2)/25)*Calculateur!AQ187*Calculateur!AS187*VLOOKUP('Données projet'!$B$10,Paramètres!$A$1:$I$89,3,0)*0.475*44/12</f>
        <v>1.0156158929979093</v>
      </c>
      <c r="AW187" s="21">
        <f>EXP(-LN(2)/2)*AW186+(1-EXP(-LN(2)/2))/(LN(2)/2)*AQ187*AT187*VLOOKUP('Données projet'!$B$10,Paramètres!$A$1:$I$89,3,0)*0.475*44/12</f>
        <v>4.4434348433989778E-20</v>
      </c>
      <c r="AX187" s="21">
        <f t="shared" si="166"/>
        <v>7.5866969232532462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260.51637945828395</v>
      </c>
      <c r="T188" s="59">
        <f t="shared" si="142"/>
        <v>382.46224100713982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-2.8421709430404007E-13</v>
      </c>
      <c r="AJ188" s="13">
        <f>AI188*VLOOKUP('Données projet'!$B$10,Paramètres!$A$1:$I$89,3,0)*VLOOKUP('Données projet'!$B$10,Paramètres!$A$1:$I$89,5,0)</f>
        <v>-1.69961822393816E-13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260.51637945828395</v>
      </c>
      <c r="AO188" s="59">
        <f t="shared" si="144"/>
        <v>382.46224100713982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6.4422261392157054</v>
      </c>
      <c r="AV188" s="21">
        <f>EXP(-LN(2)/25)*AV187+(1-EXP(-LN(2)/25))/(LN(2)/25)*Calculateur!AQ188*Calculateur!AS188*VLOOKUP('Données projet'!$B$10,Paramètres!$A$1:$I$89,3,0)*0.475*44/12</f>
        <v>0.98784382299496287</v>
      </c>
      <c r="AW188" s="21">
        <f>EXP(-LN(2)/2)*AW187+(1-EXP(-LN(2)/2))/(LN(2)/2)*AQ188*AT188*VLOOKUP('Données projet'!$B$10,Paramètres!$A$1:$I$89,3,0)*0.475*44/12</f>
        <v>3.141982909528002E-20</v>
      </c>
      <c r="AX188" s="21">
        <f t="shared" si="166"/>
        <v>7.4300699622106681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260.51637945828395</v>
      </c>
      <c r="T189" s="59">
        <f t="shared" si="142"/>
        <v>382.46224100713982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-2.8421709430404007E-13</v>
      </c>
      <c r="AJ189" s="13">
        <f>AI189*VLOOKUP('Données projet'!$B$10,Paramètres!$A$1:$I$89,3,0)*VLOOKUP('Données projet'!$B$10,Paramètres!$A$1:$I$89,5,0)</f>
        <v>-1.69961822393816E-13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260.51637945828395</v>
      </c>
      <c r="AO189" s="59">
        <f t="shared" si="144"/>
        <v>382.46224100713982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6.3158980139956373</v>
      </c>
      <c r="AV189" s="21">
        <f>EXP(-LN(2)/25)*AV188+(1-EXP(-LN(2)/25))/(LN(2)/25)*Calculateur!AQ189*Calculateur!AS189*VLOOKUP('Données projet'!$B$10,Paramètres!$A$1:$I$89,3,0)*0.475*44/12</f>
        <v>0.96083118170671666</v>
      </c>
      <c r="AW189" s="21">
        <f>EXP(-LN(2)/2)*AW188+(1-EXP(-LN(2)/2))/(LN(2)/2)*AQ189*AT189*VLOOKUP('Données projet'!$B$10,Paramètres!$A$1:$I$89,3,0)*0.475*44/12</f>
        <v>2.2217174216994889E-20</v>
      </c>
      <c r="AX189" s="21">
        <f t="shared" si="166"/>
        <v>7.2767291957023543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260.51637945828395</v>
      </c>
      <c r="T190" s="59">
        <f t="shared" si="142"/>
        <v>382.46224100713982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-2.8421709430404007E-13</v>
      </c>
      <c r="AJ190" s="13">
        <f>AI190*VLOOKUP('Données projet'!$B$10,Paramètres!$A$1:$I$89,3,0)*VLOOKUP('Données projet'!$B$10,Paramètres!$A$1:$I$89,5,0)</f>
        <v>-1.69961822393816E-13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260.51637945828395</v>
      </c>
      <c r="AO190" s="59">
        <f t="shared" si="144"/>
        <v>382.46224100713982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6.1920471062585865</v>
      </c>
      <c r="AV190" s="21">
        <f>EXP(-LN(2)/25)*AV189+(1-EXP(-LN(2)/25))/(LN(2)/25)*Calculateur!AQ190*Calculateur!AS190*VLOOKUP('Données projet'!$B$10,Paramètres!$A$1:$I$89,3,0)*0.475*44/12</f>
        <v>0.93455720251503061</v>
      </c>
      <c r="AW190" s="21">
        <f>EXP(-LN(2)/2)*AW189+(1-EXP(-LN(2)/2))/(LN(2)/2)*AQ190*AT190*VLOOKUP('Données projet'!$B$10,Paramètres!$A$1:$I$89,3,0)*0.475*44/12</f>
        <v>1.570991454764001E-20</v>
      </c>
      <c r="AX190" s="21">
        <f t="shared" si="166"/>
        <v>7.1266043087736168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260.51637945828395</v>
      </c>
      <c r="T191" s="59">
        <f t="shared" si="142"/>
        <v>382.46224100713982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-2.8421709430404007E-13</v>
      </c>
      <c r="AJ191" s="13">
        <f>AI191*VLOOKUP('Données projet'!$B$10,Paramètres!$A$1:$I$89,3,0)*VLOOKUP('Données projet'!$B$10,Paramètres!$A$1:$I$89,5,0)</f>
        <v>-1.69961822393816E-13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260.51637945828395</v>
      </c>
      <c r="AO191" s="59">
        <f t="shared" si="144"/>
        <v>382.46224100713982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6.070624839280665</v>
      </c>
      <c r="AV191" s="21">
        <f>EXP(-LN(2)/25)*AV190+(1-EXP(-LN(2)/25))/(LN(2)/25)*Calculateur!AQ191*Calculateur!AS191*VLOOKUP('Données projet'!$B$10,Paramètres!$A$1:$I$89,3,0)*0.475*44/12</f>
        <v>0.90900168666602976</v>
      </c>
      <c r="AW191" s="21">
        <f>EXP(-LN(2)/2)*AW190+(1-EXP(-LN(2)/2))/(LN(2)/2)*AQ191*AT191*VLOOKUP('Données projet'!$B$10,Paramètres!$A$1:$I$89,3,0)*0.475*44/12</f>
        <v>1.1108587108497445E-20</v>
      </c>
      <c r="AX191" s="21">
        <f t="shared" si="166"/>
        <v>6.9796265259466947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260.51637945828395</v>
      </c>
      <c r="T192" s="59">
        <f t="shared" si="142"/>
        <v>382.46224100713982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-2.8421709430404007E-13</v>
      </c>
      <c r="AJ192" s="13">
        <f>AI192*VLOOKUP('Données projet'!$B$10,Paramètres!$A$1:$I$89,3,0)*VLOOKUP('Données projet'!$B$10,Paramètres!$A$1:$I$89,5,0)</f>
        <v>-1.69961822393816E-13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260.51637945828395</v>
      </c>
      <c r="AO192" s="59">
        <f t="shared" si="144"/>
        <v>382.46224100713982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5.9515835888979103</v>
      </c>
      <c r="AV192" s="21">
        <f>EXP(-LN(2)/25)*AV191+(1-EXP(-LN(2)/25))/(LN(2)/25)*Calculateur!AQ192*Calculateur!AS192*VLOOKUP('Données projet'!$B$10,Paramètres!$A$1:$I$89,3,0)*0.475*44/12</f>
        <v>0.88414498774182604</v>
      </c>
      <c r="AW192" s="21">
        <f>EXP(-LN(2)/2)*AW191+(1-EXP(-LN(2)/2))/(LN(2)/2)*AQ192*AT192*VLOOKUP('Données projet'!$B$10,Paramètres!$A$1:$I$89,3,0)*0.475*44/12</f>
        <v>7.8549572738200051E-21</v>
      </c>
      <c r="AX192" s="21">
        <f t="shared" si="166"/>
        <v>6.8357285766397364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260.51637945828395</v>
      </c>
      <c r="T193" s="59">
        <f t="shared" si="142"/>
        <v>382.46224100713982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-2.8421709430404007E-13</v>
      </c>
      <c r="AJ193" s="13">
        <f>AI193*VLOOKUP('Données projet'!$B$10,Paramètres!$A$1:$I$89,3,0)*VLOOKUP('Données projet'!$B$10,Paramètres!$A$1:$I$89,5,0)</f>
        <v>-1.69961822393816E-13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260.51637945828395</v>
      </c>
      <c r="AO193" s="59">
        <f t="shared" si="144"/>
        <v>382.46224100713982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5.8348766648271679</v>
      </c>
      <c r="AV193" s="21">
        <f>EXP(-LN(2)/25)*AV192+(1-EXP(-LN(2)/25))/(LN(2)/25)*Calculateur!AQ193*Calculateur!AS193*VLOOKUP('Données projet'!$B$10,Paramètres!$A$1:$I$89,3,0)*0.475*44/12</f>
        <v>0.85996799655686162</v>
      </c>
      <c r="AW193" s="21">
        <f>EXP(-LN(2)/2)*AW192+(1-EXP(-LN(2)/2))/(LN(2)/2)*AQ193*AT193*VLOOKUP('Données projet'!$B$10,Paramètres!$A$1:$I$89,3,0)*0.475*44/12</f>
        <v>5.5542935542487223E-21</v>
      </c>
      <c r="AX193" s="21">
        <f t="shared" si="166"/>
        <v>6.69484466138403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260.51637945828395</v>
      </c>
      <c r="T194" s="59">
        <f t="shared" si="142"/>
        <v>382.46224100713982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-2.8421709430404007E-13</v>
      </c>
      <c r="AJ194" s="13">
        <f>AI194*VLOOKUP('Données projet'!$B$10,Paramètres!$A$1:$I$89,3,0)*VLOOKUP('Données projet'!$B$10,Paramètres!$A$1:$I$89,5,0)</f>
        <v>-1.69961822393816E-13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260.51637945828395</v>
      </c>
      <c r="AO194" s="59">
        <f t="shared" si="144"/>
        <v>382.46224100713982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5.7204582923532579</v>
      </c>
      <c r="AV194" s="21">
        <f>EXP(-LN(2)/25)*AV193+(1-EXP(-LN(2)/25))/(LN(2)/25)*Calculateur!AQ194*Calculateur!AS194*VLOOKUP('Données projet'!$B$10,Paramètres!$A$1:$I$89,3,0)*0.475*44/12</f>
        <v>0.83645212646726275</v>
      </c>
      <c r="AW194" s="21">
        <f>EXP(-LN(2)/2)*AW193+(1-EXP(-LN(2)/2))/(LN(2)/2)*AQ194*AT194*VLOOKUP('Données projet'!$B$10,Paramètres!$A$1:$I$89,3,0)*0.475*44/12</f>
        <v>3.9274786369100025E-21</v>
      </c>
      <c r="AX194" s="21">
        <f t="shared" si="166"/>
        <v>6.5569104188205207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260.51637945828395</v>
      </c>
      <c r="T195" s="59">
        <f t="shared" si="142"/>
        <v>382.46224100713982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-2.8421709430404007E-13</v>
      </c>
      <c r="AJ195" s="13">
        <f>AI195*VLOOKUP('Données projet'!$B$10,Paramètres!$A$1:$I$89,3,0)*VLOOKUP('Données projet'!$B$10,Paramètres!$A$1:$I$89,5,0)</f>
        <v>-1.69961822393816E-13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260.51637945828395</v>
      </c>
      <c r="AO195" s="59">
        <f t="shared" si="144"/>
        <v>382.46224100713982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5.6082835943752452</v>
      </c>
      <c r="AV195" s="21">
        <f>EXP(-LN(2)/25)*AV194+(1-EXP(-LN(2)/25))/(LN(2)/25)*Calculateur!AQ195*Calculateur!AS195*VLOOKUP('Données projet'!$B$10,Paramètres!$A$1:$I$89,3,0)*0.475*44/12</f>
        <v>0.81357929908190985</v>
      </c>
      <c r="AW195" s="21">
        <f>EXP(-LN(2)/2)*AW194+(1-EXP(-LN(2)/2))/(LN(2)/2)*AQ195*AT195*VLOOKUP('Données projet'!$B$10,Paramètres!$A$1:$I$89,3,0)*0.475*44/12</f>
        <v>2.7771467771243611E-21</v>
      </c>
      <c r="AX195" s="21">
        <f t="shared" si="166"/>
        <v>6.4218628934571553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260.51637945828395</v>
      </c>
      <c r="T196" s="59">
        <f t="shared" si="142"/>
        <v>382.46224100713982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-2.8421709430404007E-13</v>
      </c>
      <c r="AJ196" s="13">
        <f>AI196*VLOOKUP('Données projet'!$B$10,Paramètres!$A$1:$I$89,3,0)*VLOOKUP('Données projet'!$B$10,Paramètres!$A$1:$I$89,5,0)</f>
        <v>-1.69961822393816E-13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260.51637945828395</v>
      </c>
      <c r="AO196" s="59">
        <f t="shared" si="144"/>
        <v>382.46224100713982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5.4983085738047714</v>
      </c>
      <c r="AV196" s="21">
        <f>EXP(-LN(2)/25)*AV195+(1-EXP(-LN(2)/25))/(LN(2)/25)*Calculateur!AQ196*Calculateur!AS196*VLOOKUP('Données projet'!$B$10,Paramètres!$A$1:$I$89,3,0)*0.475*44/12</f>
        <v>0.7913319303642391</v>
      </c>
      <c r="AW196" s="21">
        <f>EXP(-LN(2)/2)*AW195+(1-EXP(-LN(2)/2))/(LN(2)/2)*AQ196*AT196*VLOOKUP('Données projet'!$B$10,Paramètres!$A$1:$I$89,3,0)*0.475*44/12</f>
        <v>1.9637393184550013E-21</v>
      </c>
      <c r="AX196" s="21">
        <f t="shared" si="166"/>
        <v>6.2896405041690109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260.51637945828395</v>
      </c>
      <c r="T197" s="59">
        <f t="shared" ref="T197:T203" si="204">$T$3</f>
        <v>382.46224100713982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-2.8421709430404007E-13</v>
      </c>
      <c r="AJ197" s="13">
        <f>AI197*VLOOKUP('Données projet'!$B$10,Paramètres!$A$1:$I$89,3,0)*VLOOKUP('Données projet'!$B$10,Paramètres!$A$1:$I$89,5,0)</f>
        <v>-1.69961822393816E-13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260.51637945828395</v>
      </c>
      <c r="AO197" s="59">
        <f t="shared" ref="AO197:AO203" si="205">$AO$3</f>
        <v>382.46224100713982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5.3904900963095459</v>
      </c>
      <c r="AV197" s="21">
        <f>EXP(-LN(2)/25)*AV196+(1-EXP(-LN(2)/25))/(LN(2)/25)*Calculateur!AQ197*Calculateur!AS197*VLOOKUP('Données projet'!$B$10,Paramètres!$A$1:$I$89,3,0)*0.475*44/12</f>
        <v>0.76969291711409138</v>
      </c>
      <c r="AW197" s="21">
        <f>EXP(-LN(2)/2)*AW196+(1-EXP(-LN(2)/2))/(LN(2)/2)*AQ197*AT197*VLOOKUP('Données projet'!$B$10,Paramètres!$A$1:$I$89,3,0)*0.475*44/12</f>
        <v>1.3885733885621806E-21</v>
      </c>
      <c r="AX197" s="21">
        <f t="shared" si="166"/>
        <v>6.1601830134236373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260.51637945828395</v>
      </c>
      <c r="T198" s="59">
        <f t="shared" si="204"/>
        <v>382.46224100713982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-2.8421709430404007E-13</v>
      </c>
      <c r="AJ198" s="13">
        <f>AI198*VLOOKUP('Données projet'!$B$10,Paramètres!$A$1:$I$89,3,0)*VLOOKUP('Données projet'!$B$10,Paramètres!$A$1:$I$89,5,0)</f>
        <v>-1.69961822393816E-13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260.51637945828395</v>
      </c>
      <c r="AO198" s="59">
        <f t="shared" si="205"/>
        <v>382.46224100713982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5.284785873395224</v>
      </c>
      <c r="AV198" s="21">
        <f>EXP(-LN(2)/25)*AV197+(1-EXP(-LN(2)/25))/(LN(2)/25)*Calculateur!AQ198*Calculateur!AS198*VLOOKUP('Données projet'!$B$10,Paramètres!$A$1:$I$89,3,0)*0.475*44/12</f>
        <v>0.74864562381921518</v>
      </c>
      <c r="AW198" s="21">
        <f>EXP(-LN(2)/2)*AW197+(1-EXP(-LN(2)/2))/(LN(2)/2)*AQ198*AT198*VLOOKUP('Données projet'!$B$10,Paramètres!$A$1:$I$89,3,0)*0.475*44/12</f>
        <v>9.8186965922750064E-22</v>
      </c>
      <c r="AX198" s="21">
        <f t="shared" si="166"/>
        <v>6.0334314972144387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260.51637945828395</v>
      </c>
      <c r="T199" s="59">
        <f t="shared" si="204"/>
        <v>382.46224100713982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-2.8421709430404007E-13</v>
      </c>
      <c r="AJ199" s="13">
        <f>AI199*VLOOKUP('Données projet'!$B$10,Paramètres!$A$1:$I$89,3,0)*VLOOKUP('Données projet'!$B$10,Paramètres!$A$1:$I$89,5,0)</f>
        <v>-1.69961822393816E-13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260.51637945828395</v>
      </c>
      <c r="AO199" s="59">
        <f t="shared" si="205"/>
        <v>382.46224100713982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5.1811544458190424</v>
      </c>
      <c r="AV199" s="21">
        <f>EXP(-LN(2)/25)*AV198+(1-EXP(-LN(2)/25))/(LN(2)/25)*Calculateur!AQ199*Calculateur!AS199*VLOOKUP('Données projet'!$B$10,Paramètres!$A$1:$I$89,3,0)*0.475*44/12</f>
        <v>0.72817386986631638</v>
      </c>
      <c r="AW199" s="21">
        <f>EXP(-LN(2)/2)*AW198+(1-EXP(-LN(2)/2))/(LN(2)/2)*AQ199*AT199*VLOOKUP('Données projet'!$B$10,Paramètres!$A$1:$I$89,3,0)*0.475*44/12</f>
        <v>6.9428669428109028E-22</v>
      </c>
      <c r="AX199" s="21">
        <f t="shared" si="166"/>
        <v>5.9093283156853591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260.51637945828395</v>
      </c>
      <c r="T200" s="59">
        <f t="shared" si="204"/>
        <v>382.46224100713982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-2.8421709430404007E-13</v>
      </c>
      <c r="AJ200" s="13">
        <f>AI200*VLOOKUP('Données projet'!$B$10,Paramètres!$A$1:$I$89,3,0)*VLOOKUP('Données projet'!$B$10,Paramètres!$A$1:$I$89,5,0)</f>
        <v>-1.69961822393816E-13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260.51637945828395</v>
      </c>
      <c r="AO200" s="59">
        <f t="shared" si="205"/>
        <v>382.46224100713982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5.0795551673287003</v>
      </c>
      <c r="AV200" s="21">
        <f>EXP(-LN(2)/25)*AV199+(1-EXP(-LN(2)/25))/(LN(2)/25)*Calculateur!AQ200*Calculateur!AS200*VLOOKUP('Données projet'!$B$10,Paramètres!$A$1:$I$89,3,0)*0.475*44/12</f>
        <v>0.7082619171018224</v>
      </c>
      <c r="AW200" s="21">
        <f>EXP(-LN(2)/2)*AW199+(1-EXP(-LN(2)/2))/(LN(2)/2)*AQ200*AT200*VLOOKUP('Données projet'!$B$10,Paramètres!$A$1:$I$89,3,0)*0.475*44/12</f>
        <v>4.9093482961375032E-22</v>
      </c>
      <c r="AX200" s="21">
        <f t="shared" si="166"/>
        <v>5.7878170844305226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260.51637945828395</v>
      </c>
      <c r="T201" s="59">
        <f t="shared" si="204"/>
        <v>382.46224100713982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-2.8421709430404007E-13</v>
      </c>
      <c r="AJ201" s="13">
        <f>AI201*VLOOKUP('Données projet'!$B$10,Paramètres!$A$1:$I$89,3,0)*VLOOKUP('Données projet'!$B$10,Paramètres!$A$1:$I$89,5,0)</f>
        <v>-1.69961822393816E-13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260.51637945828395</v>
      </c>
      <c r="AO201" s="59">
        <f t="shared" si="205"/>
        <v>382.46224100713982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4.9799481887201127</v>
      </c>
      <c r="AV201" s="21">
        <f>EXP(-LN(2)/25)*AV200+(1-EXP(-LN(2)/25))/(LN(2)/25)*Calculateur!AQ201*Calculateur!AS201*VLOOKUP('Données projet'!$B$10,Paramètres!$A$1:$I$89,3,0)*0.475*44/12</f>
        <v>0.68889445773279756</v>
      </c>
      <c r="AW201" s="21">
        <f>EXP(-LN(2)/2)*AW200+(1-EXP(-LN(2)/2))/(LN(2)/2)*AQ201*AT201*VLOOKUP('Données projet'!$B$10,Paramètres!$A$1:$I$89,3,0)*0.475*44/12</f>
        <v>3.4714334714054514E-22</v>
      </c>
      <c r="AX201" s="21">
        <f t="shared" si="166"/>
        <v>5.6688426464529105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260.51637945828395</v>
      </c>
      <c r="T202" s="59">
        <f t="shared" si="204"/>
        <v>382.46224100713982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-2.8421709430404007E-13</v>
      </c>
      <c r="AJ202" s="13">
        <f>AI202*VLOOKUP('Données projet'!$B$10,Paramètres!$A$1:$I$89,3,0)*VLOOKUP('Données projet'!$B$10,Paramètres!$A$1:$I$89,5,0)</f>
        <v>-1.69961822393816E-13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260.51637945828395</v>
      </c>
      <c r="AO202" s="59">
        <f t="shared" si="205"/>
        <v>382.46224100713982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4.8822944422077814</v>
      </c>
      <c r="AV202" s="21">
        <f>EXP(-LN(2)/25)*AV201+(1-EXP(-LN(2)/25))/(LN(2)/25)*Calculateur!AQ202*Calculateur!AS202*VLOOKUP('Données projet'!$B$10,Paramètres!$A$1:$I$89,3,0)*0.475*44/12</f>
        <v>0.67005660255870914</v>
      </c>
      <c r="AW202" s="21">
        <f>EXP(-LN(2)/2)*AW201+(1-EXP(-LN(2)/2))/(LN(2)/2)*AQ202*AT202*VLOOKUP('Données projet'!$B$10,Paramètres!$A$1:$I$89,3,0)*0.475*44/12</f>
        <v>2.4546741480687516E-22</v>
      </c>
      <c r="AX202" s="21">
        <f t="shared" si="166"/>
        <v>5.5523510447664908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260.51637945828395</v>
      </c>
      <c r="T203" s="59">
        <f t="shared" si="204"/>
        <v>382.46224100713982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-2.8421709430404007E-13</v>
      </c>
      <c r="AJ203" s="13">
        <f>AI203*VLOOKUP('Données projet'!$B$10,Paramètres!$A$1:$I$89,3,0)*VLOOKUP('Données projet'!$B$10,Paramètres!$A$1:$I$89,5,0)</f>
        <v>-1.69961822393816E-13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260.51637945828395</v>
      </c>
      <c r="AO203" s="59">
        <f t="shared" si="205"/>
        <v>382.46224100713982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4.7865556261016531</v>
      </c>
      <c r="AV203" s="21">
        <f>EXP(-LN(2)/25)*AV202+(1-EXP(-LN(2)/25))/(LN(2)/25)*Calculateur!AQ203*Calculateur!AS203*VLOOKUP('Données projet'!$B$10,Paramètres!$A$1:$I$89,3,0)*0.475*44/12</f>
        <v>0.6517338695249959</v>
      </c>
      <c r="AW203" s="21">
        <f>EXP(-LN(2)/2)*AW202+(1-EXP(-LN(2)/2))/(LN(2)/2)*AQ203*AT203*VLOOKUP('Données projet'!$B$10,Paramètres!$A$1:$I$89,3,0)*0.475*44/12</f>
        <v>1.7357167357027257E-22</v>
      </c>
      <c r="AX203" s="21">
        <f t="shared" si="166"/>
        <v>5.4382894956266492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1.401971325755863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8.6563999999999997</v>
      </c>
      <c r="C6" s="147">
        <f ca="1">IF(OR('Données projet'!B9="",'Données projet'!C9="",'Données projet'!C9=0%),0,Calculateur!S3)</f>
        <v>260.51637945828395</v>
      </c>
      <c r="D6" s="147">
        <f>IF(OR('Données projet'!B9="",'Données projet'!C9="",'Données projet'!C9=0%),0,Calculateur!T3)</f>
        <v>382.46224100713982</v>
      </c>
      <c r="E6" s="147">
        <f ca="1">MIN(C6,D6)</f>
        <v>260.51637945828395</v>
      </c>
      <c r="F6" s="147">
        <f ca="1">E6*B6</f>
        <v>2255.133987142689</v>
      </c>
      <c r="G6" s="147">
        <f ca="1">F6*(100%-'Données projet'!$C$24)*(100%-'Données projet'!$C$25)*(100%-'Données projet'!$C$26)*(100%-'Données projet'!$C$27)</f>
        <v>1725.1775001641572</v>
      </c>
      <c r="H6" s="148">
        <f>IF(OR('Données projet'!B9="",'Données projet'!C9="",'Données projet'!C9=0%),0,AVERAGE(Calculateur!$AC$3:$AC$33)*B6)</f>
        <v>114.25741386885576</v>
      </c>
      <c r="I6" s="149">
        <f>H6*(100%-'Données projet'!$C$24)*(100%-'Données projet'!$C$25)*(100%-'Données projet'!$C$26)*(100%-'Données projet'!$C$27)</f>
        <v>87.406921609674654</v>
      </c>
      <c r="J6" s="150">
        <f>IF(OR('Données projet'!B9="",'Données projet'!C9="",'Données projet'!C9=0%),0,SUM(Calculateur!$V$3:$V$33)*VLOOKUP('Données projet'!$B$9,Paramètres!$A$1:$I$89,9,0)*B6)</f>
        <v>734.3084285846154</v>
      </c>
      <c r="K6" s="151">
        <f>J6*(100%-'Données projet'!$C$24)*(100%-'Données projet'!$C$25)*(100%-'Données projet'!$C$26)*(100%-'Données projet'!$C$27)</f>
        <v>561.74594786723071</v>
      </c>
      <c r="L6" s="152">
        <f ca="1">G6+I6+K6</f>
        <v>2374.3303696410626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taeda</v>
      </c>
      <c r="B7" s="154">
        <f>'Données projet'!D10</f>
        <v>4.2636000000000003</v>
      </c>
      <c r="C7" s="147">
        <f ca="1">IF(OR('Données projet'!B10="",'Données projet'!C10="",'Données projet'!C10=0%),0,Calculateur!AN3)</f>
        <v>260.51637945828395</v>
      </c>
      <c r="D7" s="147">
        <f>IF(OR('Données projet'!B10="",'Données projet'!C10="",'Données projet'!C10=0%),0,Calculateur!AO3)</f>
        <v>382.46224100713982</v>
      </c>
      <c r="E7" s="147">
        <f t="shared" ref="E7:E15" ca="1" si="0">MIN(C7,D7)</f>
        <v>260.51637945828395</v>
      </c>
      <c r="F7" s="147">
        <f t="shared" ref="F7:F15" ca="1" si="1">E7*B7</f>
        <v>1110.7376354583396</v>
      </c>
      <c r="G7" s="147">
        <f ca="1">F7*(100%-'Données projet'!$C$24)*(100%-'Données projet'!$C$25)*(100%-'Données projet'!$C$26)*(100%-'Données projet'!$C$27)</f>
        <v>849.71429112562976</v>
      </c>
      <c r="H7" s="155">
        <f>IF(OR('Données projet'!B10="",'Données projet'!C10="",'Données projet'!C10=0%),0,AVERAGE(Calculateur!$AX$3:$AX$33)*B7)</f>
        <v>56.27603966674986</v>
      </c>
      <c r="I7" s="149">
        <f>H7*(100%-'Données projet'!$C$24)*(100%-'Données projet'!$C$25)*(100%-'Données projet'!$C$26)*(100%-'Données projet'!$C$27)</f>
        <v>43.051170345063646</v>
      </c>
      <c r="J7" s="150">
        <f>IF(OR('Données projet'!B10="",'Données projet'!C10="",'Données projet'!C10=0%),0,SUM(Calculateur!$AQ$3:$AQ$33)*VLOOKUP('Données projet'!$B$10,Paramètres!$A$1:$I$89,9,0)*B7)</f>
        <v>263.59313436923077</v>
      </c>
      <c r="K7" s="151">
        <f>J7*(100%-'Données projet'!$C$24)*(100%-'Données projet'!$C$25)*(100%-'Données projet'!$C$26)*(100%-'Données projet'!$C$27)</f>
        <v>201.64874779246153</v>
      </c>
      <c r="L7" s="152">
        <f t="shared" ref="L7:L15" ca="1" si="2">G7+I7+K7</f>
        <v>1094.4142092631548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3365.8716226010283</v>
      </c>
      <c r="G16" s="166">
        <f t="shared" ca="1" si="3"/>
        <v>2574.8917912897869</v>
      </c>
      <c r="H16" s="167">
        <f t="shared" si="3"/>
        <v>170.53345353560562</v>
      </c>
      <c r="I16" s="167">
        <f t="shared" si="3"/>
        <v>130.45809195473831</v>
      </c>
      <c r="J16" s="168">
        <f t="shared" si="3"/>
        <v>997.90156295384622</v>
      </c>
      <c r="K16" s="168">
        <f t="shared" si="3"/>
        <v>763.39469565969227</v>
      </c>
      <c r="L16" s="169">
        <f t="shared" ca="1" si="3"/>
        <v>3468.7445789042176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2" zoomScale="80" zoomScaleNormal="80" workbookViewId="0">
      <selection activeCell="E54" sqref="E54:E5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2543.6725978082495</v>
      </c>
      <c r="U10" s="178">
        <f>'Données projet'!D9</f>
        <v>8.6563999999999997</v>
      </c>
      <c r="V10" s="177">
        <f>U10*T10</f>
        <v>22019.047475667332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2295.124025817634</v>
      </c>
      <c r="U11" s="178">
        <f>'Données projet'!D10</f>
        <v>4.2636000000000003</v>
      </c>
      <c r="V11" s="177">
        <f t="shared" ref="V11" si="0">U11*T11</f>
        <v>9785.4907964760641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>
        <v>2572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250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-1425.7017278566018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15</v>
      </c>
      <c r="D24" s="182">
        <f t="shared" ref="D24:D42" si="2">B24*C24</f>
        <v>823.61538461538453</v>
      </c>
      <c r="E24" s="193">
        <v>250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18</v>
      </c>
      <c r="D25" s="182">
        <f t="shared" si="2"/>
        <v>952.19999999999993</v>
      </c>
      <c r="E25" s="193">
        <v>250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-1425.7017278566018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250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30</v>
      </c>
      <c r="D27" s="182">
        <f t="shared" si="2"/>
        <v>12374.76923076923</v>
      </c>
      <c r="E27" s="193">
        <v>250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14</v>
      </c>
      <c r="B54" s="181">
        <f>'Données projet'!D62</f>
        <v>35.969230769230769</v>
      </c>
      <c r="C54" s="191">
        <v>10</v>
      </c>
      <c r="D54" s="179">
        <f>B54*C54</f>
        <v>359.69230769230768</v>
      </c>
      <c r="E54" s="193">
        <v>250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19</v>
      </c>
      <c r="B55" s="181">
        <f>'Données projet'!D63</f>
        <v>54.907692307692301</v>
      </c>
      <c r="C55" s="191">
        <v>15</v>
      </c>
      <c r="D55" s="179">
        <f t="shared" ref="D55:D73" si="4">B55*C55</f>
        <v>823.61538461538453</v>
      </c>
      <c r="E55" s="193">
        <v>250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25</v>
      </c>
      <c r="B56" s="181">
        <f>'Données projet'!D64</f>
        <v>52.9</v>
      </c>
      <c r="C56" s="191">
        <v>18</v>
      </c>
      <c r="D56" s="179">
        <f t="shared" si="4"/>
        <v>952.19999999999993</v>
      </c>
      <c r="E56" s="193">
        <v>250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32</v>
      </c>
      <c r="B57" s="181">
        <f>'Données projet'!D65</f>
        <v>63.899999999999991</v>
      </c>
      <c r="C57" s="191">
        <v>25</v>
      </c>
      <c r="D57" s="179">
        <f t="shared" si="4"/>
        <v>1597.4999999999998</v>
      </c>
      <c r="E57" s="193">
        <v>250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45</v>
      </c>
      <c r="B58" s="181">
        <f>'Données projet'!D66</f>
        <v>412.49230769230769</v>
      </c>
      <c r="C58" s="191">
        <v>30</v>
      </c>
      <c r="D58" s="179">
        <f t="shared" si="4"/>
        <v>12374.76923076923</v>
      </c>
      <c r="E58" s="193">
        <v>250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0038A0-5FC8-4EA9-A36E-CBDA9585DA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BBA225-4307-4DD5-83F5-CEC9352984A8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C3889DBE-07C3-452A-8246-697C85734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2024-10-09T14:51:33Z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