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ouGabrigs\Desktop\"/>
    </mc:Choice>
  </mc:AlternateContent>
  <xr:revisionPtr revIDLastSave="0" documentId="8_{8C37ED4B-79F1-40E9-AD80-395492AA22D1}" xr6:coauthVersionLast="47" xr6:coauthVersionMax="47" xr10:uidLastSave="{00000000-0000-0000-0000-000000000000}"/>
  <bookViews>
    <workbookView xWindow="-110" yWindow="-110" windowWidth="19420" windowHeight="1150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GL4" i="2"/>
  <c r="EA4" i="2"/>
  <c r="FQ4" i="2"/>
  <c r="FR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V7" i="2" s="1"/>
  <c r="ET7" i="2"/>
  <c r="FO7" i="2"/>
  <c r="FN7" i="2"/>
  <c r="DY7" i="2"/>
  <c r="EB7" i="2" s="1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W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HH10" i="2" s="1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HG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HH12" i="2" s="1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I12" i="2" l="1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EC13" i="2" s="1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I13" i="2" l="1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G14" i="2" s="1"/>
  <c r="HE14" i="2"/>
  <c r="HH14" i="2" s="1"/>
  <c r="GI14" i="2"/>
  <c r="ET14" i="2"/>
  <c r="FO14" i="2"/>
  <c r="FN14" i="2"/>
  <c r="GJ14" i="2"/>
  <c r="DY14" i="2"/>
  <c r="EB14" i="2" s="1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X14" i="2" l="1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V15" i="2" s="1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G18" i="2" s="1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FS18" i="2"/>
  <c r="EW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EV20" i="2"/>
  <c r="HG20" i="2"/>
  <c r="EW20" i="2"/>
  <c r="FS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H21" i="2" l="1"/>
  <c r="EV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W22" i="2" l="1"/>
  <c r="EA22" i="2"/>
  <c r="HG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HG24" i="2" s="1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EW24" i="2" l="1"/>
  <c r="HH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FS28" i="2" s="1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C28" i="2" l="1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EV30" i="2" s="1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B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W33" i="2"/>
  <c r="EB33" i="2"/>
  <c r="EV33" i="2"/>
  <c r="HG33" i="2"/>
  <c r="HH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HH35" i="2" l="1"/>
  <c r="FQ35" i="2"/>
  <c r="CM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B37" i="2" s="1"/>
  <c r="ET37" i="2"/>
  <c r="ES37" i="2"/>
  <c r="DD37" i="2"/>
  <c r="CH37" i="2"/>
  <c r="AS37" i="2"/>
  <c r="DX37" i="2"/>
  <c r="EA37" i="2" s="1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G37" i="2" l="1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W38" i="2" l="1"/>
  <c r="HH38" i="2"/>
  <c r="HG38" i="2"/>
  <c r="HI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HG40" i="2" s="1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EX40" i="2" l="1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EV42" i="2" s="1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HG42" i="2" l="1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A43" i="2" l="1"/>
  <c r="HG43" i="2"/>
  <c r="HI43" i="2"/>
  <c r="D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EW44" i="2" s="1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FS44" i="2" l="1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EA47" i="2" s="1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EC48" i="2" l="1"/>
  <c r="HG48" i="2"/>
  <c r="HH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FS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EV52" i="2" s="1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HG56" i="2" s="1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HG57" i="2" s="1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EV57" i="2"/>
  <c r="FS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EW60" i="2" s="1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H60" i="2" l="1"/>
  <c r="HG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EV61" i="2" s="1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A61" i="2" l="1"/>
  <c r="EX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B62" i="2" s="1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X63" i="2"/>
  <c r="EC63" i="2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EV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W70" i="2" l="1"/>
  <c r="EB70" i="2"/>
  <c r="HG70" i="2"/>
  <c r="HI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FO71" i="2"/>
  <c r="FN71" i="2"/>
  <c r="DY71" i="2"/>
  <c r="DD71" i="2"/>
  <c r="DC71" i="2"/>
  <c r="BN71" i="2"/>
  <c r="DX71" i="2"/>
  <c r="EA71" i="2" s="1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B72" i="2"/>
  <c r="EX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EW73" i="2" s="1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X73" i="2" l="1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G74" i="2" s="1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S74" i="2" s="1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EB75" i="2" s="1"/>
  <c r="FN75" i="2"/>
  <c r="DC75" i="2"/>
  <c r="BN75" i="2"/>
  <c r="CI75" i="2"/>
  <c r="BM75" i="2"/>
  <c r="DX75" i="2"/>
  <c r="EA75" i="2" s="1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H75" i="2" l="1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W77" i="2" s="1"/>
  <c r="ES77" i="2"/>
  <c r="DD77" i="2"/>
  <c r="CH77" i="2"/>
  <c r="AS77" i="2"/>
  <c r="CI77" i="2"/>
  <c r="BM77" i="2"/>
  <c r="DY77" i="2"/>
  <c r="EB77" i="2" s="1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FS77" i="2" l="1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EV78" i="2" s="1"/>
  <c r="DX78" i="2"/>
  <c r="BN78" i="2"/>
  <c r="DD78" i="2"/>
  <c r="CH78" i="2"/>
  <c r="AS78" i="2"/>
  <c r="W78" i="2"/>
  <c r="DY78" i="2"/>
  <c r="EB78" i="2" s="1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W78" i="2" l="1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G80" i="2" s="1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EC80" i="2" l="1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FS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HG85" i="2" s="1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H85" i="2" l="1"/>
  <c r="EV85" i="2"/>
  <c r="EW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EB86" i="2" s="1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EB87" i="2" s="1"/>
  <c r="DD87" i="2"/>
  <c r="DC87" i="2"/>
  <c r="BN87" i="2"/>
  <c r="CI87" i="2"/>
  <c r="CH87" i="2"/>
  <c r="AS87" i="2"/>
  <c r="W87" i="2"/>
  <c r="DX87" i="2"/>
  <c r="EA87" i="2" s="1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HG87" i="2" l="1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EW92" i="2" s="1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G94" i="2" s="1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EX94" i="2" l="1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HG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W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EV100" i="2" s="1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HH105" i="2" s="1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FS105" i="2" l="1"/>
  <c r="EV105" i="2"/>
  <c r="EA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EA107" i="2" s="1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C107" i="2" l="1"/>
  <c r="EX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EB108" i="2" s="1"/>
  <c r="DC108" i="2"/>
  <c r="ET108" i="2"/>
  <c r="EW108" i="2" s="1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G110" i="2" s="1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EB110" i="2" s="1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I110" i="2" l="1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HI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EW113" i="2" s="1"/>
  <c r="CH113" i="2"/>
  <c r="AS113" i="2"/>
  <c r="DY113" i="2"/>
  <c r="EB113" i="2" s="1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FS113" i="2" l="1"/>
  <c r="HG113" i="2"/>
  <c r="EX113" i="2"/>
  <c r="HI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EW114" i="2" s="1"/>
  <c r="FN114" i="2"/>
  <c r="DD114" i="2"/>
  <c r="BN114" i="2"/>
  <c r="FO114" i="2"/>
  <c r="CH114" i="2"/>
  <c r="AS114" i="2"/>
  <c r="ES114" i="2"/>
  <c r="EV114" i="2" s="1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C114" i="2" l="1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HG116" i="2" s="1"/>
  <c r="FO116" i="2"/>
  <c r="HE116" i="2"/>
  <c r="GJ116" i="2"/>
  <c r="ES116" i="2"/>
  <c r="EV116" i="2" s="1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G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S118" i="2" s="1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G119" i="2" s="1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H120" i="2" l="1"/>
  <c r="FR120" i="2"/>
  <c r="EX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EB121" i="2" s="1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FS122" i="2" l="1"/>
  <c r="EW122" i="2"/>
  <c r="HI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G124" i="2" l="1"/>
  <c r="HH124" i="2"/>
  <c r="EX124" i="2"/>
  <c r="FS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FS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DX128" i="2"/>
  <c r="FN128" i="2"/>
  <c r="ET128" i="2"/>
  <c r="DY128" i="2"/>
  <c r="EB128" i="2" s="1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FS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HH130" i="2" s="1"/>
  <c r="GI130" i="2"/>
  <c r="GJ130" i="2"/>
  <c r="ET130" i="2"/>
  <c r="EW130" i="2" s="1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B130" i="2" l="1"/>
  <c r="EX130" i="2"/>
  <c r="HG130" i="2"/>
  <c r="HI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W133" i="2" s="1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W134" i="2" l="1"/>
  <c r="HG134" i="2"/>
  <c r="HI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H137" i="2" s="1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HH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FR140" i="2" l="1"/>
  <c r="HH140" i="2"/>
  <c r="EC140" i="2"/>
  <c r="HG140" i="2"/>
  <c r="EX140" i="2"/>
  <c r="EB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EB141" i="2" s="1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EA144" i="2" s="1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G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B145" i="2" l="1"/>
  <c r="EA145" i="2"/>
  <c r="EX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FR146" i="2" s="1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I146" i="2" l="1"/>
  <c r="FS146" i="2"/>
  <c r="HH146" i="2"/>
  <c r="HG146" i="2"/>
  <c r="EA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EW147" i="2" s="1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HG149" i="2" s="1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EV150" i="2" s="1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FS150" i="2" l="1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V151" i="2" s="1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HI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EA153" i="2" s="1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HH154" i="2"/>
  <c r="HG154" i="2"/>
  <c r="HJ154" i="2" s="1"/>
  <c r="EX154" i="2"/>
  <c r="AA154" i="2"/>
  <c r="EV154" i="2"/>
  <c r="EY154" i="2" s="1"/>
  <c r="EC154" i="2"/>
  <c r="EA154" i="2"/>
  <c r="ED154" i="2" s="1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AC154" i="2" s="1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D194" i="2"/>
  <c r="G194" i="2" s="1"/>
  <c r="DI153" i="2"/>
  <c r="FT153" i="2"/>
  <c r="CN153" i="2"/>
  <c r="HJ153" i="2"/>
  <c r="GO153" i="2"/>
  <c r="EY153" i="2"/>
  <c r="ED153" i="2"/>
  <c r="AC153" i="2"/>
  <c r="AX151" i="2"/>
  <c r="HH155" i="2" l="1"/>
  <c r="EA155" i="2"/>
  <c r="EW155" i="2"/>
  <c r="HG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HG156" i="2" l="1"/>
  <c r="HH156" i="2"/>
  <c r="AB156" i="2"/>
  <c r="FS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X157" i="2" l="1"/>
  <c r="EA157" i="2"/>
  <c r="EB157" i="2"/>
  <c r="HH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V158" i="2" l="1"/>
  <c r="HH158" i="2"/>
  <c r="HG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HH159" i="2" s="1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D158" i="2" l="1"/>
  <c r="EA159" i="2"/>
  <c r="HI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DG160" i="2" l="1"/>
  <c r="HG160" i="2"/>
  <c r="HI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EB161" i="2"/>
  <c r="HG161" i="2"/>
  <c r="EX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C162" i="2" l="1"/>
  <c r="EB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I163" i="2" l="1"/>
  <c r="EV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A164" i="2" l="1"/>
  <c r="HH164" i="2"/>
  <c r="EV164" i="2"/>
  <c r="HG164" i="2"/>
  <c r="FS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HH165" i="2"/>
  <c r="EA165" i="2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EB167" i="2" s="1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C167" i="2" l="1"/>
  <c r="HI167" i="2"/>
  <c r="FR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HI168" i="2" l="1"/>
  <c r="HH168" i="2"/>
  <c r="EW168" i="2"/>
  <c r="EV168" i="2"/>
  <c r="EY168" i="2" s="1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X169" i="2" l="1"/>
  <c r="FS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W172" i="2" l="1"/>
  <c r="HI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X173" i="2" l="1"/>
  <c r="HH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C174" i="2" l="1"/>
  <c r="HH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FS175" i="2"/>
  <c r="EB175" i="2"/>
  <c r="EA175" i="2"/>
  <c r="HI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W177" i="2" l="1"/>
  <c r="EC177" i="2"/>
  <c r="FQ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B178" i="2" s="1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A178" i="2" l="1"/>
  <c r="FQ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I179" i="2" l="1"/>
  <c r="EV179" i="2"/>
  <c r="EY179" i="2" s="1"/>
  <c r="DF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D179" i="2"/>
  <c r="EX180" i="2" l="1"/>
  <c r="HG180" i="2"/>
  <c r="HI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HG181" i="2" l="1"/>
  <c r="EW181" i="2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C182" i="2" l="1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B183" i="2" l="1"/>
  <c r="EA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HI185" i="2" l="1"/>
  <c r="EV185" i="2"/>
  <c r="EB185" i="2"/>
  <c r="EW185" i="2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B186" i="2" l="1"/>
  <c r="FS186" i="2"/>
  <c r="EW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H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V189" i="2" l="1"/>
  <c r="AA189" i="2"/>
  <c r="HH189" i="2"/>
  <c r="EC189" i="2"/>
  <c r="FS189" i="2"/>
  <c r="HI189" i="2"/>
  <c r="EX189" i="2"/>
  <c r="EA189" i="2"/>
  <c r="GN189" i="2"/>
  <c r="HG189" i="2"/>
  <c r="HJ189" i="2" s="1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EB190" i="2" s="1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W190" i="2" l="1"/>
  <c r="HH190" i="2"/>
  <c r="EV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EC191" i="2" l="1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EA192" i="2" s="1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I192" i="2"/>
  <c r="EC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A193" i="2" s="1"/>
  <c r="EU193" i="2"/>
  <c r="DY193" i="2"/>
  <c r="EB193" i="2" s="1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HI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EB195" i="2" l="1"/>
  <c r="HI195" i="2"/>
  <c r="AA195" i="2"/>
  <c r="EA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EW196" i="2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EC197" i="2" l="1"/>
  <c r="AA197" i="2"/>
  <c r="HH197" i="2"/>
  <c r="HG197" i="2"/>
  <c r="EW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B199" i="2" l="1"/>
  <c r="FS199" i="2"/>
  <c r="EW199" i="2"/>
  <c r="EA199" i="2"/>
  <c r="HH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HH201" i="2" l="1"/>
  <c r="HG201" i="2"/>
  <c r="FS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HI202" i="2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BP203" i="2" s="1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50" i="2" a="1"/>
  <c r="FY50" i="2" s="1"/>
  <c r="FY54" i="2" a="1"/>
  <c r="FY54" i="2" s="1"/>
  <c r="FY18" i="2" a="1"/>
  <c r="FY18" i="2" s="1"/>
  <c r="FY71" i="2" a="1"/>
  <c r="FY71" i="2" s="1"/>
  <c r="FY186" i="2" a="1"/>
  <c r="FY186" i="2" s="1"/>
  <c r="FY152" i="2" a="1"/>
  <c r="FY152" i="2" s="1"/>
  <c r="FY55" i="2" a="1"/>
  <c r="FY55" i="2" s="1"/>
  <c r="FY178" i="2" a="1"/>
  <c r="FY178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2" i="2" a="1"/>
  <c r="DN152" i="2" s="1"/>
  <c r="DN66" i="2" a="1"/>
  <c r="DN66" i="2" s="1"/>
  <c r="EI195" i="2" a="1"/>
  <c r="EI195" i="2" s="1"/>
  <c r="AH151" i="2" a="1"/>
  <c r="AH151" i="2" s="1"/>
  <c r="CS77" i="2" a="1"/>
  <c r="CS77" i="2" s="1"/>
  <c r="AH90" i="2" a="1"/>
  <c r="AH90" i="2" s="1"/>
  <c r="AH19" i="2" a="1"/>
  <c r="AH19" i="2" s="1"/>
  <c r="CS38" i="2" a="1"/>
  <c r="CS38" i="2" s="1"/>
  <c r="FY182" i="2" a="1"/>
  <c r="FY182" i="2" s="1"/>
  <c r="FY82" i="2" a="1"/>
  <c r="FY82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DN31" i="2" a="1"/>
  <c r="DN31" i="2" s="1"/>
  <c r="DN6" i="2" a="1"/>
  <c r="DN6" i="2" s="1"/>
  <c r="DO6" i="2" s="1"/>
  <c r="CS24" i="2" a="1"/>
  <c r="CS24" i="2" s="1"/>
  <c r="FD82" i="2" a="1"/>
  <c r="FD82" i="2" s="1"/>
  <c r="HJ202" i="2"/>
  <c r="EY202" i="2"/>
  <c r="AX200" i="2"/>
  <c r="DN29" i="2" l="1" a="1"/>
  <c r="DN29" i="2" s="1"/>
  <c r="DN30" i="2" a="1"/>
  <c r="DN30" i="2" s="1"/>
  <c r="DN41" i="2" a="1"/>
  <c r="DN41" i="2" s="1"/>
  <c r="FY173" i="2" a="1"/>
  <c r="FY173" i="2" s="1"/>
  <c r="DN114" i="2" a="1"/>
  <c r="DN114" i="2" s="1"/>
  <c r="FY188" i="2" a="1"/>
  <c r="FY188" i="2" s="1"/>
  <c r="FY79" i="2" a="1"/>
  <c r="FY79" i="2" s="1"/>
  <c r="DN49" i="2" a="1"/>
  <c r="DN49" i="2" s="1"/>
  <c r="FY29" i="2" a="1"/>
  <c r="FY29" i="2" s="1"/>
  <c r="DN176" i="2" a="1"/>
  <c r="DN176" i="2" s="1"/>
  <c r="FY24" i="2" a="1"/>
  <c r="FY24" i="2" s="1"/>
  <c r="FY35" i="2" a="1"/>
  <c r="FY35" i="2" s="1"/>
  <c r="DN135" i="2" a="1"/>
  <c r="DN135" i="2" s="1"/>
  <c r="FY167" i="2" a="1"/>
  <c r="FY167" i="2" s="1"/>
  <c r="DN170" i="2" a="1"/>
  <c r="DN170" i="2" s="1"/>
  <c r="FY174" i="2" a="1"/>
  <c r="FY174" i="2" s="1"/>
  <c r="DN133" i="2" a="1"/>
  <c r="DN133" i="2" s="1"/>
  <c r="DN123" i="2" a="1"/>
  <c r="DN123" i="2" s="1"/>
  <c r="FY169" i="2" a="1"/>
  <c r="FY169" i="2" s="1"/>
  <c r="FY153" i="2" a="1"/>
  <c r="FY153" i="2" s="1"/>
  <c r="CS114" i="2" a="1"/>
  <c r="CS114" i="2" s="1"/>
  <c r="CS120" i="2" a="1"/>
  <c r="CS120" i="2" s="1"/>
  <c r="AH163" i="2" a="1"/>
  <c r="AH163" i="2" s="1"/>
  <c r="DN124" i="2" a="1"/>
  <c r="DN124" i="2" s="1"/>
  <c r="FY102" i="2" a="1"/>
  <c r="FY102" i="2" s="1"/>
  <c r="CS72" i="2" a="1"/>
  <c r="CS72" i="2" s="1"/>
  <c r="DN63" i="2" a="1"/>
  <c r="DN63" i="2" s="1"/>
  <c r="BC192" i="2" a="1"/>
  <c r="BC192" i="2" s="1"/>
  <c r="FY30" i="2" a="1"/>
  <c r="FY30" i="2" s="1"/>
  <c r="AH62" i="2" a="1"/>
  <c r="AH62" i="2" s="1"/>
  <c r="CS116" i="2" a="1"/>
  <c r="CS116" i="2" s="1"/>
  <c r="DN113" i="2" a="1"/>
  <c r="DN113" i="2" s="1"/>
  <c r="CS66" i="2" a="1"/>
  <c r="CS66" i="2" s="1"/>
  <c r="FY190" i="2" a="1"/>
  <c r="FY190" i="2" s="1"/>
  <c r="FY92" i="2" a="1"/>
  <c r="FY92" i="2" s="1"/>
  <c r="FY69" i="2" a="1"/>
  <c r="FY69" i="2" s="1"/>
  <c r="FY22" i="2" a="1"/>
  <c r="FY22" i="2" s="1"/>
  <c r="DN167" i="2" a="1"/>
  <c r="DN167" i="2" s="1"/>
  <c r="DN188" i="2" a="1"/>
  <c r="DN188" i="2" s="1"/>
  <c r="DN16" i="2" a="1"/>
  <c r="DN16" i="2" s="1"/>
  <c r="FY34" i="2" a="1"/>
  <c r="FY34" i="2" s="1"/>
  <c r="FY133" i="2" a="1"/>
  <c r="FY133" i="2" s="1"/>
  <c r="DN46" i="2" a="1"/>
  <c r="DN46" i="2" s="1"/>
  <c r="DN162" i="2" a="1"/>
  <c r="DN162" i="2" s="1"/>
  <c r="DN177" i="2" a="1"/>
  <c r="DN177" i="2" s="1"/>
  <c r="FY164" i="2" a="1"/>
  <c r="FY164" i="2" s="1"/>
  <c r="FY140" i="2" a="1"/>
  <c r="FY140" i="2" s="1"/>
  <c r="FY58" i="2" a="1"/>
  <c r="FY58" i="2" s="1"/>
  <c r="DN103" i="2" a="1"/>
  <c r="DN103" i="2" s="1"/>
  <c r="FY149" i="2" a="1"/>
  <c r="FY149" i="2" s="1"/>
  <c r="FY143" i="2" a="1"/>
  <c r="FY143" i="2" s="1"/>
  <c r="FY47" i="2" a="1"/>
  <c r="FY47" i="2" s="1"/>
  <c r="DN164" i="2" a="1"/>
  <c r="DN164" i="2" s="1"/>
  <c r="DN137" i="2" a="1"/>
  <c r="DN137" i="2" s="1"/>
  <c r="FY191" i="2" a="1"/>
  <c r="FY191" i="2" s="1"/>
  <c r="DN190" i="2" a="1"/>
  <c r="DN190" i="2" s="1"/>
  <c r="CS137" i="2" a="1"/>
  <c r="CS137" i="2" s="1"/>
  <c r="FY124" i="2" a="1"/>
  <c r="FY124" i="2" s="1"/>
  <c r="FY165" i="2" a="1"/>
  <c r="FY165" i="2" s="1"/>
  <c r="DN38" i="2" a="1"/>
  <c r="DN38" i="2" s="1"/>
  <c r="FY142" i="2" a="1"/>
  <c r="FY142" i="2" s="1"/>
  <c r="CS52" i="2" a="1"/>
  <c r="CS52" i="2" s="1"/>
  <c r="FY99" i="2" a="1"/>
  <c r="FY99" i="2" s="1"/>
  <c r="DN65" i="2" a="1"/>
  <c r="DN65" i="2" s="1"/>
  <c r="FY80" i="2" a="1"/>
  <c r="FY80" i="2" s="1"/>
  <c r="DN50" i="2" a="1"/>
  <c r="DN50" i="2" s="1"/>
  <c r="FY116" i="2" a="1"/>
  <c r="FY116" i="2" s="1"/>
  <c r="DN70" i="2" a="1"/>
  <c r="DN70" i="2" s="1"/>
  <c r="DN45" i="2" a="1"/>
  <c r="DN45" i="2" s="1"/>
  <c r="DN55" i="2" a="1"/>
  <c r="DN55" i="2" s="1"/>
  <c r="DN80" i="2" a="1"/>
  <c r="DN80" i="2" s="1"/>
  <c r="BC18" i="2" a="1"/>
  <c r="BC18" i="2" s="1"/>
  <c r="BC55" i="2" a="1"/>
  <c r="BC55" i="2" s="1"/>
  <c r="FY42" i="2" a="1"/>
  <c r="FY42" i="2" s="1"/>
  <c r="AH199" i="2" a="1"/>
  <c r="AH199" i="2" s="1"/>
  <c r="DN150" i="2" a="1"/>
  <c r="DN150" i="2" s="1"/>
  <c r="DN25" i="2" a="1"/>
  <c r="DN25" i="2" s="1"/>
  <c r="DN155" i="2" a="1"/>
  <c r="DN155" i="2" s="1"/>
  <c r="DN56" i="2" a="1"/>
  <c r="DN56" i="2" s="1"/>
  <c r="FY72" i="2" a="1"/>
  <c r="FY72" i="2" s="1"/>
  <c r="FY111" i="2" a="1"/>
  <c r="FY111" i="2" s="1"/>
  <c r="FY66" i="2" a="1"/>
  <c r="FY66" i="2" s="1"/>
  <c r="FY90" i="2" a="1"/>
  <c r="FY90" i="2" s="1"/>
  <c r="DN132" i="2" a="1"/>
  <c r="DN132" i="2" s="1"/>
  <c r="FY115" i="2" a="1"/>
  <c r="FY115" i="2" s="1"/>
  <c r="DN86" i="2" a="1"/>
  <c r="DN86" i="2" s="1"/>
  <c r="FY126" i="2" a="1"/>
  <c r="FY126" i="2" s="1"/>
  <c r="FY109" i="2" a="1"/>
  <c r="FY109" i="2" s="1"/>
  <c r="FY86" i="2" a="1"/>
  <c r="FY86" i="2" s="1"/>
  <c r="DN43" i="2" a="1"/>
  <c r="DN43" i="2" s="1"/>
  <c r="FY159" i="2" a="1"/>
  <c r="FY159" i="2" s="1"/>
  <c r="DN115" i="2" a="1"/>
  <c r="DN115" i="2" s="1"/>
  <c r="DN186" i="2" a="1"/>
  <c r="DN186" i="2" s="1"/>
  <c r="FY28" i="2" a="1"/>
  <c r="FY28" i="2" s="1"/>
  <c r="FY121" i="2" a="1"/>
  <c r="FY121" i="2" s="1"/>
  <c r="DN153" i="2" a="1"/>
  <c r="DN153" i="2" s="1"/>
  <c r="FY78" i="2" a="1"/>
  <c r="FY78" i="2" s="1"/>
  <c r="DN187" i="2" a="1"/>
  <c r="DN187" i="2" s="1"/>
  <c r="CS105" i="2" a="1"/>
  <c r="CS105" i="2" s="1"/>
  <c r="CS129" i="2" a="1"/>
  <c r="CS129" i="2" s="1"/>
  <c r="FY110" i="2" a="1"/>
  <c r="FY110" i="2" s="1"/>
  <c r="CS161" i="2" a="1"/>
  <c r="CS161" i="2" s="1"/>
  <c r="DN129" i="2" a="1"/>
  <c r="DN129" i="2" s="1"/>
  <c r="FY146" i="2" a="1"/>
  <c r="FY146" i="2" s="1"/>
  <c r="BX107" i="2" a="1"/>
  <c r="BX107" i="2" s="1"/>
  <c r="FY62" i="2" a="1"/>
  <c r="FY62" i="2" s="1"/>
  <c r="FY32" i="2" a="1"/>
  <c r="FY32" i="2" s="1"/>
  <c r="FS203" i="2"/>
  <c r="CS56" i="2" a="1"/>
  <c r="CS56" i="2" s="1"/>
  <c r="CS134" i="2" a="1"/>
  <c r="CS134" i="2" s="1"/>
  <c r="DN110" i="2" a="1"/>
  <c r="DN110" i="2" s="1"/>
  <c r="CS185" i="2" a="1"/>
  <c r="CS185" i="2" s="1"/>
  <c r="BC38" i="2" a="1"/>
  <c r="BC38" i="2" s="1"/>
  <c r="BC130" i="2" a="1"/>
  <c r="BC130" i="2" s="1"/>
  <c r="FY196" i="2" a="1"/>
  <c r="FY196" i="2" s="1"/>
  <c r="AH166" i="2" a="1"/>
  <c r="AH166" i="2" s="1"/>
  <c r="DN192" i="2" a="1"/>
  <c r="DN192" i="2" s="1"/>
  <c r="DN184" i="2" a="1"/>
  <c r="DN184" i="2" s="1"/>
  <c r="BC117" i="2" a="1"/>
  <c r="BC117" i="2" s="1"/>
  <c r="AH92" i="2" a="1"/>
  <c r="AH92" i="2" s="1"/>
  <c r="FY73" i="2" a="1"/>
  <c r="FY73" i="2" s="1"/>
  <c r="FY120" i="2" a="1"/>
  <c r="FY120" i="2" s="1"/>
  <c r="FY57" i="2" a="1"/>
  <c r="FY57" i="2" s="1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Z8" i="2" s="1"/>
  <c r="FZ9" i="2" s="1"/>
  <c r="FZ10" i="2" s="1"/>
  <c r="FZ11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FT203" i="2" s="1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2" i="2" l="1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<sst xmlns="http://schemas.openxmlformats.org/spreadsheetml/2006/main" count="1170" uniqueCount="324">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</sst>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2.1308141159990979</c:v>
                </c:pt>
                <c:pt idx="2">
                  <c:v>2.9281438920569403</c:v>
                </c:pt>
                <c:pt idx="3">
                  <c:v>4.0251008301171156</c:v>
                </c:pt>
                <c:pt idx="4">
                  <c:v>5.5347320133681039</c:v>
                </c:pt>
                <c:pt idx="5">
                  <c:v>7.6128950978985666</c:v>
                </c:pt>
                <c:pt idx="6">
                  <c:v>10.474526236664085</c:v>
                </c:pt>
                <c:pt idx="7">
                  <c:v>14.416109245825893</c:v>
                </c:pt>
                <c:pt idx="8">
                  <c:v>19.846716673503781</c:v>
                </c:pt>
                <c:pt idx="9">
                  <c:v>27.330902060221728</c:v>
                </c:pt>
                <c:pt idx="10">
                  <c:v>37.647980385231108</c:v>
                </c:pt>
                <c:pt idx="11">
                  <c:v>51.873974862320885</c:v>
                </c:pt>
                <c:pt idx="12">
                  <c:v>71.4949191061866</c:v>
                </c:pt>
                <c:pt idx="13">
                  <c:v>98.563542320451802</c:v>
                </c:pt>
                <c:pt idx="14">
                  <c:v>135.91598928147849</c:v>
                </c:pt>
                <c:pt idx="15">
                  <c:v>187.47163239017053</c:v>
                </c:pt>
                <c:pt idx="16">
                  <c:v>146.81136547798749</c:v>
                </c:pt>
                <c:pt idx="17">
                  <c:v>170.80742954677157</c:v>
                </c:pt>
                <c:pt idx="18">
                  <c:v>194.72403964150703</c:v>
                </c:pt>
                <c:pt idx="19">
                  <c:v>218.57233487459663</c:v>
                </c:pt>
                <c:pt idx="20">
                  <c:v>242.36081901854183</c:v>
                </c:pt>
                <c:pt idx="21">
                  <c:v>204.12844580912656</c:v>
                </c:pt>
                <c:pt idx="22">
                  <c:v>228.73672473315909</c:v>
                </c:pt>
                <c:pt idx="23">
                  <c:v>253.28442353945601</c:v>
                </c:pt>
                <c:pt idx="24">
                  <c:v>277.77823776243309</c:v>
                </c:pt>
                <c:pt idx="25">
                  <c:v>302.22358480953159</c:v>
                </c:pt>
                <c:pt idx="26">
                  <c:v>326.62493385865372</c:v>
                </c:pt>
                <c:pt idx="27">
                  <c:v>291.30971241322919</c:v>
                </c:pt>
                <c:pt idx="28">
                  <c:v>316.14188648171188</c:v>
                </c:pt>
                <c:pt idx="29">
                  <c:v>340.93085224982775</c:v>
                </c:pt>
                <c:pt idx="30">
                  <c:v>365.68019071952534</c:v>
                </c:pt>
                <c:pt idx="31">
                  <c:v>390.39295875481668</c:v>
                </c:pt>
                <c:pt idx="32">
                  <c:v>415.07179480856439</c:v>
                </c:pt>
                <c:pt idx="33">
                  <c:v>355.88364575491568</c:v>
                </c:pt>
                <c:pt idx="34">
                  <c:v>378.90598373659333</c:v>
                </c:pt>
                <c:pt idx="35">
                  <c:v>401.89789012628256</c:v>
                </c:pt>
                <c:pt idx="36">
                  <c:v>424.86134931148257</c:v>
                </c:pt>
                <c:pt idx="37">
                  <c:v>447.79811380133168</c:v>
                </c:pt>
                <c:pt idx="38">
                  <c:v>470.70974205309909</c:v>
                </c:pt>
                <c:pt idx="39">
                  <c:v>493.59762855037974</c:v>
                </c:pt>
                <c:pt idx="40">
                  <c:v>516.46302801285583</c:v>
                </c:pt>
                <c:pt idx="41">
                  <c:v>418.21652921659637</c:v>
                </c:pt>
                <c:pt idx="42">
                  <c:v>437.54828979657418</c:v>
                </c:pt>
                <c:pt idx="43">
                  <c:v>456.86173367611218</c:v>
                </c:pt>
                <c:pt idx="44">
                  <c:v>476.15774366224105</c:v>
                </c:pt>
                <c:pt idx="45">
                  <c:v>495.4371252185951</c:v>
                </c:pt>
                <c:pt idx="46">
                  <c:v>514.70061604899377</c:v>
                </c:pt>
                <c:pt idx="47">
                  <c:v>533.94889417211482</c:v>
                </c:pt>
                <c:pt idx="48">
                  <c:v>553.18258477172765</c:v>
                </c:pt>
                <c:pt idx="49">
                  <c:v>463.11224037370863</c:v>
                </c:pt>
                <c:pt idx="50">
                  <c:v>479.3932375320328</c:v>
                </c:pt>
                <c:pt idx="51">
                  <c:v>495.66248405140641</c:v>
                </c:pt>
                <c:pt idx="52">
                  <c:v>511.92041976382615</c:v>
                </c:pt>
                <c:pt idx="53">
                  <c:v>528.16745429901368</c:v>
                </c:pt>
                <c:pt idx="54">
                  <c:v>544.4039700427569</c:v>
                </c:pt>
                <c:pt idx="55">
                  <c:v>560.63032472410339</c:v>
                </c:pt>
                <c:pt idx="56">
                  <c:v>576.84685368758085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4.5" x14ac:dyDescent="0.35"/>
  <cols>
    <col min="1" max="1" width="6.7265625" customWidth="1"/>
    <col min="2" max="13" width="15.81640625" customWidth="1"/>
  </cols>
  <sheetData>
    <row r="12" spans="2:13" ht="15" customHeight="1" x14ac:dyDescent="0.35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3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3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3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3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35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3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3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3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3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3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3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3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3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3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3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3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3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3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10" zoomScale="80" zoomScaleNormal="80" workbookViewId="0">
      <selection activeCell="C26" sqref="C26"/>
    </sheetView>
  </sheetViews>
  <sheetFormatPr baseColWidth="10" defaultColWidth="11.453125" defaultRowHeight="14.5" x14ac:dyDescent="0.35"/>
  <cols>
    <col min="1" max="1" width="13.7265625" style="23" customWidth="1"/>
    <col min="2" max="2" width="36.1796875" style="23" customWidth="1"/>
    <col min="3" max="3" width="14.81640625" style="23" bestFit="1" customWidth="1"/>
    <col min="4" max="4" width="16.453125" style="23" customWidth="1"/>
    <col min="5" max="5" width="23.26953125" style="23" customWidth="1"/>
    <col min="6" max="6" width="28.81640625" style="23" bestFit="1" customWidth="1"/>
    <col min="7" max="8" width="14.72656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62" t="s">
        <v>190</v>
      </c>
      <c r="D1" s="262"/>
      <c r="E1" s="262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68" t="s">
        <v>231</v>
      </c>
      <c r="B5" s="268"/>
      <c r="C5" s="24">
        <v>9.93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31" t="s">
        <v>36</v>
      </c>
      <c r="C9" s="32">
        <v>1</v>
      </c>
      <c r="D9" s="33">
        <f t="shared" ref="D9:D18" si="0">C9*$C$5</f>
        <v>9.93</v>
      </c>
      <c r="E9" s="34">
        <v>56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31"/>
      <c r="C10" s="32"/>
      <c r="D10" s="33">
        <f t="shared" si="0"/>
        <v>0</v>
      </c>
      <c r="E10" s="34"/>
      <c r="F10" s="35" t="str">
        <f t="array" ref="F10">IF(E10="","",IF(INDEX(A:A,MAX(IF(ISNUMBER($A$62:$A$81),ROW($A$62:$A$81),"")))&lt;&gt;E10,"Corrigez : révolution incorrecte","OK"))</f>
        <v/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8"/>
      <c r="B19" s="36" t="s">
        <v>175</v>
      </c>
      <c r="C19" s="37">
        <f>SUM(C9:C18)</f>
        <v>1</v>
      </c>
      <c r="D19" s="38">
        <f>SUM(D9:D18)</f>
        <v>9.93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Pin maritime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5" t="s">
        <v>185</v>
      </c>
      <c r="C34" s="258" t="s">
        <v>186</v>
      </c>
      <c r="D34" s="258"/>
      <c r="E34" s="259" t="s">
        <v>187</v>
      </c>
      <c r="F34" s="260"/>
      <c r="G34" s="260"/>
      <c r="H34" s="261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50">
        <v>15</v>
      </c>
      <c r="B36" s="60">
        <v>141.17692307692306</v>
      </c>
      <c r="C36" s="60">
        <v>1</v>
      </c>
      <c r="D36" s="60">
        <v>49.784615384615385</v>
      </c>
      <c r="E36" s="51">
        <v>0</v>
      </c>
      <c r="F36" s="51">
        <v>0.56000000000000005</v>
      </c>
      <c r="G36" s="51">
        <v>0.44</v>
      </c>
      <c r="H36" s="51">
        <v>0</v>
      </c>
      <c r="I36" s="49">
        <f>IFERROR(B36/A36,"")</f>
        <v>9.4117948717948714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50">
        <v>20</v>
      </c>
      <c r="B37" s="60">
        <v>183.7076923076923</v>
      </c>
      <c r="C37" s="60">
        <v>2</v>
      </c>
      <c r="D37" s="60">
        <v>48.723076923076924</v>
      </c>
      <c r="E37" s="51">
        <v>0</v>
      </c>
      <c r="F37" s="51">
        <v>0.56000000000000005</v>
      </c>
      <c r="G37" s="51">
        <v>0.44</v>
      </c>
      <c r="H37" s="51">
        <v>0</v>
      </c>
      <c r="I37" s="53">
        <f t="shared" ref="I37:I55" si="1">IF(A37&lt;&gt;0,(B37-(B36-D36))/(A37-A36),"")</f>
        <v>18.463076923076926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50">
        <v>26</v>
      </c>
      <c r="B38" s="60">
        <v>249.41538461538462</v>
      </c>
      <c r="C38" s="60">
        <v>3</v>
      </c>
      <c r="D38" s="60">
        <v>46.984615384615381</v>
      </c>
      <c r="E38" s="51">
        <v>0.7</v>
      </c>
      <c r="F38" s="51">
        <v>0.16800000000000001</v>
      </c>
      <c r="G38" s="51">
        <v>0.13200000000000001</v>
      </c>
      <c r="H38" s="51">
        <v>0</v>
      </c>
      <c r="I38" s="53">
        <f t="shared" si="1"/>
        <v>19.071794871794875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50">
        <v>32</v>
      </c>
      <c r="B39" s="60">
        <v>318.7923076923077</v>
      </c>
      <c r="C39" s="60">
        <v>4</v>
      </c>
      <c r="D39" s="60">
        <v>64.523076923076914</v>
      </c>
      <c r="E39" s="51">
        <v>0.7</v>
      </c>
      <c r="F39" s="51">
        <v>0.16800000000000001</v>
      </c>
      <c r="G39" s="51">
        <v>0.13200000000000001</v>
      </c>
      <c r="H39" s="51">
        <v>0</v>
      </c>
      <c r="I39" s="49">
        <f t="shared" si="1"/>
        <v>19.393589743589743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50">
        <v>40</v>
      </c>
      <c r="B40" s="60">
        <v>398.71538461538461</v>
      </c>
      <c r="C40" s="60">
        <v>5</v>
      </c>
      <c r="D40" s="60">
        <v>92.661538461538456</v>
      </c>
      <c r="E40" s="51">
        <v>0.7</v>
      </c>
      <c r="F40" s="51">
        <v>0.16800000000000001</v>
      </c>
      <c r="G40" s="51">
        <v>0.13200000000000001</v>
      </c>
      <c r="H40" s="51">
        <v>0</v>
      </c>
      <c r="I40" s="49">
        <f t="shared" si="1"/>
        <v>18.055769230769229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50">
        <v>48</v>
      </c>
      <c r="B41" s="60">
        <v>427.74615384615385</v>
      </c>
      <c r="C41" s="60">
        <v>6</v>
      </c>
      <c r="D41" s="60">
        <v>83.969230769230762</v>
      </c>
      <c r="E41" s="51">
        <v>0.7</v>
      </c>
      <c r="F41" s="51">
        <v>0.16800000000000001</v>
      </c>
      <c r="G41" s="51">
        <v>0.13200000000000001</v>
      </c>
      <c r="H41" s="51">
        <v>0</v>
      </c>
      <c r="I41" s="53">
        <f t="shared" si="1"/>
        <v>15.21153846153846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50">
        <v>56</v>
      </c>
      <c r="B42" s="60">
        <v>446.47692307692301</v>
      </c>
      <c r="C42" s="60">
        <v>7</v>
      </c>
      <c r="D42" s="60">
        <v>446.47692307692301</v>
      </c>
      <c r="E42" s="51">
        <v>0.7</v>
      </c>
      <c r="F42" s="51">
        <v>0.16800000000000001</v>
      </c>
      <c r="G42" s="51">
        <v>0.13200000000000001</v>
      </c>
      <c r="H42" s="51">
        <v>0</v>
      </c>
      <c r="I42" s="53">
        <f t="shared" si="1"/>
        <v>12.837499999999991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50"/>
      <c r="B43" s="60"/>
      <c r="C43" s="60"/>
      <c r="D43" s="60"/>
      <c r="E43" s="51"/>
      <c r="F43" s="51"/>
      <c r="G43" s="51"/>
      <c r="H43" s="51"/>
      <c r="I43" s="49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/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5" t="s">
        <v>185</v>
      </c>
      <c r="C60" s="258" t="s">
        <v>186</v>
      </c>
      <c r="D60" s="258"/>
      <c r="E60" s="259" t="s">
        <v>187</v>
      </c>
      <c r="F60" s="260"/>
      <c r="G60" s="260"/>
      <c r="H60" s="261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50"/>
      <c r="B62" s="60"/>
      <c r="C62" s="60"/>
      <c r="D62" s="60"/>
      <c r="E62" s="51"/>
      <c r="F62" s="51"/>
      <c r="G62" s="51"/>
      <c r="H62" s="51"/>
      <c r="I62" s="53" t="str">
        <f>IFERROR(B62/A62,"")</f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50"/>
      <c r="B63" s="60"/>
      <c r="C63" s="60"/>
      <c r="D63" s="60"/>
      <c r="E63" s="51"/>
      <c r="F63" s="51"/>
      <c r="G63" s="51"/>
      <c r="H63" s="51"/>
      <c r="I63" s="49" t="str">
        <f>IF(A63&lt;&gt;0,(B63-(B62-D62))/(A63-A62),"")</f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50"/>
      <c r="B64" s="60"/>
      <c r="C64" s="60"/>
      <c r="D64" s="60"/>
      <c r="E64" s="51"/>
      <c r="F64" s="51"/>
      <c r="G64" s="51"/>
      <c r="H64" s="51"/>
      <c r="I64" s="49" t="str">
        <f>IF(A64&lt;&gt;0,(B64-(B63-D63))/(A64-A63),"")</f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50"/>
      <c r="B65" s="60"/>
      <c r="C65" s="60"/>
      <c r="D65" s="60"/>
      <c r="E65" s="51"/>
      <c r="F65" s="51"/>
      <c r="G65" s="51"/>
      <c r="H65" s="51"/>
      <c r="I65" s="49" t="str">
        <f>IF(A65&lt;&gt;0,(B65-(B64-D64))/(A65-A64),"")</f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50"/>
      <c r="B66" s="60"/>
      <c r="C66" s="60"/>
      <c r="D66" s="60"/>
      <c r="E66" s="51"/>
      <c r="F66" s="51"/>
      <c r="G66" s="51"/>
      <c r="H66" s="51"/>
      <c r="I66" s="49" t="str">
        <f t="shared" ref="I66:I81" si="2">IF(A66&lt;&gt;0,(B66-(B65-D65))/(A66-A65),"")</f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50"/>
      <c r="B67" s="60"/>
      <c r="C67" s="60"/>
      <c r="D67" s="60"/>
      <c r="E67" s="51"/>
      <c r="F67" s="51"/>
      <c r="G67" s="51"/>
      <c r="H67" s="51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50"/>
      <c r="B68" s="60"/>
      <c r="C68" s="60"/>
      <c r="D68" s="60"/>
      <c r="E68" s="51"/>
      <c r="F68" s="51"/>
      <c r="G68" s="51"/>
      <c r="H68" s="51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5" t="s">
        <v>185</v>
      </c>
      <c r="C86" s="258" t="s">
        <v>186</v>
      </c>
      <c r="D86" s="258"/>
      <c r="E86" s="259" t="s">
        <v>187</v>
      </c>
      <c r="F86" s="260"/>
      <c r="G86" s="260"/>
      <c r="H86" s="261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5" t="s">
        <v>185</v>
      </c>
      <c r="C112" s="258" t="s">
        <v>186</v>
      </c>
      <c r="D112" s="258"/>
      <c r="E112" s="259" t="s">
        <v>187</v>
      </c>
      <c r="F112" s="260"/>
      <c r="G112" s="260"/>
      <c r="H112" s="261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5" t="s">
        <v>185</v>
      </c>
      <c r="C138" s="258" t="s">
        <v>186</v>
      </c>
      <c r="D138" s="258"/>
      <c r="E138" s="259" t="s">
        <v>187</v>
      </c>
      <c r="F138" s="260"/>
      <c r="G138" s="260"/>
      <c r="H138" s="261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5" t="s">
        <v>185</v>
      </c>
      <c r="C164" s="258" t="s">
        <v>186</v>
      </c>
      <c r="D164" s="258"/>
      <c r="E164" s="259" t="s">
        <v>187</v>
      </c>
      <c r="F164" s="260"/>
      <c r="G164" s="260"/>
      <c r="H164" s="261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5" t="s">
        <v>185</v>
      </c>
      <c r="C190" s="258" t="s">
        <v>186</v>
      </c>
      <c r="D190" s="258"/>
      <c r="E190" s="259" t="s">
        <v>187</v>
      </c>
      <c r="F190" s="260"/>
      <c r="G190" s="260"/>
      <c r="H190" s="261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5" t="s">
        <v>185</v>
      </c>
      <c r="C216" s="258" t="s">
        <v>186</v>
      </c>
      <c r="D216" s="258"/>
      <c r="E216" s="259" t="s">
        <v>187</v>
      </c>
      <c r="F216" s="260"/>
      <c r="G216" s="260"/>
      <c r="H216" s="261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5" t="s">
        <v>185</v>
      </c>
      <c r="C242" s="258" t="s">
        <v>186</v>
      </c>
      <c r="D242" s="258"/>
      <c r="E242" s="259" t="s">
        <v>187</v>
      </c>
      <c r="F242" s="260"/>
      <c r="G242" s="260"/>
      <c r="H242" s="261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5" t="s">
        <v>185</v>
      </c>
      <c r="C268" s="258" t="s">
        <v>186</v>
      </c>
      <c r="D268" s="258"/>
      <c r="E268" s="259" t="s">
        <v>187</v>
      </c>
      <c r="F268" s="260"/>
      <c r="G268" s="260"/>
      <c r="H268" s="261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B18" sqref="B18"/>
    </sheetView>
  </sheetViews>
  <sheetFormatPr baseColWidth="10" defaultColWidth="11.453125" defaultRowHeight="14.5" x14ac:dyDescent="0.35"/>
  <cols>
    <col min="1" max="1" width="5.81640625" style="1" customWidth="1"/>
    <col min="2" max="2" width="14.1796875" style="1" customWidth="1"/>
    <col min="3" max="3" width="62.1796875" style="1" customWidth="1"/>
    <col min="4" max="5" width="4.26953125" style="1" customWidth="1"/>
    <col min="6" max="6" width="14.26953125" style="1" customWidth="1"/>
    <col min="7" max="7" width="73.26953125" style="1" bestFit="1" customWidth="1"/>
    <col min="8" max="10" width="11.453125" style="1"/>
    <col min="11" max="11" width="12.5429687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5">
      <c r="A8" s="105">
        <v>1</v>
      </c>
      <c r="B8" s="61">
        <v>1</v>
      </c>
      <c r="C8" s="49" t="s">
        <v>177</v>
      </c>
      <c r="D8" s="23"/>
      <c r="E8" s="105">
        <v>4</v>
      </c>
      <c r="F8" s="61">
        <v>0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1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6">
        <f>SUM(B16:B18)</f>
        <v>1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54296875" style="4" customWidth="1"/>
    <col min="6" max="7" width="11.453125" style="4"/>
    <col min="8" max="8" width="10.7265625" style="4" customWidth="1"/>
    <col min="9" max="9" width="9.453125" style="4" customWidth="1"/>
    <col min="10" max="11" width="10.5429687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7265625" style="4" bestFit="1" customWidth="1"/>
    <col min="25" max="25" width="14.54296875" style="4" bestFit="1" customWidth="1"/>
    <col min="26" max="26" width="12.453125" style="4" bestFit="1" customWidth="1"/>
    <col min="27" max="27" width="9.72656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54296875" style="4" bestFit="1" customWidth="1"/>
    <col min="36" max="36" width="9.453125" style="4" bestFit="1" customWidth="1"/>
    <col min="37" max="38" width="10.54296875" style="4" bestFit="1" customWidth="1"/>
    <col min="39" max="41" width="10.54296875" style="4" customWidth="1"/>
    <col min="42" max="42" width="9" style="4" bestFit="1" customWidth="1"/>
    <col min="43" max="43" width="10.54296875" style="4" bestFit="1" customWidth="1"/>
    <col min="44" max="44" width="9.26953125" style="4" bestFit="1" customWidth="1"/>
    <col min="45" max="45" width="11.7265625" style="4" bestFit="1" customWidth="1"/>
    <col min="46" max="46" width="8.453125" style="4" bestFit="1" customWidth="1"/>
    <col min="47" max="47" width="9.453125" style="4" bestFit="1" customWidth="1"/>
    <col min="48" max="48" width="9.72656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54296875" style="4" bestFit="1" customWidth="1"/>
    <col min="54" max="54" width="14.26953125" style="4" customWidth="1"/>
    <col min="55" max="55" width="14" style="4" customWidth="1"/>
    <col min="56" max="56" width="10.54296875" style="4" bestFit="1" customWidth="1"/>
    <col min="57" max="57" width="9.453125" style="4" bestFit="1" customWidth="1"/>
    <col min="58" max="59" width="10.54296875" style="4" bestFit="1" customWidth="1"/>
    <col min="60" max="62" width="10.54296875" style="4" customWidth="1"/>
    <col min="63" max="63" width="9" style="4" bestFit="1" customWidth="1"/>
    <col min="64" max="64" width="10.54296875" style="4" bestFit="1" customWidth="1"/>
    <col min="65" max="65" width="9.26953125" style="4" bestFit="1" customWidth="1"/>
    <col min="66" max="66" width="11.7265625" style="4" bestFit="1" customWidth="1"/>
    <col min="67" max="67" width="8.453125" style="4" bestFit="1" customWidth="1"/>
    <col min="68" max="68" width="9.453125" style="4" bestFit="1" customWidth="1"/>
    <col min="69" max="69" width="9.72656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54296875" style="4" bestFit="1" customWidth="1"/>
    <col min="75" max="75" width="14" style="4" bestFit="1" customWidth="1"/>
    <col min="76" max="76" width="13.81640625" style="4" customWidth="1"/>
    <col min="77" max="77" width="10.54296875" style="4" bestFit="1" customWidth="1"/>
    <col min="78" max="78" width="9.453125" style="4" bestFit="1" customWidth="1"/>
    <col min="79" max="80" width="10.54296875" style="4" bestFit="1" customWidth="1"/>
    <col min="81" max="83" width="10.54296875" style="4" customWidth="1"/>
    <col min="84" max="84" width="11.453125" style="4"/>
    <col min="85" max="85" width="10.54296875" style="4" bestFit="1" customWidth="1"/>
    <col min="86" max="86" width="9.26953125" style="4" bestFit="1" customWidth="1"/>
    <col min="87" max="87" width="11.7265625" style="4" bestFit="1" customWidth="1"/>
    <col min="88" max="88" width="8.453125" style="4" bestFit="1" customWidth="1"/>
    <col min="89" max="89" width="9.453125" style="4" bestFit="1" customWidth="1"/>
    <col min="90" max="90" width="9.72656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54296875" style="4" bestFit="1" customWidth="1"/>
    <col min="99" max="99" width="9.453125" style="4" bestFit="1" customWidth="1"/>
    <col min="100" max="101" width="10.54296875" style="4" bestFit="1" customWidth="1"/>
    <col min="102" max="104" width="10.54296875" style="4" customWidth="1"/>
    <col min="105" max="105" width="9" style="4" bestFit="1" customWidth="1"/>
    <col min="106" max="106" width="10.54296875" style="4" bestFit="1" customWidth="1"/>
    <col min="107" max="107" width="9.26953125" style="4" bestFit="1" customWidth="1"/>
    <col min="108" max="108" width="11.7265625" style="4" bestFit="1" customWidth="1"/>
    <col min="109" max="109" width="8.453125" style="4" bestFit="1" customWidth="1"/>
    <col min="110" max="110" width="9.453125" style="4" bestFit="1" customWidth="1"/>
    <col min="111" max="111" width="9.72656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54296875" style="4" bestFit="1" customWidth="1"/>
    <col min="117" max="117" width="14.26953125" style="4" customWidth="1"/>
    <col min="118" max="118" width="14" style="4" bestFit="1" customWidth="1"/>
    <col min="119" max="119" width="10.54296875" style="4" bestFit="1" customWidth="1"/>
    <col min="120" max="120" width="9.453125" style="4" bestFit="1" customWidth="1"/>
    <col min="121" max="122" width="10.54296875" style="4" bestFit="1" customWidth="1"/>
    <col min="123" max="125" width="10.54296875" style="4" customWidth="1"/>
    <col min="126" max="126" width="9" style="4" bestFit="1" customWidth="1"/>
    <col min="127" max="127" width="10.54296875" style="4" bestFit="1" customWidth="1"/>
    <col min="128" max="128" width="9.26953125" style="4" bestFit="1" customWidth="1"/>
    <col min="129" max="129" width="11.7265625" style="4" bestFit="1" customWidth="1"/>
    <col min="130" max="130" width="8.453125" style="4" bestFit="1" customWidth="1"/>
    <col min="131" max="131" width="9.453125" style="4" bestFit="1" customWidth="1"/>
    <col min="132" max="132" width="9.72656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54296875" style="4" bestFit="1" customWidth="1"/>
    <col min="138" max="139" width="14" style="4" customWidth="1"/>
    <col min="140" max="140" width="10.54296875" style="4" bestFit="1" customWidth="1"/>
    <col min="141" max="141" width="9.453125" style="4" bestFit="1" customWidth="1"/>
    <col min="142" max="143" width="10.54296875" style="4" bestFit="1" customWidth="1"/>
    <col min="144" max="146" width="10.54296875" style="4" customWidth="1"/>
    <col min="147" max="147" width="9" style="4" bestFit="1" customWidth="1"/>
    <col min="148" max="148" width="10.54296875" style="4" bestFit="1" customWidth="1"/>
    <col min="149" max="149" width="9.26953125" style="4" bestFit="1" customWidth="1"/>
    <col min="150" max="150" width="11.7265625" style="4" bestFit="1" customWidth="1"/>
    <col min="151" max="151" width="8.453125" style="4" bestFit="1" customWidth="1"/>
    <col min="152" max="152" width="9.453125" style="4" bestFit="1" customWidth="1"/>
    <col min="153" max="153" width="9.72656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54296875" style="4" bestFit="1" customWidth="1"/>
    <col min="162" max="162" width="9.453125" style="4" bestFit="1" customWidth="1"/>
    <col min="163" max="164" width="10.54296875" style="4" bestFit="1" customWidth="1"/>
    <col min="165" max="167" width="10.54296875" style="4" customWidth="1"/>
    <col min="168" max="168" width="9" style="4" bestFit="1" customWidth="1"/>
    <col min="169" max="169" width="10.54296875" style="4" bestFit="1" customWidth="1"/>
    <col min="170" max="170" width="9.26953125" style="4" bestFit="1" customWidth="1"/>
    <col min="171" max="171" width="11.7265625" style="4" bestFit="1" customWidth="1"/>
    <col min="172" max="172" width="8.1796875" style="4" bestFit="1" customWidth="1"/>
    <col min="173" max="173" width="9.453125" style="4" bestFit="1" customWidth="1"/>
    <col min="174" max="174" width="9.72656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54296875" style="4" bestFit="1" customWidth="1"/>
    <col min="180" max="181" width="14" style="4" bestFit="1" customWidth="1"/>
    <col min="182" max="182" width="10.54296875" style="4" bestFit="1" customWidth="1"/>
    <col min="183" max="183" width="9.453125" style="4" bestFit="1" customWidth="1"/>
    <col min="184" max="185" width="10.54296875" style="4" bestFit="1" customWidth="1"/>
    <col min="186" max="188" width="10.54296875" style="4" customWidth="1"/>
    <col min="189" max="189" width="9" style="4" bestFit="1" customWidth="1"/>
    <col min="190" max="190" width="10.54296875" style="4" bestFit="1" customWidth="1"/>
    <col min="191" max="191" width="9.26953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72656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54296875" style="4" bestFit="1" customWidth="1"/>
    <col min="201" max="201" width="14" style="4" customWidth="1"/>
    <col min="202" max="202" width="14.26953125" style="4" customWidth="1"/>
    <col min="203" max="203" width="10.54296875" style="4" bestFit="1" customWidth="1"/>
    <col min="204" max="204" width="9.453125" style="4" bestFit="1" customWidth="1"/>
    <col min="205" max="206" width="10.54296875" style="4" bestFit="1" customWidth="1"/>
    <col min="207" max="209" width="10.54296875" style="4" customWidth="1"/>
    <col min="210" max="210" width="9" style="4" bestFit="1" customWidth="1"/>
    <col min="211" max="211" width="10.54296875" style="4" bestFit="1" customWidth="1"/>
    <col min="212" max="212" width="9.26953125" style="4" bestFit="1" customWidth="1"/>
    <col min="213" max="213" width="11.7265625" style="4" bestFit="1" customWidth="1"/>
    <col min="214" max="214" width="8.453125" style="4" bestFit="1" customWidth="1"/>
    <col min="215" max="215" width="9.453125" style="4" bestFit="1" customWidth="1"/>
    <col min="216" max="216" width="9.72656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Pin maritime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/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/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/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58.5" thickBot="1" x14ac:dyDescent="0.4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256.66666666666669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256.66666666666669</v>
      </c>
      <c r="S3" s="59">
        <f ca="1">AVERAGE(OFFSET($R$3,0,0,'Données projet'!$E$9+1,1))-AVERAGE(OFFSET($H$3,0,0,'Données projet'!$E$9+1,1))</f>
        <v>323.17232038705157</v>
      </c>
      <c r="T3" s="59">
        <f>IF('Données projet'!E9&gt;30,$R$33-$H$33,LOOKUP('Données projet'!$E$9,$A$3:$A$203,R3:R203)-LOOKUP('Données projet'!$E$9,$A$3:$A$203,$H$3:$H$203))</f>
        <v>402.34685738619197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 t="e">
        <f>AI3*VLOOKUP('Données projet'!$B$10,Paramètres!$A$1:$I$89,3,0)*VLOOKUP('Données projet'!$B$10,Paramètres!$A$1:$I$89,5,0)</f>
        <v>#N/A</v>
      </c>
      <c r="AK3" s="12">
        <v>0</v>
      </c>
      <c r="AL3" s="14" t="e">
        <f>(AJ3+AK3)*0.475*44/12</f>
        <v>#N/A</v>
      </c>
      <c r="AM3" s="59" t="e">
        <f>AL3+(AD3+AE3)*44/12</f>
        <v>#N/A</v>
      </c>
      <c r="AN3" s="59" t="e">
        <f ca="1">AVERAGE(OFFSET($AM$3,0,0,'Données projet'!$E$10+1,1))-AVERAGE(OFFSET($H$3,0,0,'Données projet'!$E$10+1,1))</f>
        <v>#N/A</v>
      </c>
      <c r="AO3" s="59" t="e">
        <f>IF('Données projet'!E10&gt;30,$AM$33-$H$33,LOOKUP('Données projet'!$E$10,$A$3:$A$203,AM3:AM203)-LOOKUP('Données projet'!$E$10,$A$3:$A$203,$H$3:$H$203))</f>
        <v>#N/A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67">
        <f t="shared" ref="H4:H67" si="1">(B4+E4+F4)*44/12+(C4+D4)*0.475*44/12</f>
        <v>256.66666666666669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9.4117948717948714</v>
      </c>
      <c r="N4" s="13">
        <f>IF('Données projet'!$A$36&gt;35,N3+M4-V3,IF(A4&lt;'Données projet'!$A$36,$K$205^A4,IF(A4='Données projet'!$A$36,'Données projet'!$B$36,N3+M4-V3)))</f>
        <v>1.3909694153327172</v>
      </c>
      <c r="O4" s="13">
        <f>N4*VLOOKUP('Données projet'!$B$9,Paramètres!$A$1:$I$89,3,0)*VLOOKUP('Données projet'!$B$9,Paramètres!$A$1:$I$89,5,0)</f>
        <v>0.83179971036896505</v>
      </c>
      <c r="P4" s="13">
        <f>EXP(-1.0587+0.8836*LN(O4)+0.284)</f>
        <v>0.39163423183147406</v>
      </c>
      <c r="Q4" s="20">
        <f t="shared" ref="Q4:Q34" si="2">(O4+P4)*0.475*44/12</f>
        <v>2.1308141159990979</v>
      </c>
      <c r="R4" s="59">
        <f t="shared" si="0"/>
        <v>260.01970300488796</v>
      </c>
      <c r="S4" s="59">
        <f ca="1">AVERAGE(OFFSET($R$3,0,0,'Données projet'!$E$9+1,1))-AVERAGE(OFFSET($H$3,0,0,'Données projet'!$E$9+1,1))</f>
        <v>323.17232038705157</v>
      </c>
      <c r="T4" s="59">
        <f>$T$3</f>
        <v>402.34685738619197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0</v>
      </c>
      <c r="AI4" s="13">
        <f>IF('Données projet'!$A$62&gt;35,AI3+AH4-AQ3,IF(A4&lt;'Données projet'!$A$62,$AF$205^A4,IF(A4='Données projet'!$A$62,'Données projet'!$B$62,AI3+AH4-AQ3)))</f>
        <v>0</v>
      </c>
      <c r="AJ4" s="13" t="e">
        <f>AI4*VLOOKUP('Données projet'!$B$10,Paramètres!$A$1:$I$89,3,0)*VLOOKUP('Données projet'!$B$10,Paramètres!$A$1:$I$89,5,0)</f>
        <v>#N/A</v>
      </c>
      <c r="AK4" s="13" t="e">
        <f>EXP(-1.0587+0.8836*LN(AJ4)+0.284)</f>
        <v>#N/A</v>
      </c>
      <c r="AL4" s="20" t="e">
        <f t="shared" ref="AL4:AL67" si="4">(AJ4+AK4)*0.475*44/12</f>
        <v>#N/A</v>
      </c>
      <c r="AM4" s="59" t="e">
        <f t="shared" ref="AM4:AM67" si="5">AL4+(AD4+AE4)*44/12</f>
        <v>#N/A</v>
      </c>
      <c r="AN4" s="59" t="e">
        <f ca="1">AVERAGE(OFFSET($AM$3,0,0,'Données projet'!$E$10+1,1))-AVERAGE(OFFSET($H$3,0,0,'Données projet'!$E$10+1,1))</f>
        <v>#N/A</v>
      </c>
      <c r="AO4" s="59" t="e">
        <f>$AO$3</f>
        <v>#N/A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 t="e">
        <f>EXP(-LN(2)/35)*AU3+(1-EXP(-LN(2)/35))/(LN(2)/35)*AQ4*AR4*VLOOKUP('Données projet'!$B$10,Paramètres!$A$1:$I$89,3,0)*0.475*44/12</f>
        <v>#N/A</v>
      </c>
      <c r="AV4" s="21" t="e">
        <f>EXP(-LN(2)/25)*AV3+(1-EXP(-LN(2)/25))/(LN(2)/25)*Calculateur!AQ4*Calculateur!AS4*VLOOKUP('Données projet'!$B$10,Paramètres!$A$1:$I$89,3,0)*0.475*44/12</f>
        <v>#N/A</v>
      </c>
      <c r="AW4" s="21" t="e">
        <f>EXP(-LN(2)/2)*AW3+(1-EXP(-LN(2)/2))/(LN(2)/2)*AQ4*AT4*VLOOKUP('Données projet'!$B$10,Paramètres!$A$1:$I$89,3,0)*0.475*44/12</f>
        <v>#N/A</v>
      </c>
      <c r="AX4" s="21" t="e">
        <f t="shared" ref="AX4:AX67" si="6">SUM(AU4:AW4)</f>
        <v>#N/A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3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67">
        <f t="shared" si="1"/>
        <v>256.66666666666669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9.4117948717948714</v>
      </c>
      <c r="N5" s="13">
        <f>IF('Données projet'!$A$36&gt;35,N4+M5-V4,IF(A5&lt;'Données projet'!$A$36,$K$205^A5,IF(A5='Données projet'!$A$36,'Données projet'!$B$36,N4+M5-V4)))</f>
        <v>1.9347959143910411</v>
      </c>
      <c r="O5" s="13">
        <f>N5*VLOOKUP('Données projet'!$B$9,Paramètres!$A$1:$I$89,3,0)*VLOOKUP('Données projet'!$B$9,Paramètres!$A$1:$I$89,5,0)</f>
        <v>1.1570079568058427</v>
      </c>
      <c r="P5" s="13">
        <f t="shared" ref="P5:P68" si="33">EXP(-1.0587+0.8836*LN(O5)+0.284)</f>
        <v>0.52422298600197004</v>
      </c>
      <c r="Q5" s="20">
        <f t="shared" si="2"/>
        <v>2.9281438920569403</v>
      </c>
      <c r="R5" s="59">
        <f t="shared" si="0"/>
        <v>262.03925500316808</v>
      </c>
      <c r="S5" s="59">
        <f ca="1">AVERAGE(OFFSET($R$3,0,0,'Données projet'!$E$9+1,1))-AVERAGE(OFFSET($H$3,0,0,'Données projet'!$E$9+1,1))</f>
        <v>323.17232038705157</v>
      </c>
      <c r="T5" s="59">
        <f t="shared" ref="T5:T68" si="34">$T$3</f>
        <v>402.34685738619197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0</v>
      </c>
      <c r="AI5" s="13">
        <f>IF('Données projet'!$A$62&gt;35,AI4+AH5-AQ4,IF(A5&lt;'Données projet'!$A$62,$AF$205^A5,IF(A5='Données projet'!$A$62,'Données projet'!$B$62,AI4+AH5-AQ4)))</f>
        <v>0</v>
      </c>
      <c r="AJ5" s="13" t="e">
        <f>AI5*VLOOKUP('Données projet'!$B$10,Paramètres!$A$1:$I$89,3,0)*VLOOKUP('Données projet'!$B$10,Paramètres!$A$1:$I$89,5,0)</f>
        <v>#N/A</v>
      </c>
      <c r="AK5" s="13" t="e">
        <f t="shared" ref="AK5:AK68" si="35">EXP(-1.0587+0.8836*LN(AJ5)+0.284)</f>
        <v>#N/A</v>
      </c>
      <c r="AL5" s="20" t="e">
        <f t="shared" si="4"/>
        <v>#N/A</v>
      </c>
      <c r="AM5" s="59" t="e">
        <f t="shared" si="5"/>
        <v>#N/A</v>
      </c>
      <c r="AN5" s="59" t="e">
        <f ca="1">AVERAGE(OFFSET($AM$3,0,0,'Données projet'!$E$10+1,1))-AVERAGE(OFFSET($H$3,0,0,'Données projet'!$E$10+1,1))</f>
        <v>#N/A</v>
      </c>
      <c r="AO5" s="59" t="e">
        <f t="shared" ref="AO5:AO68" si="36">$AO$3</f>
        <v>#N/A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 t="e">
        <f>EXP(-LN(2)/35)*AU4+(1-EXP(-LN(2)/35))/(LN(2)/35)*AQ5*AR5*VLOOKUP('Données projet'!$B$10,Paramètres!$A$1:$I$89,3,0)*0.475*44/12</f>
        <v>#N/A</v>
      </c>
      <c r="AV5" s="21" t="e">
        <f>EXP(-LN(2)/25)*AV4+(1-EXP(-LN(2)/25))/(LN(2)/25)*Calculateur!AQ5*Calculateur!AS5*VLOOKUP('Données projet'!$B$10,Paramètres!$A$1:$I$89,3,0)*0.475*44/12</f>
        <v>#N/A</v>
      </c>
      <c r="AW5" s="21" t="e">
        <f>EXP(-LN(2)/2)*AW4+(1-EXP(-LN(2)/2))/(LN(2)/2)*AQ5*AT5*VLOOKUP('Données projet'!$B$10,Paramètres!$A$1:$I$89,3,0)*0.475*44/12</f>
        <v>#N/A</v>
      </c>
      <c r="AX5" s="21" t="e">
        <f t="shared" si="6"/>
        <v>#N/A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67">
        <f t="shared" si="1"/>
        <v>256.66666666666669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9.4117948717948714</v>
      </c>
      <c r="N6" s="13">
        <f>IF('Données projet'!$A$36&gt;35,N5+M6-V5,IF(A6&lt;'Données projet'!$A$36,$K$205^A6,IF(A6='Données projet'!$A$36,'Données projet'!$B$36,N5+M6-V5)))</f>
        <v>2.6912419418286366</v>
      </c>
      <c r="O6" s="13">
        <f>N6*VLOOKUP('Données projet'!$B$9,Paramètres!$A$1:$I$89,3,0)*VLOOKUP('Données projet'!$B$9,Paramètres!$A$1:$I$89,5,0)</f>
        <v>1.6093626812135247</v>
      </c>
      <c r="P6" s="13">
        <f t="shared" si="33"/>
        <v>0.70169999636568137</v>
      </c>
      <c r="Q6" s="20">
        <f t="shared" si="2"/>
        <v>4.0251008301171156</v>
      </c>
      <c r="R6" s="59">
        <f t="shared" si="0"/>
        <v>264.35843416345045</v>
      </c>
      <c r="S6" s="59">
        <f ca="1">AVERAGE(OFFSET($R$3,0,0,'Données projet'!$E$9+1,1))-AVERAGE(OFFSET($H$3,0,0,'Données projet'!$E$9+1,1))</f>
        <v>323.17232038705157</v>
      </c>
      <c r="T6" s="59">
        <f t="shared" si="34"/>
        <v>402.34685738619197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0</v>
      </c>
      <c r="AI6" s="13">
        <f>IF('Données projet'!$A$62&gt;35,AI5+AH6-AQ5,IF(A6&lt;'Données projet'!$A$62,$AF$205^A6,IF(A6='Données projet'!$A$62,'Données projet'!$B$62,AI5+AH6-AQ5)))</f>
        <v>0</v>
      </c>
      <c r="AJ6" s="13" t="e">
        <f>AI6*VLOOKUP('Données projet'!$B$10,Paramètres!$A$1:$I$89,3,0)*VLOOKUP('Données projet'!$B$10,Paramètres!$A$1:$I$89,5,0)</f>
        <v>#N/A</v>
      </c>
      <c r="AK6" s="13" t="e">
        <f t="shared" si="35"/>
        <v>#N/A</v>
      </c>
      <c r="AL6" s="20" t="e">
        <f t="shared" si="4"/>
        <v>#N/A</v>
      </c>
      <c r="AM6" s="59" t="e">
        <f t="shared" si="5"/>
        <v>#N/A</v>
      </c>
      <c r="AN6" s="59" t="e">
        <f ca="1">AVERAGE(OFFSET($AM$3,0,0,'Données projet'!$E$10+1,1))-AVERAGE(OFFSET($H$3,0,0,'Données projet'!$E$10+1,1))</f>
        <v>#N/A</v>
      </c>
      <c r="AO6" s="59" t="e">
        <f t="shared" si="36"/>
        <v>#N/A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 t="e">
        <f>EXP(-LN(2)/35)*AU5+(1-EXP(-LN(2)/35))/(LN(2)/35)*AQ6*AR6*VLOOKUP('Données projet'!$B$10,Paramètres!$A$1:$I$89,3,0)*0.475*44/12</f>
        <v>#N/A</v>
      </c>
      <c r="AV6" s="21" t="e">
        <f>EXP(-LN(2)/25)*AV5+(1-EXP(-LN(2)/25))/(LN(2)/25)*Calculateur!AQ6*Calculateur!AS6*VLOOKUP('Données projet'!$B$10,Paramètres!$A$1:$I$89,3,0)*0.475*44/12</f>
        <v>#N/A</v>
      </c>
      <c r="AW6" s="21" t="e">
        <f>EXP(-LN(2)/2)*AW5+(1-EXP(-LN(2)/2))/(LN(2)/2)*AQ6*AT6*VLOOKUP('Données projet'!$B$10,Paramètres!$A$1:$I$89,3,0)*0.475*44/12</f>
        <v>#N/A</v>
      </c>
      <c r="AX6" s="21" t="e">
        <f t="shared" si="6"/>
        <v>#N/A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67">
        <f t="shared" si="1"/>
        <v>256.66666666666669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9.4117948717948714</v>
      </c>
      <c r="N7" s="13">
        <f>IF('Données projet'!$A$36&gt;35,N6+M7-V6,IF(A7&lt;'Données projet'!$A$36,$K$205^A7,IF(A7='Données projet'!$A$36,'Données projet'!$B$36,N6+M7-V6)))</f>
        <v>3.7434352303442648</v>
      </c>
      <c r="O7" s="13">
        <f>N7*VLOOKUP('Données projet'!$B$9,Paramètres!$A$1:$I$89,3,0)*VLOOKUP('Données projet'!$B$9,Paramètres!$A$1:$I$89,5,0)</f>
        <v>2.2385742677458706</v>
      </c>
      <c r="P7" s="13">
        <f t="shared" si="33"/>
        <v>0.93926229495351976</v>
      </c>
      <c r="Q7" s="20">
        <f t="shared" si="2"/>
        <v>5.5347320133681039</v>
      </c>
      <c r="R7" s="59">
        <f t="shared" si="0"/>
        <v>267.09028756892366</v>
      </c>
      <c r="S7" s="59">
        <f ca="1">AVERAGE(OFFSET($R$3,0,0,'Données projet'!$E$9+1,1))-AVERAGE(OFFSET($H$3,0,0,'Données projet'!$E$9+1,1))</f>
        <v>323.17232038705157</v>
      </c>
      <c r="T7" s="59">
        <f t="shared" si="34"/>
        <v>402.34685738619197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0</v>
      </c>
      <c r="AI7" s="13">
        <f>IF('Données projet'!$A$62&gt;35,AI6+AH7-AQ6,IF(A7&lt;'Données projet'!$A$62,$AF$205^A7,IF(A7='Données projet'!$A$62,'Données projet'!$B$62,AI6+AH7-AQ6)))</f>
        <v>0</v>
      </c>
      <c r="AJ7" s="13" t="e">
        <f>AI7*VLOOKUP('Données projet'!$B$10,Paramètres!$A$1:$I$89,3,0)*VLOOKUP('Données projet'!$B$10,Paramètres!$A$1:$I$89,5,0)</f>
        <v>#N/A</v>
      </c>
      <c r="AK7" s="13" t="e">
        <f t="shared" si="35"/>
        <v>#N/A</v>
      </c>
      <c r="AL7" s="20" t="e">
        <f t="shared" si="4"/>
        <v>#N/A</v>
      </c>
      <c r="AM7" s="59" t="e">
        <f t="shared" si="5"/>
        <v>#N/A</v>
      </c>
      <c r="AN7" s="59" t="e">
        <f ca="1">AVERAGE(OFFSET($AM$3,0,0,'Données projet'!$E$10+1,1))-AVERAGE(OFFSET($H$3,0,0,'Données projet'!$E$10+1,1))</f>
        <v>#N/A</v>
      </c>
      <c r="AO7" s="59" t="e">
        <f t="shared" si="36"/>
        <v>#N/A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 t="e">
        <f>EXP(-LN(2)/35)*AU6+(1-EXP(-LN(2)/35))/(LN(2)/35)*AQ7*AR7*VLOOKUP('Données projet'!$B$10,Paramètres!$A$1:$I$89,3,0)*0.475*44/12</f>
        <v>#N/A</v>
      </c>
      <c r="AV7" s="21" t="e">
        <f>EXP(-LN(2)/25)*AV6+(1-EXP(-LN(2)/25))/(LN(2)/25)*Calculateur!AQ7*Calculateur!AS7*VLOOKUP('Données projet'!$B$10,Paramètres!$A$1:$I$89,3,0)*0.475*44/12</f>
        <v>#N/A</v>
      </c>
      <c r="AW7" s="21" t="e">
        <f>EXP(-LN(2)/2)*AW6+(1-EXP(-LN(2)/2))/(LN(2)/2)*AQ7*AT7*VLOOKUP('Données projet'!$B$10,Paramètres!$A$1:$I$89,3,0)*0.475*44/12</f>
        <v>#N/A</v>
      </c>
      <c r="AX7" s="21" t="e">
        <f t="shared" si="6"/>
        <v>#N/A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67">
        <f t="shared" si="1"/>
        <v>256.66666666666669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9.4117948717948714</v>
      </c>
      <c r="N8" s="13">
        <f>IF('Données projet'!$A$36&gt;35,N7+M8-V7,IF(A8&lt;'Données projet'!$A$36,$K$205^A8,IF(A8='Données projet'!$A$36,'Données projet'!$B$36,N7+M8-V7)))</f>
        <v>5.2070039136878581</v>
      </c>
      <c r="O8" s="13">
        <f>N8*VLOOKUP('Données projet'!$B$9,Paramètres!$A$1:$I$89,3,0)*VLOOKUP('Données projet'!$B$9,Paramètres!$A$1:$I$89,5,0)</f>
        <v>3.1137883403853395</v>
      </c>
      <c r="P8" s="13">
        <f t="shared" si="33"/>
        <v>1.2572519072119237</v>
      </c>
      <c r="Q8" s="20">
        <f t="shared" si="2"/>
        <v>7.6128950978985666</v>
      </c>
      <c r="R8" s="59">
        <f t="shared" si="0"/>
        <v>270.39067287567633</v>
      </c>
      <c r="S8" s="59">
        <f ca="1">AVERAGE(OFFSET($R$3,0,0,'Données projet'!$E$9+1,1))-AVERAGE(OFFSET($H$3,0,0,'Données projet'!$E$9+1,1))</f>
        <v>323.17232038705157</v>
      </c>
      <c r="T8" s="59">
        <f t="shared" si="34"/>
        <v>402.34685738619197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0</v>
      </c>
      <c r="AI8" s="13">
        <f>IF('Données projet'!$A$62&gt;35,AI7+AH8-AQ7,IF(A8&lt;'Données projet'!$A$62,$AF$205^A8,IF(A8='Données projet'!$A$62,'Données projet'!$B$62,AI7+AH8-AQ7)))</f>
        <v>0</v>
      </c>
      <c r="AJ8" s="13" t="e">
        <f>AI8*VLOOKUP('Données projet'!$B$10,Paramètres!$A$1:$I$89,3,0)*VLOOKUP('Données projet'!$B$10,Paramètres!$A$1:$I$89,5,0)</f>
        <v>#N/A</v>
      </c>
      <c r="AK8" s="13" t="e">
        <f t="shared" si="35"/>
        <v>#N/A</v>
      </c>
      <c r="AL8" s="20" t="e">
        <f t="shared" si="4"/>
        <v>#N/A</v>
      </c>
      <c r="AM8" s="59" t="e">
        <f t="shared" si="5"/>
        <v>#N/A</v>
      </c>
      <c r="AN8" s="59" t="e">
        <f ca="1">AVERAGE(OFFSET($AM$3,0,0,'Données projet'!$E$10+1,1))-AVERAGE(OFFSET($H$3,0,0,'Données projet'!$E$10+1,1))</f>
        <v>#N/A</v>
      </c>
      <c r="AO8" s="59" t="e">
        <f t="shared" si="36"/>
        <v>#N/A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 t="e">
        <f>EXP(-LN(2)/35)*AU7+(1-EXP(-LN(2)/35))/(LN(2)/35)*AQ8*AR8*VLOOKUP('Données projet'!$B$10,Paramètres!$A$1:$I$89,3,0)*0.475*44/12</f>
        <v>#N/A</v>
      </c>
      <c r="AV8" s="21" t="e">
        <f>EXP(-LN(2)/25)*AV7+(1-EXP(-LN(2)/25))/(LN(2)/25)*Calculateur!AQ8*Calculateur!AS8*VLOOKUP('Données projet'!$B$10,Paramètres!$A$1:$I$89,3,0)*0.475*44/12</f>
        <v>#N/A</v>
      </c>
      <c r="AW8" s="21" t="e">
        <f>EXP(-LN(2)/2)*AW7+(1-EXP(-LN(2)/2))/(LN(2)/2)*AQ8*AT8*VLOOKUP('Données projet'!$B$10,Paramètres!$A$1:$I$89,3,0)*0.475*44/12</f>
        <v>#N/A</v>
      </c>
      <c r="AX8" s="21" t="e">
        <f t="shared" si="6"/>
        <v>#N/A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67">
        <f t="shared" si="1"/>
        <v>256.66666666666669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9.4117948717948714</v>
      </c>
      <c r="N9" s="13">
        <f>IF('Données projet'!$A$36&gt;35,N8+M9-V8,IF(A9&lt;'Données projet'!$A$36,$K$205^A9,IF(A9='Données projet'!$A$36,'Données projet'!$B$36,N8+M9-V8)))</f>
        <v>7.2427831894575698</v>
      </c>
      <c r="O9" s="13">
        <f>N9*VLOOKUP('Données projet'!$B$9,Paramètres!$A$1:$I$89,3,0)*VLOOKUP('Données projet'!$B$9,Paramètres!$A$1:$I$89,5,0)</f>
        <v>4.3311843472956273</v>
      </c>
      <c r="P9" s="13">
        <f t="shared" si="33"/>
        <v>1.6828977024636564</v>
      </c>
      <c r="Q9" s="20">
        <f t="shared" si="2"/>
        <v>10.474526236664085</v>
      </c>
      <c r="R9" s="59">
        <f t="shared" si="0"/>
        <v>274.47452623666408</v>
      </c>
      <c r="S9" s="59">
        <f ca="1">AVERAGE(OFFSET($R$3,0,0,'Données projet'!$E$9+1,1))-AVERAGE(OFFSET($H$3,0,0,'Données projet'!$E$9+1,1))</f>
        <v>323.17232038705157</v>
      </c>
      <c r="T9" s="59">
        <f t="shared" si="34"/>
        <v>402.34685738619197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0</v>
      </c>
      <c r="AI9" s="13">
        <f>IF('Données projet'!$A$62&gt;35,AI8+AH9-AQ8,IF(A9&lt;'Données projet'!$A$62,$AF$205^A9,IF(A9='Données projet'!$A$62,'Données projet'!$B$62,AI8+AH9-AQ8)))</f>
        <v>0</v>
      </c>
      <c r="AJ9" s="13" t="e">
        <f>AI9*VLOOKUP('Données projet'!$B$10,Paramètres!$A$1:$I$89,3,0)*VLOOKUP('Données projet'!$B$10,Paramètres!$A$1:$I$89,5,0)</f>
        <v>#N/A</v>
      </c>
      <c r="AK9" s="13" t="e">
        <f t="shared" si="35"/>
        <v>#N/A</v>
      </c>
      <c r="AL9" s="20" t="e">
        <f t="shared" si="4"/>
        <v>#N/A</v>
      </c>
      <c r="AM9" s="59" t="e">
        <f t="shared" si="5"/>
        <v>#N/A</v>
      </c>
      <c r="AN9" s="59" t="e">
        <f ca="1">AVERAGE(OFFSET($AM$3,0,0,'Données projet'!$E$10+1,1))-AVERAGE(OFFSET($H$3,0,0,'Données projet'!$E$10+1,1))</f>
        <v>#N/A</v>
      </c>
      <c r="AO9" s="59" t="e">
        <f t="shared" si="36"/>
        <v>#N/A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 t="e">
        <f>EXP(-LN(2)/35)*AU8+(1-EXP(-LN(2)/35))/(LN(2)/35)*AQ9*AR9*VLOOKUP('Données projet'!$B$10,Paramètres!$A$1:$I$89,3,0)*0.475*44/12</f>
        <v>#N/A</v>
      </c>
      <c r="AV9" s="21" t="e">
        <f>EXP(-LN(2)/25)*AV8+(1-EXP(-LN(2)/25))/(LN(2)/25)*Calculateur!AQ9*Calculateur!AS9*VLOOKUP('Données projet'!$B$10,Paramètres!$A$1:$I$89,3,0)*0.475*44/12</f>
        <v>#N/A</v>
      </c>
      <c r="AW9" s="21" t="e">
        <f>EXP(-LN(2)/2)*AW8+(1-EXP(-LN(2)/2))/(LN(2)/2)*AQ9*AT9*VLOOKUP('Données projet'!$B$10,Paramètres!$A$1:$I$89,3,0)*0.475*44/12</f>
        <v>#N/A</v>
      </c>
      <c r="AX9" s="21" t="e">
        <f t="shared" si="6"/>
        <v>#N/A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67">
        <f t="shared" si="1"/>
        <v>256.66666666666669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9.4117948717948714</v>
      </c>
      <c r="N10" s="13">
        <f>IF('Données projet'!$A$36&gt;35,N9+M10-V9,IF(A10&lt;'Données projet'!$A$36,$K$205^A10,IF(A10='Données projet'!$A$36,'Données projet'!$B$36,N9+M10-V9)))</f>
        <v>10.07448989842143</v>
      </c>
      <c r="O10" s="13">
        <f>N10*VLOOKUP('Données projet'!$B$9,Paramètres!$A$1:$I$89,3,0)*VLOOKUP('Données projet'!$B$9,Paramètres!$A$1:$I$89,5,0)</f>
        <v>6.0245449592560147</v>
      </c>
      <c r="P10" s="13">
        <f t="shared" si="33"/>
        <v>2.2526469522229675</v>
      </c>
      <c r="Q10" s="20">
        <f t="shared" si="2"/>
        <v>14.416109245825893</v>
      </c>
      <c r="R10" s="59">
        <f t="shared" si="0"/>
        <v>279.63833146804814</v>
      </c>
      <c r="S10" s="59">
        <f ca="1">AVERAGE(OFFSET($R$3,0,0,'Données projet'!$E$9+1,1))-AVERAGE(OFFSET($H$3,0,0,'Données projet'!$E$9+1,1))</f>
        <v>323.17232038705157</v>
      </c>
      <c r="T10" s="59">
        <f t="shared" si="34"/>
        <v>402.34685738619197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0</v>
      </c>
      <c r="AI10" s="13">
        <f>IF('Données projet'!$A$62&gt;35,AI9+AH10-AQ9,IF(A10&lt;'Données projet'!$A$62,$AF$205^A10,IF(A10='Données projet'!$A$62,'Données projet'!$B$62,AI9+AH10-AQ9)))</f>
        <v>0</v>
      </c>
      <c r="AJ10" s="13" t="e">
        <f>AI10*VLOOKUP('Données projet'!$B$10,Paramètres!$A$1:$I$89,3,0)*VLOOKUP('Données projet'!$B$10,Paramètres!$A$1:$I$89,5,0)</f>
        <v>#N/A</v>
      </c>
      <c r="AK10" s="13" t="e">
        <f t="shared" si="35"/>
        <v>#N/A</v>
      </c>
      <c r="AL10" s="20" t="e">
        <f t="shared" si="4"/>
        <v>#N/A</v>
      </c>
      <c r="AM10" s="59" t="e">
        <f t="shared" si="5"/>
        <v>#N/A</v>
      </c>
      <c r="AN10" s="59" t="e">
        <f ca="1">AVERAGE(OFFSET($AM$3,0,0,'Données projet'!$E$10+1,1))-AVERAGE(OFFSET($H$3,0,0,'Données projet'!$E$10+1,1))</f>
        <v>#N/A</v>
      </c>
      <c r="AO10" s="59" t="e">
        <f t="shared" si="36"/>
        <v>#N/A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 t="e">
        <f>EXP(-LN(2)/35)*AU9+(1-EXP(-LN(2)/35))/(LN(2)/35)*AQ10*AR10*VLOOKUP('Données projet'!$B$10,Paramètres!$A$1:$I$89,3,0)*0.475*44/12</f>
        <v>#N/A</v>
      </c>
      <c r="AV10" s="21" t="e">
        <f>EXP(-LN(2)/25)*AV9+(1-EXP(-LN(2)/25))/(LN(2)/25)*Calculateur!AQ10*Calculateur!AS10*VLOOKUP('Données projet'!$B$10,Paramètres!$A$1:$I$89,3,0)*0.475*44/12</f>
        <v>#N/A</v>
      </c>
      <c r="AW10" s="21" t="e">
        <f>EXP(-LN(2)/2)*AW9+(1-EXP(-LN(2)/2))/(LN(2)/2)*AQ10*AT10*VLOOKUP('Données projet'!$B$10,Paramètres!$A$1:$I$89,3,0)*0.475*44/12</f>
        <v>#N/A</v>
      </c>
      <c r="AX10" s="21" t="e">
        <f t="shared" si="6"/>
        <v>#N/A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67">
        <f t="shared" si="1"/>
        <v>256.66666666666669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9.4117948717948714</v>
      </c>
      <c r="N11" s="13">
        <f>IF('Données projet'!$A$36&gt;35,N10+M11-V10,IF(A11&lt;'Données projet'!$A$36,$K$205^A11,IF(A11='Données projet'!$A$36,'Données projet'!$B$36,N10+M11-V10)))</f>
        <v>14.01330732378262</v>
      </c>
      <c r="O11" s="13">
        <f>N11*VLOOKUP('Données projet'!$B$9,Paramètres!$A$1:$I$89,3,0)*VLOOKUP('Données projet'!$B$9,Paramètres!$A$1:$I$89,5,0)</f>
        <v>8.3799577796220071</v>
      </c>
      <c r="P11" s="13">
        <f t="shared" si="33"/>
        <v>3.0152862434423646</v>
      </c>
      <c r="Q11" s="20">
        <f t="shared" si="2"/>
        <v>19.846716673503781</v>
      </c>
      <c r="R11" s="59">
        <f t="shared" si="0"/>
        <v>286.29116111794826</v>
      </c>
      <c r="S11" s="59">
        <f ca="1">AVERAGE(OFFSET($R$3,0,0,'Données projet'!$E$9+1,1))-AVERAGE(OFFSET($H$3,0,0,'Données projet'!$E$9+1,1))</f>
        <v>323.17232038705157</v>
      </c>
      <c r="T11" s="59">
        <f t="shared" si="34"/>
        <v>402.34685738619197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0</v>
      </c>
      <c r="AI11" s="13">
        <f>IF('Données projet'!$A$62&gt;35,AI10+AH11-AQ10,IF(A11&lt;'Données projet'!$A$62,$AF$205^A11,IF(A11='Données projet'!$A$62,'Données projet'!$B$62,AI10+AH11-AQ10)))</f>
        <v>0</v>
      </c>
      <c r="AJ11" s="13" t="e">
        <f>AI11*VLOOKUP('Données projet'!$B$10,Paramètres!$A$1:$I$89,3,0)*VLOOKUP('Données projet'!$B$10,Paramètres!$A$1:$I$89,5,0)</f>
        <v>#N/A</v>
      </c>
      <c r="AK11" s="13" t="e">
        <f t="shared" si="35"/>
        <v>#N/A</v>
      </c>
      <c r="AL11" s="20" t="e">
        <f t="shared" si="4"/>
        <v>#N/A</v>
      </c>
      <c r="AM11" s="59" t="e">
        <f t="shared" si="5"/>
        <v>#N/A</v>
      </c>
      <c r="AN11" s="59" t="e">
        <f ca="1">AVERAGE(OFFSET($AM$3,0,0,'Données projet'!$E$10+1,1))-AVERAGE(OFFSET($H$3,0,0,'Données projet'!$E$10+1,1))</f>
        <v>#N/A</v>
      </c>
      <c r="AO11" s="59" t="e">
        <f t="shared" si="36"/>
        <v>#N/A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 t="e">
        <f>EXP(-LN(2)/35)*AU10+(1-EXP(-LN(2)/35))/(LN(2)/35)*AQ11*AR11*VLOOKUP('Données projet'!$B$10,Paramètres!$A$1:$I$89,3,0)*0.475*44/12</f>
        <v>#N/A</v>
      </c>
      <c r="AV11" s="21" t="e">
        <f>EXP(-LN(2)/25)*AV10+(1-EXP(-LN(2)/25))/(LN(2)/25)*Calculateur!AQ11*Calculateur!AS11*VLOOKUP('Données projet'!$B$10,Paramètres!$A$1:$I$89,3,0)*0.475*44/12</f>
        <v>#N/A</v>
      </c>
      <c r="AW11" s="21" t="e">
        <f>EXP(-LN(2)/2)*AW10+(1-EXP(-LN(2)/2))/(LN(2)/2)*AQ11*AT11*VLOOKUP('Données projet'!$B$10,Paramètres!$A$1:$I$89,3,0)*0.475*44/12</f>
        <v>#N/A</v>
      </c>
      <c r="AX11" s="21" t="e">
        <f t="shared" si="6"/>
        <v>#N/A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67">
        <f t="shared" si="1"/>
        <v>256.66666666666669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9.4117948717948714</v>
      </c>
      <c r="N12" s="13">
        <f>IF('Données projet'!$A$36&gt;35,N11+M12-V11,IF(A12&lt;'Données projet'!$A$36,$K$205^A12,IF(A12='Données projet'!$A$36,'Données projet'!$B$36,N11+M12-V11)))</f>
        <v>19.492081895039593</v>
      </c>
      <c r="O12" s="13">
        <f>N12*VLOOKUP('Données projet'!$B$9,Paramètres!$A$1:$I$89,3,0)*VLOOKUP('Données projet'!$B$9,Paramètres!$A$1:$I$89,5,0)</f>
        <v>11.656264973233679</v>
      </c>
      <c r="P12" s="13">
        <f t="shared" si="33"/>
        <v>4.0361189847883647</v>
      </c>
      <c r="Q12" s="20">
        <f t="shared" si="2"/>
        <v>27.330902060221728</v>
      </c>
      <c r="R12" s="59">
        <f t="shared" si="0"/>
        <v>294.9975687268884</v>
      </c>
      <c r="S12" s="59">
        <f ca="1">AVERAGE(OFFSET($R$3,0,0,'Données projet'!$E$9+1,1))-AVERAGE(OFFSET($H$3,0,0,'Données projet'!$E$9+1,1))</f>
        <v>323.17232038705157</v>
      </c>
      <c r="T12" s="59">
        <f t="shared" si="34"/>
        <v>402.34685738619197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0</v>
      </c>
      <c r="AI12" s="13">
        <f>IF('Données projet'!$A$62&gt;35,AI11+AH12-AQ11,IF(A12&lt;'Données projet'!$A$62,$AF$205^A12,IF(A12='Données projet'!$A$62,'Données projet'!$B$62,AI11+AH12-AQ11)))</f>
        <v>0</v>
      </c>
      <c r="AJ12" s="13" t="e">
        <f>AI12*VLOOKUP('Données projet'!$B$10,Paramètres!$A$1:$I$89,3,0)*VLOOKUP('Données projet'!$B$10,Paramètres!$A$1:$I$89,5,0)</f>
        <v>#N/A</v>
      </c>
      <c r="AK12" s="13" t="e">
        <f t="shared" si="35"/>
        <v>#N/A</v>
      </c>
      <c r="AL12" s="20" t="e">
        <f t="shared" si="4"/>
        <v>#N/A</v>
      </c>
      <c r="AM12" s="59" t="e">
        <f t="shared" si="5"/>
        <v>#N/A</v>
      </c>
      <c r="AN12" s="59" t="e">
        <f ca="1">AVERAGE(OFFSET($AM$3,0,0,'Données projet'!$E$10+1,1))-AVERAGE(OFFSET($H$3,0,0,'Données projet'!$E$10+1,1))</f>
        <v>#N/A</v>
      </c>
      <c r="AO12" s="59" t="e">
        <f t="shared" si="36"/>
        <v>#N/A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 t="e">
        <f>EXP(-LN(2)/35)*AU11+(1-EXP(-LN(2)/35))/(LN(2)/35)*AQ12*AR12*VLOOKUP('Données projet'!$B$10,Paramètres!$A$1:$I$89,3,0)*0.475*44/12</f>
        <v>#N/A</v>
      </c>
      <c r="AV12" s="21" t="e">
        <f>EXP(-LN(2)/25)*AV11+(1-EXP(-LN(2)/25))/(LN(2)/25)*Calculateur!AQ12*Calculateur!AS12*VLOOKUP('Données projet'!$B$10,Paramètres!$A$1:$I$89,3,0)*0.475*44/12</f>
        <v>#N/A</v>
      </c>
      <c r="AW12" s="21" t="e">
        <f>EXP(-LN(2)/2)*AW11+(1-EXP(-LN(2)/2))/(LN(2)/2)*AQ12*AT12*VLOOKUP('Données projet'!$B$10,Paramètres!$A$1:$I$89,3,0)*0.475*44/12</f>
        <v>#N/A</v>
      </c>
      <c r="AX12" s="21" t="e">
        <f t="shared" si="6"/>
        <v>#N/A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67">
        <f t="shared" si="1"/>
        <v>256.66666666666669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9.4117948717948714</v>
      </c>
      <c r="N13" s="13">
        <f>IF('Données projet'!$A$36&gt;35,N12+M13-V12,IF(A13&lt;'Données projet'!$A$36,$K$205^A13,IF(A13='Données projet'!$A$36,'Données projet'!$B$36,N12+M13-V12)))</f>
        <v>27.112889757160666</v>
      </c>
      <c r="O13" s="13">
        <f>N13*VLOOKUP('Données projet'!$B$9,Paramètres!$A$1:$I$89,3,0)*VLOOKUP('Données projet'!$B$9,Paramètres!$A$1:$I$89,5,0)</f>
        <v>16.21350807478208</v>
      </c>
      <c r="P13" s="13">
        <f t="shared" si="33"/>
        <v>5.4025572181735821</v>
      </c>
      <c r="Q13" s="20">
        <f t="shared" si="2"/>
        <v>37.647980385231108</v>
      </c>
      <c r="R13" s="59">
        <f t="shared" si="0"/>
        <v>306.53686927411997</v>
      </c>
      <c r="S13" s="59">
        <f ca="1">AVERAGE(OFFSET($R$3,0,0,'Données projet'!$E$9+1,1))-AVERAGE(OFFSET($H$3,0,0,'Données projet'!$E$9+1,1))</f>
        <v>323.17232038705157</v>
      </c>
      <c r="T13" s="59">
        <f t="shared" si="34"/>
        <v>402.34685738619197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0</v>
      </c>
      <c r="AI13" s="13">
        <f>IF('Données projet'!$A$62&gt;35,AI12+AH13-AQ12,IF(A13&lt;'Données projet'!$A$62,$AF$205^A13,IF(A13='Données projet'!$A$62,'Données projet'!$B$62,AI12+AH13-AQ12)))</f>
        <v>0</v>
      </c>
      <c r="AJ13" s="13" t="e">
        <f>AI13*VLOOKUP('Données projet'!$B$10,Paramètres!$A$1:$I$89,3,0)*VLOOKUP('Données projet'!$B$10,Paramètres!$A$1:$I$89,5,0)</f>
        <v>#N/A</v>
      </c>
      <c r="AK13" s="13" t="e">
        <f t="shared" si="35"/>
        <v>#N/A</v>
      </c>
      <c r="AL13" s="20" t="e">
        <f t="shared" si="4"/>
        <v>#N/A</v>
      </c>
      <c r="AM13" s="59" t="e">
        <f t="shared" si="5"/>
        <v>#N/A</v>
      </c>
      <c r="AN13" s="59" t="e">
        <f ca="1">AVERAGE(OFFSET($AM$3,0,0,'Données projet'!$E$10+1,1))-AVERAGE(OFFSET($H$3,0,0,'Données projet'!$E$10+1,1))</f>
        <v>#N/A</v>
      </c>
      <c r="AO13" s="59" t="e">
        <f t="shared" si="36"/>
        <v>#N/A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 t="e">
        <f>EXP(-LN(2)/35)*AU12+(1-EXP(-LN(2)/35))/(LN(2)/35)*AQ13*AR13*VLOOKUP('Données projet'!$B$10,Paramètres!$A$1:$I$89,3,0)*0.475*44/12</f>
        <v>#N/A</v>
      </c>
      <c r="AV13" s="21" t="e">
        <f>EXP(-LN(2)/25)*AV12+(1-EXP(-LN(2)/25))/(LN(2)/25)*Calculateur!AQ13*Calculateur!AS13*VLOOKUP('Données projet'!$B$10,Paramètres!$A$1:$I$89,3,0)*0.475*44/12</f>
        <v>#N/A</v>
      </c>
      <c r="AW13" s="21" t="e">
        <f>EXP(-LN(2)/2)*AW12+(1-EXP(-LN(2)/2))/(LN(2)/2)*AQ13*AT13*VLOOKUP('Données projet'!$B$10,Paramètres!$A$1:$I$89,3,0)*0.475*44/12</f>
        <v>#N/A</v>
      </c>
      <c r="AX13" s="21" t="e">
        <f t="shared" si="6"/>
        <v>#N/A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67">
        <f t="shared" si="1"/>
        <v>256.66666666666669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9.4117948717948714</v>
      </c>
      <c r="N14" s="13">
        <f>IF('Données projet'!$A$36&gt;35,N13+M14-V13,IF(A14&lt;'Données projet'!$A$36,$K$205^A14,IF(A14='Données projet'!$A$36,'Données projet'!$B$36,N13+M14-V13)))</f>
        <v>37.713200413498193</v>
      </c>
      <c r="O14" s="13">
        <f>N14*VLOOKUP('Données projet'!$B$9,Paramètres!$A$1:$I$89,3,0)*VLOOKUP('Données projet'!$B$9,Paramètres!$A$1:$I$89,5,0)</f>
        <v>22.552493847271922</v>
      </c>
      <c r="P14" s="13">
        <f t="shared" si="33"/>
        <v>7.2316065521467667</v>
      </c>
      <c r="Q14" s="20">
        <f t="shared" si="2"/>
        <v>51.873974862320885</v>
      </c>
      <c r="R14" s="59">
        <f t="shared" si="0"/>
        <v>321.98508597343204</v>
      </c>
      <c r="S14" s="59">
        <f ca="1">AVERAGE(OFFSET($R$3,0,0,'Données projet'!$E$9+1,1))-AVERAGE(OFFSET($H$3,0,0,'Données projet'!$E$9+1,1))</f>
        <v>323.17232038705157</v>
      </c>
      <c r="T14" s="59">
        <f t="shared" si="34"/>
        <v>402.34685738619197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0</v>
      </c>
      <c r="AI14" s="13">
        <f>IF('Données projet'!$A$62&gt;35,AI13+AH14-AQ13,IF(A14&lt;'Données projet'!$A$62,$AF$205^A14,IF(A14='Données projet'!$A$62,'Données projet'!$B$62,AI13+AH14-AQ13)))</f>
        <v>0</v>
      </c>
      <c r="AJ14" s="13" t="e">
        <f>AI14*VLOOKUP('Données projet'!$B$10,Paramètres!$A$1:$I$89,3,0)*VLOOKUP('Données projet'!$B$10,Paramètres!$A$1:$I$89,5,0)</f>
        <v>#N/A</v>
      </c>
      <c r="AK14" s="13" t="e">
        <f t="shared" si="35"/>
        <v>#N/A</v>
      </c>
      <c r="AL14" s="20" t="e">
        <f t="shared" si="4"/>
        <v>#N/A</v>
      </c>
      <c r="AM14" s="59" t="e">
        <f t="shared" si="5"/>
        <v>#N/A</v>
      </c>
      <c r="AN14" s="59" t="e">
        <f ca="1">AVERAGE(OFFSET($AM$3,0,0,'Données projet'!$E$10+1,1))-AVERAGE(OFFSET($H$3,0,0,'Données projet'!$E$10+1,1))</f>
        <v>#N/A</v>
      </c>
      <c r="AO14" s="59" t="e">
        <f t="shared" si="36"/>
        <v>#N/A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 t="e">
        <f>EXP(-LN(2)/35)*AU13+(1-EXP(-LN(2)/35))/(LN(2)/35)*AQ14*AR14*VLOOKUP('Données projet'!$B$10,Paramètres!$A$1:$I$89,3,0)*0.475*44/12</f>
        <v>#N/A</v>
      </c>
      <c r="AV14" s="21" t="e">
        <f>EXP(-LN(2)/25)*AV13+(1-EXP(-LN(2)/25))/(LN(2)/25)*Calculateur!AQ14*Calculateur!AS14*VLOOKUP('Données projet'!$B$10,Paramètres!$A$1:$I$89,3,0)*0.475*44/12</f>
        <v>#N/A</v>
      </c>
      <c r="AW14" s="21" t="e">
        <f>EXP(-LN(2)/2)*AW13+(1-EXP(-LN(2)/2))/(LN(2)/2)*AQ14*AT14*VLOOKUP('Données projet'!$B$10,Paramètres!$A$1:$I$89,3,0)*0.475*44/12</f>
        <v>#N/A</v>
      </c>
      <c r="AX14" s="21" t="e">
        <f t="shared" si="6"/>
        <v>#N/A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67">
        <f t="shared" si="1"/>
        <v>256.66666666666669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9.4117948717948714</v>
      </c>
      <c r="N15" s="13">
        <f>IF('Données projet'!$A$36&gt;35,N14+M15-V14,IF(A15&lt;'Données projet'!$A$36,$K$205^A15,IF(A15='Données projet'!$A$36,'Données projet'!$B$36,N14+M15-V14)))</f>
        <v>52.457908329489165</v>
      </c>
      <c r="O15" s="13">
        <f>N15*VLOOKUP('Données projet'!$B$9,Paramètres!$A$1:$I$89,3,0)*VLOOKUP('Données projet'!$B$9,Paramètres!$A$1:$I$89,5,0)</f>
        <v>31.369829181034525</v>
      </c>
      <c r="P15" s="13">
        <f t="shared" si="33"/>
        <v>9.6798851383070676</v>
      </c>
      <c r="Q15" s="20">
        <f t="shared" si="2"/>
        <v>71.4949191061866</v>
      </c>
      <c r="R15" s="59">
        <f t="shared" si="0"/>
        <v>342.82825243951993</v>
      </c>
      <c r="S15" s="59">
        <f ca="1">AVERAGE(OFFSET($R$3,0,0,'Données projet'!$E$9+1,1))-AVERAGE(OFFSET($H$3,0,0,'Données projet'!$E$9+1,1))</f>
        <v>323.17232038705157</v>
      </c>
      <c r="T15" s="59">
        <f t="shared" si="34"/>
        <v>402.34685738619197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0</v>
      </c>
      <c r="AI15" s="13">
        <f>IF('Données projet'!$A$62&gt;35,AI14+AH15-AQ14,IF(A15&lt;'Données projet'!$A$62,$AF$205^A15,IF(A15='Données projet'!$A$62,'Données projet'!$B$62,AI14+AH15-AQ14)))</f>
        <v>0</v>
      </c>
      <c r="AJ15" s="13" t="e">
        <f>AI15*VLOOKUP('Données projet'!$B$10,Paramètres!$A$1:$I$89,3,0)*VLOOKUP('Données projet'!$B$10,Paramètres!$A$1:$I$89,5,0)</f>
        <v>#N/A</v>
      </c>
      <c r="AK15" s="13" t="e">
        <f t="shared" si="35"/>
        <v>#N/A</v>
      </c>
      <c r="AL15" s="20" t="e">
        <f t="shared" si="4"/>
        <v>#N/A</v>
      </c>
      <c r="AM15" s="59" t="e">
        <f t="shared" si="5"/>
        <v>#N/A</v>
      </c>
      <c r="AN15" s="59" t="e">
        <f ca="1">AVERAGE(OFFSET($AM$3,0,0,'Données projet'!$E$10+1,1))-AVERAGE(OFFSET($H$3,0,0,'Données projet'!$E$10+1,1))</f>
        <v>#N/A</v>
      </c>
      <c r="AO15" s="59" t="e">
        <f t="shared" si="36"/>
        <v>#N/A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 t="e">
        <f>EXP(-LN(2)/35)*AU14+(1-EXP(-LN(2)/35))/(LN(2)/35)*AQ15*AR15*VLOOKUP('Données projet'!$B$10,Paramètres!$A$1:$I$89,3,0)*0.475*44/12</f>
        <v>#N/A</v>
      </c>
      <c r="AV15" s="21" t="e">
        <f>EXP(-LN(2)/25)*AV14+(1-EXP(-LN(2)/25))/(LN(2)/25)*Calculateur!AQ15*Calculateur!AS15*VLOOKUP('Données projet'!$B$10,Paramètres!$A$1:$I$89,3,0)*0.475*44/12</f>
        <v>#N/A</v>
      </c>
      <c r="AW15" s="21" t="e">
        <f>EXP(-LN(2)/2)*AW14+(1-EXP(-LN(2)/2))/(LN(2)/2)*AQ15*AT15*VLOOKUP('Données projet'!$B$10,Paramètres!$A$1:$I$89,3,0)*0.475*44/12</f>
        <v>#N/A</v>
      </c>
      <c r="AX15" s="21" t="e">
        <f t="shared" si="6"/>
        <v>#N/A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67">
        <f t="shared" si="1"/>
        <v>256.66666666666669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9.4117948717948714</v>
      </c>
      <c r="N16" s="13">
        <f>IF('Données projet'!$A$36&gt;35,N15+M16-V15,IF(A16&lt;'Données projet'!$A$36,$K$205^A16,IF(A16='Données projet'!$A$36,'Données projet'!$B$36,N15+M16-V15)))</f>
        <v>72.967346078646827</v>
      </c>
      <c r="O16" s="13">
        <f>N16*VLOOKUP('Données projet'!$B$9,Paramètres!$A$1:$I$89,3,0)*VLOOKUP('Données projet'!$B$9,Paramètres!$A$1:$I$89,5,0)</f>
        <v>43.634472955030802</v>
      </c>
      <c r="P16" s="13">
        <f t="shared" si="33"/>
        <v>12.957034597381723</v>
      </c>
      <c r="Q16" s="20">
        <f t="shared" si="2"/>
        <v>98.563542320451802</v>
      </c>
      <c r="R16" s="59">
        <f t="shared" si="0"/>
        <v>371.11909787600734</v>
      </c>
      <c r="S16" s="59">
        <f ca="1">AVERAGE(OFFSET($R$3,0,0,'Données projet'!$E$9+1,1))-AVERAGE(OFFSET($H$3,0,0,'Données projet'!$E$9+1,1))</f>
        <v>323.17232038705157</v>
      </c>
      <c r="T16" s="59">
        <f t="shared" si="34"/>
        <v>402.34685738619197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0</v>
      </c>
      <c r="AI16" s="13">
        <f>IF('Données projet'!$A$62&gt;35,AI15+AH16-AQ15,IF(A16&lt;'Données projet'!$A$62,$AF$205^A16,IF(A16='Données projet'!$A$62,'Données projet'!$B$62,AI15+AH16-AQ15)))</f>
        <v>0</v>
      </c>
      <c r="AJ16" s="13" t="e">
        <f>AI16*VLOOKUP('Données projet'!$B$10,Paramètres!$A$1:$I$89,3,0)*VLOOKUP('Données projet'!$B$10,Paramètres!$A$1:$I$89,5,0)</f>
        <v>#N/A</v>
      </c>
      <c r="AK16" s="13" t="e">
        <f t="shared" si="35"/>
        <v>#N/A</v>
      </c>
      <c r="AL16" s="20" t="e">
        <f t="shared" si="4"/>
        <v>#N/A</v>
      </c>
      <c r="AM16" s="59" t="e">
        <f t="shared" si="5"/>
        <v>#N/A</v>
      </c>
      <c r="AN16" s="59" t="e">
        <f ca="1">AVERAGE(OFFSET($AM$3,0,0,'Données projet'!$E$10+1,1))-AVERAGE(OFFSET($H$3,0,0,'Données projet'!$E$10+1,1))</f>
        <v>#N/A</v>
      </c>
      <c r="AO16" s="59" t="e">
        <f t="shared" si="36"/>
        <v>#N/A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 t="e">
        <f>EXP(-LN(2)/35)*AU15+(1-EXP(-LN(2)/35))/(LN(2)/35)*AQ16*AR16*VLOOKUP('Données projet'!$B$10,Paramètres!$A$1:$I$89,3,0)*0.475*44/12</f>
        <v>#N/A</v>
      </c>
      <c r="AV16" s="21" t="e">
        <f>EXP(-LN(2)/25)*AV15+(1-EXP(-LN(2)/25))/(LN(2)/25)*Calculateur!AQ16*Calculateur!AS16*VLOOKUP('Données projet'!$B$10,Paramètres!$A$1:$I$89,3,0)*0.475*44/12</f>
        <v>#N/A</v>
      </c>
      <c r="AW16" s="21" t="e">
        <f>EXP(-LN(2)/2)*AW15+(1-EXP(-LN(2)/2))/(LN(2)/2)*AQ16*AT16*VLOOKUP('Données projet'!$B$10,Paramètres!$A$1:$I$89,3,0)*0.475*44/12</f>
        <v>#N/A</v>
      </c>
      <c r="AX16" s="21" t="e">
        <f t="shared" si="6"/>
        <v>#N/A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67">
        <f t="shared" si="1"/>
        <v>256.66666666666669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9.4117948717948714</v>
      </c>
      <c r="N17" s="13">
        <f>IF('Données projet'!$A$36&gt;35,N16+M17-V16,IF(A17&lt;'Données projet'!$A$36,$K$205^A17,IF(A17='Données projet'!$A$36,'Données projet'!$B$36,N16+M17-V16)))</f>
        <v>101.49534671339541</v>
      </c>
      <c r="O17" s="13">
        <f>N17*VLOOKUP('Données projet'!$B$9,Paramètres!$A$1:$I$89,3,0)*VLOOKUP('Données projet'!$B$9,Paramètres!$A$1:$I$89,5,0)</f>
        <v>60.694217334610457</v>
      </c>
      <c r="P17" s="13">
        <f t="shared" si="33"/>
        <v>17.343671248056637</v>
      </c>
      <c r="Q17" s="20">
        <f t="shared" si="2"/>
        <v>135.91598928147849</v>
      </c>
      <c r="R17" s="59">
        <f t="shared" si="0"/>
        <v>409.69376705925629</v>
      </c>
      <c r="S17" s="59">
        <f ca="1">AVERAGE(OFFSET($R$3,0,0,'Données projet'!$E$9+1,1))-AVERAGE(OFFSET($H$3,0,0,'Données projet'!$E$9+1,1))</f>
        <v>323.17232038705157</v>
      </c>
      <c r="T17" s="59">
        <f t="shared" si="34"/>
        <v>402.34685738619197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0</v>
      </c>
      <c r="AI17" s="13">
        <f>IF('Données projet'!$A$62&gt;35,AI16+AH17-AQ16,IF(A17&lt;'Données projet'!$A$62,$AF$205^A17,IF(A17='Données projet'!$A$62,'Données projet'!$B$62,AI16+AH17-AQ16)))</f>
        <v>0</v>
      </c>
      <c r="AJ17" s="13" t="e">
        <f>AI17*VLOOKUP('Données projet'!$B$10,Paramètres!$A$1:$I$89,3,0)*VLOOKUP('Données projet'!$B$10,Paramètres!$A$1:$I$89,5,0)</f>
        <v>#N/A</v>
      </c>
      <c r="AK17" s="13" t="e">
        <f t="shared" si="35"/>
        <v>#N/A</v>
      </c>
      <c r="AL17" s="20" t="e">
        <f t="shared" si="4"/>
        <v>#N/A</v>
      </c>
      <c r="AM17" s="59" t="e">
        <f t="shared" si="5"/>
        <v>#N/A</v>
      </c>
      <c r="AN17" s="59" t="e">
        <f ca="1">AVERAGE(OFFSET($AM$3,0,0,'Données projet'!$E$10+1,1))-AVERAGE(OFFSET($H$3,0,0,'Données projet'!$E$10+1,1))</f>
        <v>#N/A</v>
      </c>
      <c r="AO17" s="59" t="e">
        <f t="shared" si="36"/>
        <v>#N/A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 t="e">
        <f>EXP(-LN(2)/35)*AU16+(1-EXP(-LN(2)/35))/(LN(2)/35)*AQ17*AR17*VLOOKUP('Données projet'!$B$10,Paramètres!$A$1:$I$89,3,0)*0.475*44/12</f>
        <v>#N/A</v>
      </c>
      <c r="AV17" s="21" t="e">
        <f>EXP(-LN(2)/25)*AV16+(1-EXP(-LN(2)/25))/(LN(2)/25)*Calculateur!AQ17*Calculateur!AS17*VLOOKUP('Données projet'!$B$10,Paramètres!$A$1:$I$89,3,0)*0.475*44/12</f>
        <v>#N/A</v>
      </c>
      <c r="AW17" s="21" t="e">
        <f>EXP(-LN(2)/2)*AW16+(1-EXP(-LN(2)/2))/(LN(2)/2)*AQ17*AT17*VLOOKUP('Données projet'!$B$10,Paramètres!$A$1:$I$89,3,0)*0.475*44/12</f>
        <v>#N/A</v>
      </c>
      <c r="AX17" s="21" t="e">
        <f t="shared" si="6"/>
        <v>#N/A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67">
        <f t="shared" si="1"/>
        <v>256.66666666666669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>
        <f>VLOOKUP(A18,'Données projet'!$A$35:$I$55,2,0)</f>
        <v>141.17692307692306</v>
      </c>
      <c r="L18" s="12">
        <f>VLOOKUP(A18,'Données projet'!$A$35:$I$55,9,0)</f>
        <v>9.4117948717948714</v>
      </c>
      <c r="M18" s="12">
        <f t="array" ref="M18">INDEX(L:L,MIN(IF(ISNUMBER(L18:L214),ROW(L18:L214),"")))</f>
        <v>9.4117948717948714</v>
      </c>
      <c r="N18" s="13">
        <f>IF('Données projet'!$A$36&gt;35,N17+M18-V17,IF(A18&lt;'Données projet'!$A$36,$K$205^A18,IF(A18='Données projet'!$A$36,'Données projet'!$B$36,N17+M18-V17)))</f>
        <v>141.17692307692306</v>
      </c>
      <c r="O18" s="13">
        <f>N18*VLOOKUP('Données projet'!$B$9,Paramètres!$A$1:$I$89,3,0)*VLOOKUP('Données projet'!$B$9,Paramètres!$A$1:$I$89,5,0)</f>
        <v>84.423799999999986</v>
      </c>
      <c r="P18" s="13">
        <f t="shared" si="33"/>
        <v>23.215414769475935</v>
      </c>
      <c r="Q18" s="20">
        <f t="shared" si="2"/>
        <v>187.47163239017053</v>
      </c>
      <c r="R18" s="59">
        <f t="shared" si="0"/>
        <v>462.4716323901705</v>
      </c>
      <c r="S18" s="59">
        <f ca="1">AVERAGE(OFFSET($R$3,0,0,'Données projet'!$E$9+1,1))-AVERAGE(OFFSET($H$3,0,0,'Données projet'!$E$9+1,1))</f>
        <v>323.17232038705157</v>
      </c>
      <c r="T18" s="59">
        <f t="shared" si="34"/>
        <v>402.34685738619197</v>
      </c>
      <c r="U18" s="15">
        <f>IF(ISNA(VLOOKUP(A18,'Données projet'!$A$35:$I$55,3,0)),0,VLOOKUP(A18,'Données projet'!$A$35:$I$55,3,0))</f>
        <v>1</v>
      </c>
      <c r="V18" s="15">
        <f>IF(ISNA(VLOOKUP(A18,'Données projet'!$A$35:$I$55,4,0)),0,VLOOKUP(A18,'Données projet'!$A$35:$I$55,4,0))</f>
        <v>49.784615384615385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0.25200000000000006</v>
      </c>
      <c r="Y18" s="16">
        <f>IF(ISNA(VLOOKUP(A18,'Données projet'!$A$35:$I$55,7,0)),0%,VLOOKUP(A18,'Données projet'!$A$35:$I$55,7,0))</f>
        <v>0.44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9.9131546026642408</v>
      </c>
      <c r="AB18" s="21">
        <f>EXP(-LN(2)/2)*AB17+(1-EXP(-LN(2)/2))/(LN(2)/2)*V18*Y18*VLOOKUP('Données projet'!$B$9,Paramètres!$A$1:$I$89,3,0)*0.475*44/12</f>
        <v>14.831482237492764</v>
      </c>
      <c r="AC18" s="22">
        <f t="shared" si="3"/>
        <v>24.744636840157007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0</v>
      </c>
      <c r="AI18" s="13">
        <f>IF('Données projet'!$A$62&gt;35,AI17+AH18-AQ17,IF(A18&lt;'Données projet'!$A$62,$AF$205^A18,IF(A18='Données projet'!$A$62,'Données projet'!$B$62,AI17+AH18-AQ17)))</f>
        <v>0</v>
      </c>
      <c r="AJ18" s="13" t="e">
        <f>AI18*VLOOKUP('Données projet'!$B$10,Paramètres!$A$1:$I$89,3,0)*VLOOKUP('Données projet'!$B$10,Paramètres!$A$1:$I$89,5,0)</f>
        <v>#N/A</v>
      </c>
      <c r="AK18" s="13" t="e">
        <f t="shared" si="35"/>
        <v>#N/A</v>
      </c>
      <c r="AL18" s="20" t="e">
        <f t="shared" si="4"/>
        <v>#N/A</v>
      </c>
      <c r="AM18" s="59" t="e">
        <f t="shared" si="5"/>
        <v>#N/A</v>
      </c>
      <c r="AN18" s="59" t="e">
        <f ca="1">AVERAGE(OFFSET($AM$3,0,0,'Données projet'!$E$10+1,1))-AVERAGE(OFFSET($H$3,0,0,'Données projet'!$E$10+1,1))</f>
        <v>#N/A</v>
      </c>
      <c r="AO18" s="59" t="e">
        <f t="shared" si="36"/>
        <v>#N/A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 t="e">
        <f>EXP(-LN(2)/35)*AU17+(1-EXP(-LN(2)/35))/(LN(2)/35)*AQ18*AR18*VLOOKUP('Données projet'!$B$10,Paramètres!$A$1:$I$89,3,0)*0.475*44/12</f>
        <v>#N/A</v>
      </c>
      <c r="AV18" s="21" t="e">
        <f>EXP(-LN(2)/25)*AV17+(1-EXP(-LN(2)/25))/(LN(2)/25)*Calculateur!AQ18*Calculateur!AS18*VLOOKUP('Données projet'!$B$10,Paramètres!$A$1:$I$89,3,0)*0.475*44/12</f>
        <v>#N/A</v>
      </c>
      <c r="AW18" s="21" t="e">
        <f>EXP(-LN(2)/2)*AW17+(1-EXP(-LN(2)/2))/(LN(2)/2)*AQ18*AT18*VLOOKUP('Données projet'!$B$10,Paramètres!$A$1:$I$89,3,0)*0.475*44/12</f>
        <v>#N/A</v>
      </c>
      <c r="AX18" s="21" t="e">
        <f t="shared" si="6"/>
        <v>#N/A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67">
        <f t="shared" si="1"/>
        <v>256.66666666666669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18.463076923076926</v>
      </c>
      <c r="N19" s="13">
        <f>IF('Données projet'!$A$36&gt;35,N18+M19-V18,IF(A19&lt;'Données projet'!$A$36,$K$205^A19,IF(A19='Données projet'!$A$36,'Données projet'!$B$36,N18+M19-V18)))</f>
        <v>109.85538461538459</v>
      </c>
      <c r="O19" s="13">
        <f>N19*VLOOKUP('Données projet'!$B$9,Paramètres!$A$1:$I$89,3,0)*VLOOKUP('Données projet'!$B$9,Paramètres!$A$1:$I$89,5,0)</f>
        <v>65.693519999999992</v>
      </c>
      <c r="P19" s="13">
        <f t="shared" si="33"/>
        <v>18.600086973007183</v>
      </c>
      <c r="Q19" s="20">
        <f t="shared" si="2"/>
        <v>146.81136547798749</v>
      </c>
      <c r="R19" s="59">
        <f t="shared" si="0"/>
        <v>423.03358770020975</v>
      </c>
      <c r="S19" s="59">
        <f ca="1">AVERAGE(OFFSET($R$3,0,0,'Données projet'!$E$9+1,1))-AVERAGE(OFFSET($H$3,0,0,'Données projet'!$E$9+1,1))</f>
        <v>323.17232038705157</v>
      </c>
      <c r="T19" s="59">
        <f t="shared" si="34"/>
        <v>402.34685738619197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9.6420788687442442</v>
      </c>
      <c r="AB19" s="21">
        <f>EXP(-LN(2)/2)*AB18+(1-EXP(-LN(2)/2))/(LN(2)/2)*V19*Y19*VLOOKUP('Données projet'!$B$9,Paramètres!$A$1:$I$89,3,0)*0.475*44/12</f>
        <v>10.487441665178963</v>
      </c>
      <c r="AC19" s="22">
        <f t="shared" si="3"/>
        <v>20.129520533923206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0</v>
      </c>
      <c r="AI19" s="13">
        <f>IF('Données projet'!$A$62&gt;35,AI18+AH19-AQ18,IF(A19&lt;'Données projet'!$A$62,$AF$205^A19,IF(A19='Données projet'!$A$62,'Données projet'!$B$62,AI18+AH19-AQ18)))</f>
        <v>0</v>
      </c>
      <c r="AJ19" s="13" t="e">
        <f>AI19*VLOOKUP('Données projet'!$B$10,Paramètres!$A$1:$I$89,3,0)*VLOOKUP('Données projet'!$B$10,Paramètres!$A$1:$I$89,5,0)</f>
        <v>#N/A</v>
      </c>
      <c r="AK19" s="13" t="e">
        <f t="shared" si="35"/>
        <v>#N/A</v>
      </c>
      <c r="AL19" s="20" t="e">
        <f t="shared" si="4"/>
        <v>#N/A</v>
      </c>
      <c r="AM19" s="59" t="e">
        <f t="shared" si="5"/>
        <v>#N/A</v>
      </c>
      <c r="AN19" s="59" t="e">
        <f ca="1">AVERAGE(OFFSET($AM$3,0,0,'Données projet'!$E$10+1,1))-AVERAGE(OFFSET($H$3,0,0,'Données projet'!$E$10+1,1))</f>
        <v>#N/A</v>
      </c>
      <c r="AO19" s="59" t="e">
        <f t="shared" si="36"/>
        <v>#N/A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 t="e">
        <f>EXP(-LN(2)/35)*AU18+(1-EXP(-LN(2)/35))/(LN(2)/35)*AQ19*AR19*VLOOKUP('Données projet'!$B$10,Paramètres!$A$1:$I$89,3,0)*0.475*44/12</f>
        <v>#N/A</v>
      </c>
      <c r="AV19" s="21" t="e">
        <f>EXP(-LN(2)/25)*AV18+(1-EXP(-LN(2)/25))/(LN(2)/25)*Calculateur!AQ19*Calculateur!AS19*VLOOKUP('Données projet'!$B$10,Paramètres!$A$1:$I$89,3,0)*0.475*44/12</f>
        <v>#N/A</v>
      </c>
      <c r="AW19" s="21" t="e">
        <f>EXP(-LN(2)/2)*AW18+(1-EXP(-LN(2)/2))/(LN(2)/2)*AQ19*AT19*VLOOKUP('Données projet'!$B$10,Paramètres!$A$1:$I$89,3,0)*0.475*44/12</f>
        <v>#N/A</v>
      </c>
      <c r="AX19" s="21" t="e">
        <f t="shared" si="6"/>
        <v>#N/A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67">
        <f t="shared" si="1"/>
        <v>256.66666666666669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18.463076923076926</v>
      </c>
      <c r="N20" s="13">
        <f>IF('Données projet'!$A$36&gt;35,N19+M20-V19,IF(A20&lt;'Données projet'!$A$36,$K$205^A20,IF(A20='Données projet'!$A$36,'Données projet'!$B$36,N19+M20-V19)))</f>
        <v>128.31846153846152</v>
      </c>
      <c r="O20" s="13">
        <f>N20*VLOOKUP('Données projet'!$B$9,Paramètres!$A$1:$I$89,3,0)*VLOOKUP('Données projet'!$B$9,Paramètres!$A$1:$I$89,5,0)</f>
        <v>76.734439999999992</v>
      </c>
      <c r="P20" s="13">
        <f t="shared" si="33"/>
        <v>21.336811414414317</v>
      </c>
      <c r="Q20" s="20">
        <f t="shared" si="2"/>
        <v>170.80742954677157</v>
      </c>
      <c r="R20" s="59">
        <f t="shared" si="0"/>
        <v>448.25187399121603</v>
      </c>
      <c r="S20" s="59">
        <f ca="1">AVERAGE(OFFSET($R$3,0,0,'Données projet'!$E$9+1,1))-AVERAGE(OFFSET($H$3,0,0,'Données projet'!$E$9+1,1))</f>
        <v>323.17232038705157</v>
      </c>
      <c r="T20" s="59">
        <f t="shared" si="34"/>
        <v>402.34685738619197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9.378415715023543</v>
      </c>
      <c r="AB20" s="21">
        <f>EXP(-LN(2)/2)*AB19+(1-EXP(-LN(2)/2))/(LN(2)/2)*V20*Y20*VLOOKUP('Données projet'!$B$9,Paramètres!$A$1:$I$89,3,0)*0.475*44/12</f>
        <v>7.4157411187463831</v>
      </c>
      <c r="AC20" s="22">
        <f t="shared" si="3"/>
        <v>16.794156833769925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0</v>
      </c>
      <c r="AI20" s="13">
        <f>IF('Données projet'!$A$62&gt;35,AI19+AH20-AQ19,IF(A20&lt;'Données projet'!$A$62,$AF$205^A20,IF(A20='Données projet'!$A$62,'Données projet'!$B$62,AI19+AH20-AQ19)))</f>
        <v>0</v>
      </c>
      <c r="AJ20" s="13" t="e">
        <f>AI20*VLOOKUP('Données projet'!$B$10,Paramètres!$A$1:$I$89,3,0)*VLOOKUP('Données projet'!$B$10,Paramètres!$A$1:$I$89,5,0)</f>
        <v>#N/A</v>
      </c>
      <c r="AK20" s="13" t="e">
        <f t="shared" si="35"/>
        <v>#N/A</v>
      </c>
      <c r="AL20" s="20" t="e">
        <f t="shared" si="4"/>
        <v>#N/A</v>
      </c>
      <c r="AM20" s="59" t="e">
        <f t="shared" si="5"/>
        <v>#N/A</v>
      </c>
      <c r="AN20" s="59" t="e">
        <f ca="1">AVERAGE(OFFSET($AM$3,0,0,'Données projet'!$E$10+1,1))-AVERAGE(OFFSET($H$3,0,0,'Données projet'!$E$10+1,1))</f>
        <v>#N/A</v>
      </c>
      <c r="AO20" s="59" t="e">
        <f t="shared" si="36"/>
        <v>#N/A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 t="e">
        <f>EXP(-LN(2)/35)*AU19+(1-EXP(-LN(2)/35))/(LN(2)/35)*AQ20*AR20*VLOOKUP('Données projet'!$B$10,Paramètres!$A$1:$I$89,3,0)*0.475*44/12</f>
        <v>#N/A</v>
      </c>
      <c r="AV20" s="21" t="e">
        <f>EXP(-LN(2)/25)*AV19+(1-EXP(-LN(2)/25))/(LN(2)/25)*Calculateur!AQ20*Calculateur!AS20*VLOOKUP('Données projet'!$B$10,Paramètres!$A$1:$I$89,3,0)*0.475*44/12</f>
        <v>#N/A</v>
      </c>
      <c r="AW20" s="21" t="e">
        <f>EXP(-LN(2)/2)*AW19+(1-EXP(-LN(2)/2))/(LN(2)/2)*AQ20*AT20*VLOOKUP('Données projet'!$B$10,Paramètres!$A$1:$I$89,3,0)*0.475*44/12</f>
        <v>#N/A</v>
      </c>
      <c r="AX20" s="21" t="e">
        <f t="shared" si="6"/>
        <v>#N/A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67">
        <f t="shared" si="1"/>
        <v>256.66666666666669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18.463076923076926</v>
      </c>
      <c r="N21" s="13">
        <f>IF('Données projet'!$A$36&gt;35,N20+M21-V20,IF(A21&lt;'Données projet'!$A$36,$K$205^A21,IF(A21='Données projet'!$A$36,'Données projet'!$B$36,N20+M21-V20)))</f>
        <v>146.78153846153845</v>
      </c>
      <c r="O21" s="13">
        <f>N21*VLOOKUP('Données projet'!$B$9,Paramètres!$A$1:$I$89,3,0)*VLOOKUP('Données projet'!$B$9,Paramètres!$A$1:$I$89,5,0)</f>
        <v>87.775359999999992</v>
      </c>
      <c r="P21" s="13">
        <f t="shared" si="33"/>
        <v>24.02791634919064</v>
      </c>
      <c r="Q21" s="20">
        <f t="shared" si="2"/>
        <v>194.72403964150703</v>
      </c>
      <c r="R21" s="59">
        <f t="shared" si="0"/>
        <v>473.39070630817372</v>
      </c>
      <c r="S21" s="59">
        <f ca="1">AVERAGE(OFFSET($R$3,0,0,'Données projet'!$E$9+1,1))-AVERAGE(OFFSET($H$3,0,0,'Données projet'!$E$9+1,1))</f>
        <v>323.17232038705157</v>
      </c>
      <c r="T21" s="59">
        <f t="shared" si="34"/>
        <v>402.34685738619197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9.1219624441067761</v>
      </c>
      <c r="AB21" s="21">
        <f>EXP(-LN(2)/2)*AB20+(1-EXP(-LN(2)/2))/(LN(2)/2)*V21*Y21*VLOOKUP('Données projet'!$B$9,Paramètres!$A$1:$I$89,3,0)*0.475*44/12</f>
        <v>5.2437208325894824</v>
      </c>
      <c r="AC21" s="22">
        <f t="shared" si="3"/>
        <v>14.365683276696259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0</v>
      </c>
      <c r="AI21" s="13">
        <f>IF('Données projet'!$A$62&gt;35,AI20+AH21-AQ20,IF(A21&lt;'Données projet'!$A$62,$AF$205^A21,IF(A21='Données projet'!$A$62,'Données projet'!$B$62,AI20+AH21-AQ20)))</f>
        <v>0</v>
      </c>
      <c r="AJ21" s="13" t="e">
        <f>AI21*VLOOKUP('Données projet'!$B$10,Paramètres!$A$1:$I$89,3,0)*VLOOKUP('Données projet'!$B$10,Paramètres!$A$1:$I$89,5,0)</f>
        <v>#N/A</v>
      </c>
      <c r="AK21" s="13" t="e">
        <f t="shared" si="35"/>
        <v>#N/A</v>
      </c>
      <c r="AL21" s="20" t="e">
        <f t="shared" si="4"/>
        <v>#N/A</v>
      </c>
      <c r="AM21" s="59" t="e">
        <f t="shared" si="5"/>
        <v>#N/A</v>
      </c>
      <c r="AN21" s="59" t="e">
        <f ca="1">AVERAGE(OFFSET($AM$3,0,0,'Données projet'!$E$10+1,1))-AVERAGE(OFFSET($H$3,0,0,'Données projet'!$E$10+1,1))</f>
        <v>#N/A</v>
      </c>
      <c r="AO21" s="59" t="e">
        <f t="shared" si="36"/>
        <v>#N/A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 t="e">
        <f>EXP(-LN(2)/35)*AU20+(1-EXP(-LN(2)/35))/(LN(2)/35)*AQ21*AR21*VLOOKUP('Données projet'!$B$10,Paramètres!$A$1:$I$89,3,0)*0.475*44/12</f>
        <v>#N/A</v>
      </c>
      <c r="AV21" s="21" t="e">
        <f>EXP(-LN(2)/25)*AV20+(1-EXP(-LN(2)/25))/(LN(2)/25)*Calculateur!AQ21*Calculateur!AS21*VLOOKUP('Données projet'!$B$10,Paramètres!$A$1:$I$89,3,0)*0.475*44/12</f>
        <v>#N/A</v>
      </c>
      <c r="AW21" s="21" t="e">
        <f>EXP(-LN(2)/2)*AW20+(1-EXP(-LN(2)/2))/(LN(2)/2)*AQ21*AT21*VLOOKUP('Données projet'!$B$10,Paramètres!$A$1:$I$89,3,0)*0.475*44/12</f>
        <v>#N/A</v>
      </c>
      <c r="AX21" s="21" t="e">
        <f t="shared" si="6"/>
        <v>#N/A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67">
        <f t="shared" si="1"/>
        <v>256.66666666666669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18.463076923076926</v>
      </c>
      <c r="N22" s="13">
        <f>IF('Données projet'!$A$36&gt;35,N21+M22-V21,IF(A22&lt;'Données projet'!$A$36,$K$205^A22,IF(A22='Données projet'!$A$36,'Données projet'!$B$36,N21+M22-V21)))</f>
        <v>165.24461538461537</v>
      </c>
      <c r="O22" s="13">
        <f>N22*VLOOKUP('Données projet'!$B$9,Paramètres!$A$1:$I$89,3,0)*VLOOKUP('Données projet'!$B$9,Paramètres!$A$1:$I$89,5,0)</f>
        <v>98.816280000000006</v>
      </c>
      <c r="P22" s="13">
        <f t="shared" si="33"/>
        <v>26.679797439959771</v>
      </c>
      <c r="Q22" s="20">
        <f t="shared" si="2"/>
        <v>218.57233487459663</v>
      </c>
      <c r="R22" s="59">
        <f t="shared" si="0"/>
        <v>498.46122376348546</v>
      </c>
      <c r="S22" s="59">
        <f ca="1">AVERAGE(OFFSET($R$3,0,0,'Données projet'!$E$9+1,1))-AVERAGE(OFFSET($H$3,0,0,'Données projet'!$E$9+1,1))</f>
        <v>323.17232038705157</v>
      </c>
      <c r="T22" s="59">
        <f t="shared" si="34"/>
        <v>402.34685738619197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8.8725219013695202</v>
      </c>
      <c r="AB22" s="21">
        <f>EXP(-LN(2)/2)*AB21+(1-EXP(-LN(2)/2))/(LN(2)/2)*V22*Y22*VLOOKUP('Données projet'!$B$9,Paramètres!$A$1:$I$89,3,0)*0.475*44/12</f>
        <v>3.707870559373192</v>
      </c>
      <c r="AC22" s="22">
        <f t="shared" si="3"/>
        <v>12.580392460742711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0</v>
      </c>
      <c r="AI22" s="13">
        <f>IF('Données projet'!$A$62&gt;35,AI21+AH22-AQ21,IF(A22&lt;'Données projet'!$A$62,$AF$205^A22,IF(A22='Données projet'!$A$62,'Données projet'!$B$62,AI21+AH22-AQ21)))</f>
        <v>0</v>
      </c>
      <c r="AJ22" s="13" t="e">
        <f>AI22*VLOOKUP('Données projet'!$B$10,Paramètres!$A$1:$I$89,3,0)*VLOOKUP('Données projet'!$B$10,Paramètres!$A$1:$I$89,5,0)</f>
        <v>#N/A</v>
      </c>
      <c r="AK22" s="13" t="e">
        <f t="shared" si="35"/>
        <v>#N/A</v>
      </c>
      <c r="AL22" s="20" t="e">
        <f t="shared" si="4"/>
        <v>#N/A</v>
      </c>
      <c r="AM22" s="59" t="e">
        <f t="shared" si="5"/>
        <v>#N/A</v>
      </c>
      <c r="AN22" s="59" t="e">
        <f ca="1">AVERAGE(OFFSET($AM$3,0,0,'Données projet'!$E$10+1,1))-AVERAGE(OFFSET($H$3,0,0,'Données projet'!$E$10+1,1))</f>
        <v>#N/A</v>
      </c>
      <c r="AO22" s="59" t="e">
        <f t="shared" si="36"/>
        <v>#N/A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 t="e">
        <f>EXP(-LN(2)/35)*AU21+(1-EXP(-LN(2)/35))/(LN(2)/35)*AQ22*AR22*VLOOKUP('Données projet'!$B$10,Paramètres!$A$1:$I$89,3,0)*0.475*44/12</f>
        <v>#N/A</v>
      </c>
      <c r="AV22" s="21" t="e">
        <f>EXP(-LN(2)/25)*AV21+(1-EXP(-LN(2)/25))/(LN(2)/25)*Calculateur!AQ22*Calculateur!AS22*VLOOKUP('Données projet'!$B$10,Paramètres!$A$1:$I$89,3,0)*0.475*44/12</f>
        <v>#N/A</v>
      </c>
      <c r="AW22" s="21" t="e">
        <f>EXP(-LN(2)/2)*AW21+(1-EXP(-LN(2)/2))/(LN(2)/2)*AQ22*AT22*VLOOKUP('Données projet'!$B$10,Paramètres!$A$1:$I$89,3,0)*0.475*44/12</f>
        <v>#N/A</v>
      </c>
      <c r="AX22" s="21" t="e">
        <f t="shared" si="6"/>
        <v>#N/A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67">
        <f t="shared" si="1"/>
        <v>256.66666666666669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>
        <f>VLOOKUP(A23,'Données projet'!$A$35:$I$55,2,0)</f>
        <v>183.7076923076923</v>
      </c>
      <c r="L23" s="12">
        <f>VLOOKUP(A23,'Données projet'!$A$35:$I$55,9,0)</f>
        <v>18.463076923076926</v>
      </c>
      <c r="M23" s="12">
        <f t="array" ref="M23">INDEX(L:L,MIN(IF(ISNUMBER(L23:L219),ROW(L23:L219),"")))</f>
        <v>18.463076923076926</v>
      </c>
      <c r="N23" s="13">
        <f>IF('Données projet'!$A$36&gt;35,N22+M23-V22,IF(A23&lt;'Données projet'!$A$36,$K$205^A23,IF(A23='Données projet'!$A$36,'Données projet'!$B$36,N22+M23-V22)))</f>
        <v>183.7076923076923</v>
      </c>
      <c r="O23" s="13">
        <f>N23*VLOOKUP('Données projet'!$B$9,Paramètres!$A$1:$I$89,3,0)*VLOOKUP('Données projet'!$B$9,Paramètres!$A$1:$I$89,5,0)</f>
        <v>109.85720000000001</v>
      </c>
      <c r="P23" s="13">
        <f t="shared" si="33"/>
        <v>29.297337235526424</v>
      </c>
      <c r="Q23" s="20">
        <f t="shared" si="2"/>
        <v>242.36081901854183</v>
      </c>
      <c r="R23" s="59">
        <f t="shared" si="0"/>
        <v>523.47193012965295</v>
      </c>
      <c r="S23" s="59">
        <f ca="1">AVERAGE(OFFSET($R$3,0,0,'Données projet'!$E$9+1,1))-AVERAGE(OFFSET($H$3,0,0,'Données projet'!$E$9+1,1))</f>
        <v>323.17232038705157</v>
      </c>
      <c r="T23" s="59">
        <f t="shared" si="34"/>
        <v>402.34685738619197</v>
      </c>
      <c r="U23" s="15">
        <f>IF(ISNA(VLOOKUP(A23,'Données projet'!$A$35:$I$55,3,0)),0,VLOOKUP(A23,'Données projet'!$A$35:$I$55,3,0))</f>
        <v>2</v>
      </c>
      <c r="V23" s="15">
        <f>IF(ISNA(VLOOKUP(A23,'Données projet'!$A$35:$I$55,4,0)),0,VLOOKUP(A23,'Données projet'!$A$35:$I$55,4,0))</f>
        <v>48.723076923076924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0.25200000000000006</v>
      </c>
      <c r="Y23" s="16">
        <f>IF(ISNA(VLOOKUP(A23,'Données projet'!$A$35:$I$55,7,0)),0%,VLOOKUP(A23,'Données projet'!$A$35:$I$55,7,0))</f>
        <v>0.44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18.331682492314798</v>
      </c>
      <c r="AB23" s="21">
        <f>EXP(-LN(2)/2)*AB22+(1-EXP(-LN(2)/2))/(LN(2)/2)*V23*Y23*VLOOKUP('Données projet'!$B$9,Paramètres!$A$1:$I$89,3,0)*0.475*44/12</f>
        <v>17.137096586300796</v>
      </c>
      <c r="AC23" s="22">
        <f t="shared" si="3"/>
        <v>35.468779078615597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0</v>
      </c>
      <c r="AI23" s="13">
        <f>IF('Données projet'!$A$62&gt;35,AI22+AH23-AQ22,IF(A23&lt;'Données projet'!$A$62,$AF$205^A23,IF(A23='Données projet'!$A$62,'Données projet'!$B$62,AI22+AH23-AQ22)))</f>
        <v>0</v>
      </c>
      <c r="AJ23" s="13" t="e">
        <f>AI23*VLOOKUP('Données projet'!$B$10,Paramètres!$A$1:$I$89,3,0)*VLOOKUP('Données projet'!$B$10,Paramètres!$A$1:$I$89,5,0)</f>
        <v>#N/A</v>
      </c>
      <c r="AK23" s="13" t="e">
        <f t="shared" si="35"/>
        <v>#N/A</v>
      </c>
      <c r="AL23" s="20" t="e">
        <f t="shared" si="4"/>
        <v>#N/A</v>
      </c>
      <c r="AM23" s="59" t="e">
        <f t="shared" si="5"/>
        <v>#N/A</v>
      </c>
      <c r="AN23" s="59" t="e">
        <f ca="1">AVERAGE(OFFSET($AM$3,0,0,'Données projet'!$E$10+1,1))-AVERAGE(OFFSET($H$3,0,0,'Données projet'!$E$10+1,1))</f>
        <v>#N/A</v>
      </c>
      <c r="AO23" s="59" t="e">
        <f t="shared" si="36"/>
        <v>#N/A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 t="e">
        <f>EXP(-LN(2)/35)*AU22+(1-EXP(-LN(2)/35))/(LN(2)/35)*AQ23*AR23*VLOOKUP('Données projet'!$B$10,Paramètres!$A$1:$I$89,3,0)*0.475*44/12</f>
        <v>#N/A</v>
      </c>
      <c r="AV23" s="21" t="e">
        <f>EXP(-LN(2)/25)*AV22+(1-EXP(-LN(2)/25))/(LN(2)/25)*Calculateur!AQ23*Calculateur!AS23*VLOOKUP('Données projet'!$B$10,Paramètres!$A$1:$I$89,3,0)*0.475*44/12</f>
        <v>#N/A</v>
      </c>
      <c r="AW23" s="21" t="e">
        <f>EXP(-LN(2)/2)*AW22+(1-EXP(-LN(2)/2))/(LN(2)/2)*AQ23*AT23*VLOOKUP('Données projet'!$B$10,Paramètres!$A$1:$I$89,3,0)*0.475*44/12</f>
        <v>#N/A</v>
      </c>
      <c r="AX23" s="21" t="e">
        <f t="shared" si="6"/>
        <v>#N/A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67">
        <f t="shared" si="1"/>
        <v>256.66666666666669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19.071794871794875</v>
      </c>
      <c r="N24" s="13">
        <f>IF('Données projet'!$A$36&gt;35,N23+M24-V23,IF(A24&lt;'Données projet'!$A$36,$K$205^A24,IF(A24='Données projet'!$A$36,'Données projet'!$B$36,N23+M24-V23)))</f>
        <v>154.05641025641026</v>
      </c>
      <c r="O24" s="13">
        <f>N24*VLOOKUP('Données projet'!$B$9,Paramètres!$A$1:$I$89,3,0)*VLOOKUP('Données projet'!$B$9,Paramètres!$A$1:$I$89,5,0)</f>
        <v>92.125733333333343</v>
      </c>
      <c r="P24" s="13">
        <f t="shared" si="33"/>
        <v>25.077202059466597</v>
      </c>
      <c r="Q24" s="20">
        <f t="shared" si="2"/>
        <v>204.12844580912656</v>
      </c>
      <c r="R24" s="59">
        <f t="shared" si="0"/>
        <v>486.46177914245987</v>
      </c>
      <c r="S24" s="59">
        <f ca="1">AVERAGE(OFFSET($R$3,0,0,'Données projet'!$E$9+1,1))-AVERAGE(OFFSET($H$3,0,0,'Données projet'!$E$9+1,1))</f>
        <v>323.17232038705157</v>
      </c>
      <c r="T24" s="59">
        <f t="shared" si="34"/>
        <v>402.34685738619197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17.830401670541164</v>
      </c>
      <c r="AB24" s="21">
        <f>EXP(-LN(2)/2)*AB23+(1-EXP(-LN(2)/2))/(LN(2)/2)*V24*Y24*VLOOKUP('Données projet'!$B$9,Paramètres!$A$1:$I$89,3,0)*0.475*44/12</f>
        <v>12.117757206022128</v>
      </c>
      <c r="AC24" s="22">
        <f t="shared" si="3"/>
        <v>29.948158876563291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0</v>
      </c>
      <c r="AI24" s="13">
        <f>IF('Données projet'!$A$62&gt;35,AI23+AH24-AQ23,IF(A24&lt;'Données projet'!$A$62,$AF$205^A24,IF(A24='Données projet'!$A$62,'Données projet'!$B$62,AI23+AH24-AQ23)))</f>
        <v>0</v>
      </c>
      <c r="AJ24" s="13" t="e">
        <f>AI24*VLOOKUP('Données projet'!$B$10,Paramètres!$A$1:$I$89,3,0)*VLOOKUP('Données projet'!$B$10,Paramètres!$A$1:$I$89,5,0)</f>
        <v>#N/A</v>
      </c>
      <c r="AK24" s="13" t="e">
        <f t="shared" si="35"/>
        <v>#N/A</v>
      </c>
      <c r="AL24" s="20" t="e">
        <f t="shared" si="4"/>
        <v>#N/A</v>
      </c>
      <c r="AM24" s="59" t="e">
        <f t="shared" si="5"/>
        <v>#N/A</v>
      </c>
      <c r="AN24" s="59" t="e">
        <f ca="1">AVERAGE(OFFSET($AM$3,0,0,'Données projet'!$E$10+1,1))-AVERAGE(OFFSET($H$3,0,0,'Données projet'!$E$10+1,1))</f>
        <v>#N/A</v>
      </c>
      <c r="AO24" s="59" t="e">
        <f t="shared" si="36"/>
        <v>#N/A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 t="e">
        <f>EXP(-LN(2)/35)*AU23+(1-EXP(-LN(2)/35))/(LN(2)/35)*AQ24*AR24*VLOOKUP('Données projet'!$B$10,Paramètres!$A$1:$I$89,3,0)*0.475*44/12</f>
        <v>#N/A</v>
      </c>
      <c r="AV24" s="21" t="e">
        <f>EXP(-LN(2)/25)*AV23+(1-EXP(-LN(2)/25))/(LN(2)/25)*Calculateur!AQ24*Calculateur!AS24*VLOOKUP('Données projet'!$B$10,Paramètres!$A$1:$I$89,3,0)*0.475*44/12</f>
        <v>#N/A</v>
      </c>
      <c r="AW24" s="21" t="e">
        <f>EXP(-LN(2)/2)*AW23+(1-EXP(-LN(2)/2))/(LN(2)/2)*AQ24*AT24*VLOOKUP('Données projet'!$B$10,Paramètres!$A$1:$I$89,3,0)*0.475*44/12</f>
        <v>#N/A</v>
      </c>
      <c r="AX24" s="21" t="e">
        <f t="shared" si="6"/>
        <v>#N/A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67">
        <f t="shared" si="1"/>
        <v>256.66666666666669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19.071794871794875</v>
      </c>
      <c r="N25" s="13">
        <f>IF('Données projet'!$A$36&gt;35,N24+M25-V24,IF(A25&lt;'Données projet'!$A$36,$K$205^A25,IF(A25='Données projet'!$A$36,'Données projet'!$B$36,N24+M25-V24)))</f>
        <v>173.12820512820514</v>
      </c>
      <c r="O25" s="13">
        <f>N25*VLOOKUP('Données projet'!$B$9,Paramètres!$A$1:$I$89,3,0)*VLOOKUP('Données projet'!$B$9,Paramètres!$A$1:$I$89,5,0)</f>
        <v>103.53066666666668</v>
      </c>
      <c r="P25" s="13">
        <f t="shared" si="33"/>
        <v>27.80142408921413</v>
      </c>
      <c r="Q25" s="20">
        <f t="shared" si="2"/>
        <v>228.73672473315909</v>
      </c>
      <c r="R25" s="59">
        <f t="shared" si="0"/>
        <v>512.29228028871466</v>
      </c>
      <c r="S25" s="59">
        <f ca="1">AVERAGE(OFFSET($R$3,0,0,'Données projet'!$E$9+1,1))-AVERAGE(OFFSET($H$3,0,0,'Données projet'!$E$9+1,1))</f>
        <v>323.17232038705157</v>
      </c>
      <c r="T25" s="59">
        <f t="shared" si="34"/>
        <v>402.34685738619197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17.342828399200144</v>
      </c>
      <c r="AB25" s="21">
        <f>EXP(-LN(2)/2)*AB24+(1-EXP(-LN(2)/2))/(LN(2)/2)*V25*Y25*VLOOKUP('Données projet'!$B$9,Paramètres!$A$1:$I$89,3,0)*0.475*44/12</f>
        <v>8.5685482931503998</v>
      </c>
      <c r="AC25" s="22">
        <f t="shared" si="3"/>
        <v>25.911376692350544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0</v>
      </c>
      <c r="AI25" s="13">
        <f>IF('Données projet'!$A$62&gt;35,AI24+AH25-AQ24,IF(A25&lt;'Données projet'!$A$62,$AF$205^A25,IF(A25='Données projet'!$A$62,'Données projet'!$B$62,AI24+AH25-AQ24)))</f>
        <v>0</v>
      </c>
      <c r="AJ25" s="13" t="e">
        <f>AI25*VLOOKUP('Données projet'!$B$10,Paramètres!$A$1:$I$89,3,0)*VLOOKUP('Données projet'!$B$10,Paramètres!$A$1:$I$89,5,0)</f>
        <v>#N/A</v>
      </c>
      <c r="AK25" s="13" t="e">
        <f t="shared" si="35"/>
        <v>#N/A</v>
      </c>
      <c r="AL25" s="20" t="e">
        <f t="shared" si="4"/>
        <v>#N/A</v>
      </c>
      <c r="AM25" s="59" t="e">
        <f t="shared" si="5"/>
        <v>#N/A</v>
      </c>
      <c r="AN25" s="59" t="e">
        <f ca="1">AVERAGE(OFFSET($AM$3,0,0,'Données projet'!$E$10+1,1))-AVERAGE(OFFSET($H$3,0,0,'Données projet'!$E$10+1,1))</f>
        <v>#N/A</v>
      </c>
      <c r="AO25" s="59" t="e">
        <f t="shared" si="36"/>
        <v>#N/A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 t="e">
        <f>EXP(-LN(2)/35)*AU24+(1-EXP(-LN(2)/35))/(LN(2)/35)*AQ25*AR25*VLOOKUP('Données projet'!$B$10,Paramètres!$A$1:$I$89,3,0)*0.475*44/12</f>
        <v>#N/A</v>
      </c>
      <c r="AV25" s="21" t="e">
        <f>EXP(-LN(2)/25)*AV24+(1-EXP(-LN(2)/25))/(LN(2)/25)*Calculateur!AQ25*Calculateur!AS25*VLOOKUP('Données projet'!$B$10,Paramètres!$A$1:$I$89,3,0)*0.475*44/12</f>
        <v>#N/A</v>
      </c>
      <c r="AW25" s="21" t="e">
        <f>EXP(-LN(2)/2)*AW24+(1-EXP(-LN(2)/2))/(LN(2)/2)*AQ25*AT25*VLOOKUP('Données projet'!$B$10,Paramètres!$A$1:$I$89,3,0)*0.475*44/12</f>
        <v>#N/A</v>
      </c>
      <c r="AX25" s="21" t="e">
        <f t="shared" si="6"/>
        <v>#N/A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67">
        <f t="shared" si="1"/>
        <v>256.66666666666669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19.071794871794875</v>
      </c>
      <c r="N26" s="13">
        <f>IF('Données projet'!$A$36&gt;35,N25+M26-V25,IF(A26&lt;'Données projet'!$A$36,$K$205^A26,IF(A26='Données projet'!$A$36,'Données projet'!$B$36,N25+M26-V25)))</f>
        <v>192.20000000000002</v>
      </c>
      <c r="O26" s="13">
        <f>N26*VLOOKUP('Données projet'!$B$9,Paramètres!$A$1:$I$89,3,0)*VLOOKUP('Données projet'!$B$9,Paramètres!$A$1:$I$89,5,0)</f>
        <v>114.93560000000001</v>
      </c>
      <c r="P26" s="13">
        <f t="shared" si="33"/>
        <v>30.49086327624272</v>
      </c>
      <c r="Q26" s="20">
        <f t="shared" si="2"/>
        <v>253.28442353945601</v>
      </c>
      <c r="R26" s="59">
        <f t="shared" si="0"/>
        <v>538.06220131723376</v>
      </c>
      <c r="S26" s="59">
        <f ca="1">AVERAGE(OFFSET($R$3,0,0,'Données projet'!$E$9+1,1))-AVERAGE(OFFSET($H$3,0,0,'Données projet'!$E$9+1,1))</f>
        <v>323.17232038705157</v>
      </c>
      <c r="T26" s="59">
        <f t="shared" si="34"/>
        <v>402.34685738619197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16.86858784460431</v>
      </c>
      <c r="AB26" s="21">
        <f>EXP(-LN(2)/2)*AB25+(1-EXP(-LN(2)/2))/(LN(2)/2)*V26*Y26*VLOOKUP('Données projet'!$B$9,Paramètres!$A$1:$I$89,3,0)*0.475*44/12</f>
        <v>6.0588786030110651</v>
      </c>
      <c r="AC26" s="22">
        <f t="shared" si="3"/>
        <v>22.927466447615373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0</v>
      </c>
      <c r="AI26" s="13">
        <f>IF('Données projet'!$A$62&gt;35,AI25+AH26-AQ25,IF(A26&lt;'Données projet'!$A$62,$AF$205^A26,IF(A26='Données projet'!$A$62,'Données projet'!$B$62,AI25+AH26-AQ25)))</f>
        <v>0</v>
      </c>
      <c r="AJ26" s="13" t="e">
        <f>AI26*VLOOKUP('Données projet'!$B$10,Paramètres!$A$1:$I$89,3,0)*VLOOKUP('Données projet'!$B$10,Paramètres!$A$1:$I$89,5,0)</f>
        <v>#N/A</v>
      </c>
      <c r="AK26" s="13" t="e">
        <f t="shared" si="35"/>
        <v>#N/A</v>
      </c>
      <c r="AL26" s="20" t="e">
        <f t="shared" si="4"/>
        <v>#N/A</v>
      </c>
      <c r="AM26" s="59" t="e">
        <f t="shared" si="5"/>
        <v>#N/A</v>
      </c>
      <c r="AN26" s="59" t="e">
        <f ca="1">AVERAGE(OFFSET($AM$3,0,0,'Données projet'!$E$10+1,1))-AVERAGE(OFFSET($H$3,0,0,'Données projet'!$E$10+1,1))</f>
        <v>#N/A</v>
      </c>
      <c r="AO26" s="59" t="e">
        <f t="shared" si="36"/>
        <v>#N/A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 t="e">
        <f>EXP(-LN(2)/35)*AU25+(1-EXP(-LN(2)/35))/(LN(2)/35)*AQ26*AR26*VLOOKUP('Données projet'!$B$10,Paramètres!$A$1:$I$89,3,0)*0.475*44/12</f>
        <v>#N/A</v>
      </c>
      <c r="AV26" s="21" t="e">
        <f>EXP(-LN(2)/25)*AV25+(1-EXP(-LN(2)/25))/(LN(2)/25)*Calculateur!AQ26*Calculateur!AS26*VLOOKUP('Données projet'!$B$10,Paramètres!$A$1:$I$89,3,0)*0.475*44/12</f>
        <v>#N/A</v>
      </c>
      <c r="AW26" s="21" t="e">
        <f>EXP(-LN(2)/2)*AW25+(1-EXP(-LN(2)/2))/(LN(2)/2)*AQ26*AT26*VLOOKUP('Données projet'!$B$10,Paramètres!$A$1:$I$89,3,0)*0.475*44/12</f>
        <v>#N/A</v>
      </c>
      <c r="AX26" s="21" t="e">
        <f t="shared" si="6"/>
        <v>#N/A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67">
        <f t="shared" si="1"/>
        <v>256.66666666666669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19.071794871794875</v>
      </c>
      <c r="N27" s="13">
        <f>IF('Données projet'!$A$36&gt;35,N26+M27-V26,IF(A27&lt;'Données projet'!$A$36,$K$205^A27,IF(A27='Données projet'!$A$36,'Données projet'!$B$36,N26+M27-V26)))</f>
        <v>211.2717948717949</v>
      </c>
      <c r="O27" s="13">
        <f>N27*VLOOKUP('Données projet'!$B$9,Paramètres!$A$1:$I$89,3,0)*VLOOKUP('Données projet'!$B$9,Paramètres!$A$1:$I$89,5,0)</f>
        <v>126.34053333333337</v>
      </c>
      <c r="P27" s="13">
        <f t="shared" si="33"/>
        <v>33.149363946532553</v>
      </c>
      <c r="Q27" s="20">
        <f t="shared" si="2"/>
        <v>277.77823776243309</v>
      </c>
      <c r="R27" s="59">
        <f t="shared" si="0"/>
        <v>563.77823776243304</v>
      </c>
      <c r="S27" s="59">
        <f ca="1">AVERAGE(OFFSET($R$3,0,0,'Données projet'!$E$9+1,1))-AVERAGE(OFFSET($H$3,0,0,'Données projet'!$E$9+1,1))</f>
        <v>323.17232038705157</v>
      </c>
      <c r="T27" s="59">
        <f t="shared" si="34"/>
        <v>402.34685738619197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16.407315422913126</v>
      </c>
      <c r="AB27" s="21">
        <f>EXP(-LN(2)/2)*AB26+(1-EXP(-LN(2)/2))/(LN(2)/2)*V27*Y27*VLOOKUP('Données projet'!$B$9,Paramètres!$A$1:$I$89,3,0)*0.475*44/12</f>
        <v>4.2842741465751999</v>
      </c>
      <c r="AC27" s="22">
        <f t="shared" si="3"/>
        <v>20.691589569488325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0</v>
      </c>
      <c r="AI27" s="13">
        <f>IF('Données projet'!$A$62&gt;35,AI26+AH27-AQ26,IF(A27&lt;'Données projet'!$A$62,$AF$205^A27,IF(A27='Données projet'!$A$62,'Données projet'!$B$62,AI26+AH27-AQ26)))</f>
        <v>0</v>
      </c>
      <c r="AJ27" s="13" t="e">
        <f>AI27*VLOOKUP('Données projet'!$B$10,Paramètres!$A$1:$I$89,3,0)*VLOOKUP('Données projet'!$B$10,Paramètres!$A$1:$I$89,5,0)</f>
        <v>#N/A</v>
      </c>
      <c r="AK27" s="13" t="e">
        <f t="shared" si="35"/>
        <v>#N/A</v>
      </c>
      <c r="AL27" s="20" t="e">
        <f t="shared" si="4"/>
        <v>#N/A</v>
      </c>
      <c r="AM27" s="59" t="e">
        <f t="shared" si="5"/>
        <v>#N/A</v>
      </c>
      <c r="AN27" s="59" t="e">
        <f ca="1">AVERAGE(OFFSET($AM$3,0,0,'Données projet'!$E$10+1,1))-AVERAGE(OFFSET($H$3,0,0,'Données projet'!$E$10+1,1))</f>
        <v>#N/A</v>
      </c>
      <c r="AO27" s="59" t="e">
        <f t="shared" si="36"/>
        <v>#N/A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 t="e">
        <f>EXP(-LN(2)/35)*AU26+(1-EXP(-LN(2)/35))/(LN(2)/35)*AQ27*AR27*VLOOKUP('Données projet'!$B$10,Paramètres!$A$1:$I$89,3,0)*0.475*44/12</f>
        <v>#N/A</v>
      </c>
      <c r="AV27" s="21" t="e">
        <f>EXP(-LN(2)/25)*AV26+(1-EXP(-LN(2)/25))/(LN(2)/25)*Calculateur!AQ27*Calculateur!AS27*VLOOKUP('Données projet'!$B$10,Paramètres!$A$1:$I$89,3,0)*0.475*44/12</f>
        <v>#N/A</v>
      </c>
      <c r="AW27" s="21" t="e">
        <f>EXP(-LN(2)/2)*AW26+(1-EXP(-LN(2)/2))/(LN(2)/2)*AQ27*AT27*VLOOKUP('Données projet'!$B$10,Paramètres!$A$1:$I$89,3,0)*0.475*44/12</f>
        <v>#N/A</v>
      </c>
      <c r="AX27" s="21" t="e">
        <f t="shared" si="6"/>
        <v>#N/A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67">
        <f t="shared" si="1"/>
        <v>256.66666666666669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19.071794871794875</v>
      </c>
      <c r="N28" s="13">
        <f>IF('Données projet'!$A$36&gt;35,N27+M28-V27,IF(A28&lt;'Données projet'!$A$36,$K$205^A28,IF(A28='Données projet'!$A$36,'Données projet'!$B$36,N27+M28-V27)))</f>
        <v>230.34358974358977</v>
      </c>
      <c r="O28" s="13">
        <f>N28*VLOOKUP('Données projet'!$B$9,Paramètres!$A$1:$I$89,3,0)*VLOOKUP('Données projet'!$B$9,Paramètres!$A$1:$I$89,5,0)</f>
        <v>137.74546666666669</v>
      </c>
      <c r="P28" s="13">
        <f t="shared" si="33"/>
        <v>35.780036573255778</v>
      </c>
      <c r="Q28" s="20">
        <f t="shared" si="2"/>
        <v>302.22358480953159</v>
      </c>
      <c r="R28" s="59">
        <f t="shared" si="0"/>
        <v>589.44580703175382</v>
      </c>
      <c r="S28" s="59">
        <f ca="1">AVERAGE(OFFSET($R$3,0,0,'Données projet'!$E$9+1,1))-AVERAGE(OFFSET($H$3,0,0,'Données projet'!$E$9+1,1))</f>
        <v>323.17232038705157</v>
      </c>
      <c r="T28" s="59">
        <f t="shared" si="34"/>
        <v>402.34685738619197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15.958656519850347</v>
      </c>
      <c r="AB28" s="21">
        <f>EXP(-LN(2)/2)*AB27+(1-EXP(-LN(2)/2))/(LN(2)/2)*V28*Y28*VLOOKUP('Données projet'!$B$9,Paramètres!$A$1:$I$89,3,0)*0.475*44/12</f>
        <v>3.0294393015055325</v>
      </c>
      <c r="AC28" s="22">
        <f t="shared" si="3"/>
        <v>18.988095821355881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0</v>
      </c>
      <c r="AI28" s="13">
        <f>IF('Données projet'!$A$62&gt;35,AI27+AH28-AQ27,IF(A28&lt;'Données projet'!$A$62,$AF$205^A28,IF(A28='Données projet'!$A$62,'Données projet'!$B$62,AI27+AH28-AQ27)))</f>
        <v>0</v>
      </c>
      <c r="AJ28" s="13" t="e">
        <f>AI28*VLOOKUP('Données projet'!$B$10,Paramètres!$A$1:$I$89,3,0)*VLOOKUP('Données projet'!$B$10,Paramètres!$A$1:$I$89,5,0)</f>
        <v>#N/A</v>
      </c>
      <c r="AK28" s="13" t="e">
        <f t="shared" si="35"/>
        <v>#N/A</v>
      </c>
      <c r="AL28" s="20" t="e">
        <f t="shared" si="4"/>
        <v>#N/A</v>
      </c>
      <c r="AM28" s="59" t="e">
        <f t="shared" si="5"/>
        <v>#N/A</v>
      </c>
      <c r="AN28" s="59" t="e">
        <f ca="1">AVERAGE(OFFSET($AM$3,0,0,'Données projet'!$E$10+1,1))-AVERAGE(OFFSET($H$3,0,0,'Données projet'!$E$10+1,1))</f>
        <v>#N/A</v>
      </c>
      <c r="AO28" s="59" t="e">
        <f t="shared" si="36"/>
        <v>#N/A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 t="e">
        <f>EXP(-LN(2)/35)*AU27+(1-EXP(-LN(2)/35))/(LN(2)/35)*AQ28*AR28*VLOOKUP('Données projet'!$B$10,Paramètres!$A$1:$I$89,3,0)*0.475*44/12</f>
        <v>#N/A</v>
      </c>
      <c r="AV28" s="21" t="e">
        <f>EXP(-LN(2)/25)*AV27+(1-EXP(-LN(2)/25))/(LN(2)/25)*Calculateur!AQ28*Calculateur!AS28*VLOOKUP('Données projet'!$B$10,Paramètres!$A$1:$I$89,3,0)*0.475*44/12</f>
        <v>#N/A</v>
      </c>
      <c r="AW28" s="21" t="e">
        <f>EXP(-LN(2)/2)*AW27+(1-EXP(-LN(2)/2))/(LN(2)/2)*AQ28*AT28*VLOOKUP('Données projet'!$B$10,Paramètres!$A$1:$I$89,3,0)*0.475*44/12</f>
        <v>#N/A</v>
      </c>
      <c r="AX28" s="21" t="e">
        <f t="shared" si="6"/>
        <v>#N/A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67">
        <f t="shared" si="1"/>
        <v>256.66666666666669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>
        <f>VLOOKUP(A29,'Données projet'!$A$35:$I$55,2,0)</f>
        <v>249.41538461538462</v>
      </c>
      <c r="L29" s="12">
        <f>VLOOKUP(A29,'Données projet'!$A$35:$I$55,9,0)</f>
        <v>19.071794871794875</v>
      </c>
      <c r="M29" s="12">
        <f t="array" ref="M29">INDEX(L:L,MIN(IF(ISNUMBER(L29:L225),ROW(L29:L225),"")))</f>
        <v>19.071794871794875</v>
      </c>
      <c r="N29" s="13">
        <f>IF('Données projet'!$A$36&gt;35,N28+M29-V28,IF(A29&lt;'Données projet'!$A$36,$K$205^A29,IF(A29='Données projet'!$A$36,'Données projet'!$B$36,N28+M29-V28)))</f>
        <v>249.41538461538465</v>
      </c>
      <c r="O29" s="13">
        <f>N29*VLOOKUP('Données projet'!$B$9,Paramètres!$A$1:$I$89,3,0)*VLOOKUP('Données projet'!$B$9,Paramètres!$A$1:$I$89,5,0)</f>
        <v>149.15040000000002</v>
      </c>
      <c r="P29" s="13">
        <f t="shared" si="33"/>
        <v>38.385447191571515</v>
      </c>
      <c r="Q29" s="20">
        <f t="shared" si="2"/>
        <v>326.62493385865372</v>
      </c>
      <c r="R29" s="59">
        <f t="shared" si="0"/>
        <v>615.06937830309812</v>
      </c>
      <c r="S29" s="59">
        <f ca="1">AVERAGE(OFFSET($R$3,0,0,'Données projet'!$E$9+1,1))-AVERAGE(OFFSET($H$3,0,0,'Données projet'!$E$9+1,1))</f>
        <v>323.17232038705157</v>
      </c>
      <c r="T29" s="59">
        <f t="shared" si="34"/>
        <v>402.34685738619197</v>
      </c>
      <c r="U29" s="15">
        <f>IF(ISNA(VLOOKUP(A29,'Données projet'!$A$35:$I$55,3,0)),0,VLOOKUP(A29,'Données projet'!$A$35:$I$55,3,0))</f>
        <v>3</v>
      </c>
      <c r="V29" s="15">
        <f>IF(ISNA(VLOOKUP(A29,'Données projet'!$A$35:$I$55,4,0)),0,VLOOKUP(A29,'Données projet'!$A$35:$I$55,4,0))</f>
        <v>46.984615384615381</v>
      </c>
      <c r="W29" s="16">
        <f>IF(ISNA(VLOOKUP(A29,'Données projet'!$A$35:$I$55,5,0)),0%,VLOOKUP(A29,'Données projet'!$A$35:$I$55,5,0)*VLOOKUP('Données projet'!$B$9,Paramètres!$A$1:$I$89,7,0))</f>
        <v>0.315</v>
      </c>
      <c r="X29" s="16">
        <f>IF(ISNA(VLOOKUP(A29,'Données projet'!$A$35:$I$55,6,0)),0%,VLOOKUP(A29,'Données projet'!$A$35:$I$55,6,0)*VLOOKUP('Données projet'!$B$9,Paramètres!$A$1:$I$89,7,0))</f>
        <v>7.5600000000000001E-2</v>
      </c>
      <c r="Y29" s="16">
        <f>IF(ISNA(VLOOKUP(A29,'Données projet'!$A$35:$I$55,7,0)),0%,VLOOKUP(A29,'Données projet'!$A$35:$I$55,7,0))</f>
        <v>0.13200000000000001</v>
      </c>
      <c r="Z29" s="21">
        <f>EXP(-LN(2)/35)*Z28+(1-EXP(-LN(2)/35))/(LN(2)/35)*V29*W29*VLOOKUP('Données projet'!$B$9,Paramètres!$A$1:$I$89,3,0)*0.475*44/12</f>
        <v>11.740748100352008</v>
      </c>
      <c r="AA29" s="21">
        <f>EXP(-LN(2)/25)*AA28+(1-EXP(-LN(2)/25))/(LN(2)/25)*Calculateur!V29*Calculateur!X29*VLOOKUP('Données projet'!$B$9,Paramètres!$A$1:$I$89,3,0)*0.475*44/12</f>
        <v>18.328951090447006</v>
      </c>
      <c r="AB29" s="21">
        <f>EXP(-LN(2)/2)*AB28+(1-EXP(-LN(2)/2))/(LN(2)/2)*V29*Y29*VLOOKUP('Données projet'!$B$9,Paramètres!$A$1:$I$89,3,0)*0.475*44/12</f>
        <v>6.3413348563502918</v>
      </c>
      <c r="AC29" s="22">
        <f t="shared" si="3"/>
        <v>36.411034047149307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0</v>
      </c>
      <c r="AI29" s="13">
        <f>IF('Données projet'!$A$62&gt;35,AI28+AH29-AQ28,IF(A29&lt;'Données projet'!$A$62,$AF$205^A29,IF(A29='Données projet'!$A$62,'Données projet'!$B$62,AI28+AH29-AQ28)))</f>
        <v>0</v>
      </c>
      <c r="AJ29" s="13" t="e">
        <f>AI29*VLOOKUP('Données projet'!$B$10,Paramètres!$A$1:$I$89,3,0)*VLOOKUP('Données projet'!$B$10,Paramètres!$A$1:$I$89,5,0)</f>
        <v>#N/A</v>
      </c>
      <c r="AK29" s="13" t="e">
        <f t="shared" si="35"/>
        <v>#N/A</v>
      </c>
      <c r="AL29" s="20" t="e">
        <f t="shared" si="4"/>
        <v>#N/A</v>
      </c>
      <c r="AM29" s="59" t="e">
        <f t="shared" si="5"/>
        <v>#N/A</v>
      </c>
      <c r="AN29" s="59" t="e">
        <f ca="1">AVERAGE(OFFSET($AM$3,0,0,'Données projet'!$E$10+1,1))-AVERAGE(OFFSET($H$3,0,0,'Données projet'!$E$10+1,1))</f>
        <v>#N/A</v>
      </c>
      <c r="AO29" s="59" t="e">
        <f t="shared" si="36"/>
        <v>#N/A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 t="e">
        <f>EXP(-LN(2)/35)*AU28+(1-EXP(-LN(2)/35))/(LN(2)/35)*AQ29*AR29*VLOOKUP('Données projet'!$B$10,Paramètres!$A$1:$I$89,3,0)*0.475*44/12</f>
        <v>#N/A</v>
      </c>
      <c r="AV29" s="21" t="e">
        <f>EXP(-LN(2)/25)*AV28+(1-EXP(-LN(2)/25))/(LN(2)/25)*Calculateur!AQ29*Calculateur!AS29*VLOOKUP('Données projet'!$B$10,Paramètres!$A$1:$I$89,3,0)*0.475*44/12</f>
        <v>#N/A</v>
      </c>
      <c r="AW29" s="21" t="e">
        <f>EXP(-LN(2)/2)*AW28+(1-EXP(-LN(2)/2))/(LN(2)/2)*AQ29*AT29*VLOOKUP('Données projet'!$B$10,Paramètres!$A$1:$I$89,3,0)*0.475*44/12</f>
        <v>#N/A</v>
      </c>
      <c r="AX29" s="21" t="e">
        <f t="shared" si="6"/>
        <v>#N/A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67">
        <f t="shared" si="1"/>
        <v>256.66666666666669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19.393589743589743</v>
      </c>
      <c r="N30" s="13">
        <f>IF('Données projet'!$A$36&gt;35,N29+M30-V29,IF(A30&lt;'Données projet'!$A$36,$K$205^A30,IF(A30='Données projet'!$A$36,'Données projet'!$B$36,N29+M30-V29)))</f>
        <v>221.82435897435903</v>
      </c>
      <c r="O30" s="13">
        <f>N30*VLOOKUP('Données projet'!$B$9,Paramètres!$A$1:$I$89,3,0)*VLOOKUP('Données projet'!$B$9,Paramètres!$A$1:$I$89,5,0)</f>
        <v>132.6509666666667</v>
      </c>
      <c r="P30" s="13">
        <f t="shared" si="33"/>
        <v>34.608198355283058</v>
      </c>
      <c r="Q30" s="20">
        <f t="shared" si="2"/>
        <v>291.30971241322919</v>
      </c>
      <c r="R30" s="59">
        <f t="shared" si="0"/>
        <v>580.97637907989588</v>
      </c>
      <c r="S30" s="59">
        <f ca="1">AVERAGE(OFFSET($R$3,0,0,'Données projet'!$E$9+1,1))-AVERAGE(OFFSET($H$3,0,0,'Données projet'!$E$9+1,1))</f>
        <v>323.17232038705157</v>
      </c>
      <c r="T30" s="59">
        <f t="shared" si="34"/>
        <v>402.34685738619197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11.510519191253341</v>
      </c>
      <c r="AA30" s="21">
        <f>EXP(-LN(2)/25)*AA29+(1-EXP(-LN(2)/25))/(LN(2)/25)*Calculateur!V30*Calculateur!X30*VLOOKUP('Données projet'!$B$9,Paramètres!$A$1:$I$89,3,0)*0.475*44/12</f>
        <v>17.827744959001087</v>
      </c>
      <c r="AB30" s="21">
        <f>EXP(-LN(2)/2)*AB29+(1-EXP(-LN(2)/2))/(LN(2)/2)*V30*Y30*VLOOKUP('Données projet'!$B$9,Paramètres!$A$1:$I$89,3,0)*0.475*44/12</f>
        <v>4.4840008786999128</v>
      </c>
      <c r="AC30" s="22">
        <f t="shared" si="3"/>
        <v>33.822265028954341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0</v>
      </c>
      <c r="AI30" s="13">
        <f>IF('Données projet'!$A$62&gt;35,AI29+AH30-AQ29,IF(A30&lt;'Données projet'!$A$62,$AF$205^A30,IF(A30='Données projet'!$A$62,'Données projet'!$B$62,AI29+AH30-AQ29)))</f>
        <v>0</v>
      </c>
      <c r="AJ30" s="13" t="e">
        <f>AI30*VLOOKUP('Données projet'!$B$10,Paramètres!$A$1:$I$89,3,0)*VLOOKUP('Données projet'!$B$10,Paramètres!$A$1:$I$89,5,0)</f>
        <v>#N/A</v>
      </c>
      <c r="AK30" s="13" t="e">
        <f t="shared" si="35"/>
        <v>#N/A</v>
      </c>
      <c r="AL30" s="20" t="e">
        <f t="shared" si="4"/>
        <v>#N/A</v>
      </c>
      <c r="AM30" s="59" t="e">
        <f t="shared" si="5"/>
        <v>#N/A</v>
      </c>
      <c r="AN30" s="59" t="e">
        <f ca="1">AVERAGE(OFFSET($AM$3,0,0,'Données projet'!$E$10+1,1))-AVERAGE(OFFSET($H$3,0,0,'Données projet'!$E$10+1,1))</f>
        <v>#N/A</v>
      </c>
      <c r="AO30" s="59" t="e">
        <f t="shared" si="36"/>
        <v>#N/A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 t="e">
        <f>EXP(-LN(2)/35)*AU29+(1-EXP(-LN(2)/35))/(LN(2)/35)*AQ30*AR30*VLOOKUP('Données projet'!$B$10,Paramètres!$A$1:$I$89,3,0)*0.475*44/12</f>
        <v>#N/A</v>
      </c>
      <c r="AV30" s="21" t="e">
        <f>EXP(-LN(2)/25)*AV29+(1-EXP(-LN(2)/25))/(LN(2)/25)*Calculateur!AQ30*Calculateur!AS30*VLOOKUP('Données projet'!$B$10,Paramètres!$A$1:$I$89,3,0)*0.475*44/12</f>
        <v>#N/A</v>
      </c>
      <c r="AW30" s="21" t="e">
        <f>EXP(-LN(2)/2)*AW29+(1-EXP(-LN(2)/2))/(LN(2)/2)*AQ30*AT30*VLOOKUP('Données projet'!$B$10,Paramètres!$A$1:$I$89,3,0)*0.475*44/12</f>
        <v>#N/A</v>
      </c>
      <c r="AX30" s="21" t="e">
        <f t="shared" si="6"/>
        <v>#N/A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67">
        <f t="shared" si="1"/>
        <v>256.66666666666669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19.393589743589743</v>
      </c>
      <c r="N31" s="13">
        <f>IF('Données projet'!$A$36&gt;35,N30+M31-V30,IF(A31&lt;'Données projet'!$A$36,$K$205^A31,IF(A31='Données projet'!$A$36,'Données projet'!$B$36,N30+M31-V30)))</f>
        <v>241.21794871794879</v>
      </c>
      <c r="O31" s="13">
        <f>N31*VLOOKUP('Données projet'!$B$9,Paramètres!$A$1:$I$89,3,0)*VLOOKUP('Données projet'!$B$9,Paramètres!$A$1:$I$89,5,0)</f>
        <v>144.24833333333339</v>
      </c>
      <c r="P31" s="13">
        <f t="shared" si="33"/>
        <v>37.268539287745227</v>
      </c>
      <c r="Q31" s="20">
        <f t="shared" si="2"/>
        <v>316.14188648171188</v>
      </c>
      <c r="R31" s="59">
        <f t="shared" si="0"/>
        <v>607.03077537060074</v>
      </c>
      <c r="S31" s="59">
        <f ca="1">AVERAGE(OFFSET($R$3,0,0,'Données projet'!$E$9+1,1))-AVERAGE(OFFSET($H$3,0,0,'Données projet'!$E$9+1,1))</f>
        <v>323.17232038705157</v>
      </c>
      <c r="T31" s="59">
        <f t="shared" si="34"/>
        <v>402.34685738619197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11.28480493063633</v>
      </c>
      <c r="AA31" s="21">
        <f>EXP(-LN(2)/25)*AA30+(1-EXP(-LN(2)/25))/(LN(2)/25)*Calculateur!V31*Calculateur!X31*VLOOKUP('Données projet'!$B$9,Paramètres!$A$1:$I$89,3,0)*0.475*44/12</f>
        <v>17.340244335576841</v>
      </c>
      <c r="AB31" s="21">
        <f>EXP(-LN(2)/2)*AB30+(1-EXP(-LN(2)/2))/(LN(2)/2)*V31*Y31*VLOOKUP('Données projet'!$B$9,Paramètres!$A$1:$I$89,3,0)*0.475*44/12</f>
        <v>3.1706674281751464</v>
      </c>
      <c r="AC31" s="22">
        <f t="shared" si="3"/>
        <v>31.795716694388318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0</v>
      </c>
      <c r="AI31" s="13">
        <f>IF('Données projet'!$A$62&gt;35,AI30+AH31-AQ30,IF(A31&lt;'Données projet'!$A$62,$AF$205^A31,IF(A31='Données projet'!$A$62,'Données projet'!$B$62,AI30+AH31-AQ30)))</f>
        <v>0</v>
      </c>
      <c r="AJ31" s="13" t="e">
        <f>AI31*VLOOKUP('Données projet'!$B$10,Paramètres!$A$1:$I$89,3,0)*VLOOKUP('Données projet'!$B$10,Paramètres!$A$1:$I$89,5,0)</f>
        <v>#N/A</v>
      </c>
      <c r="AK31" s="13" t="e">
        <f t="shared" si="35"/>
        <v>#N/A</v>
      </c>
      <c r="AL31" s="20" t="e">
        <f t="shared" si="4"/>
        <v>#N/A</v>
      </c>
      <c r="AM31" s="59" t="e">
        <f t="shared" si="5"/>
        <v>#N/A</v>
      </c>
      <c r="AN31" s="59" t="e">
        <f ca="1">AVERAGE(OFFSET($AM$3,0,0,'Données projet'!$E$10+1,1))-AVERAGE(OFFSET($H$3,0,0,'Données projet'!$E$10+1,1))</f>
        <v>#N/A</v>
      </c>
      <c r="AO31" s="59" t="e">
        <f t="shared" si="36"/>
        <v>#N/A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 t="e">
        <f>EXP(-LN(2)/35)*AU30+(1-EXP(-LN(2)/35))/(LN(2)/35)*AQ31*AR31*VLOOKUP('Données projet'!$B$10,Paramètres!$A$1:$I$89,3,0)*0.475*44/12</f>
        <v>#N/A</v>
      </c>
      <c r="AV31" s="21" t="e">
        <f>EXP(-LN(2)/25)*AV30+(1-EXP(-LN(2)/25))/(LN(2)/25)*Calculateur!AQ31*Calculateur!AS31*VLOOKUP('Données projet'!$B$10,Paramètres!$A$1:$I$89,3,0)*0.475*44/12</f>
        <v>#N/A</v>
      </c>
      <c r="AW31" s="21" t="e">
        <f>EXP(-LN(2)/2)*AW30+(1-EXP(-LN(2)/2))/(LN(2)/2)*AQ31*AT31*VLOOKUP('Données projet'!$B$10,Paramètres!$A$1:$I$89,3,0)*0.475*44/12</f>
        <v>#N/A</v>
      </c>
      <c r="AX31" s="21" t="e">
        <f t="shared" si="6"/>
        <v>#N/A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67">
        <f t="shared" si="1"/>
        <v>256.66666666666669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19.393589743589743</v>
      </c>
      <c r="N32" s="13">
        <f>IF('Données projet'!$A$36&gt;35,N31+M32-V31,IF(A32&lt;'Données projet'!$A$36,$K$205^A32,IF(A32='Données projet'!$A$36,'Données projet'!$B$36,N31+M32-V31)))</f>
        <v>260.61153846153854</v>
      </c>
      <c r="O32" s="13">
        <f>N32*VLOOKUP('Données projet'!$B$9,Paramètres!$A$1:$I$89,3,0)*VLOOKUP('Données projet'!$B$9,Paramètres!$A$1:$I$89,5,0)</f>
        <v>155.84570000000005</v>
      </c>
      <c r="P32" s="13">
        <f t="shared" si="33"/>
        <v>39.904071626695313</v>
      </c>
      <c r="Q32" s="20">
        <f t="shared" si="2"/>
        <v>340.93085224982775</v>
      </c>
      <c r="R32" s="59">
        <f t="shared" si="0"/>
        <v>633.04196336093889</v>
      </c>
      <c r="S32" s="59">
        <f ca="1">AVERAGE(OFFSET($R$3,0,0,'Données projet'!$E$9+1,1))-AVERAGE(OFFSET($H$3,0,0,'Données projet'!$E$9+1,1))</f>
        <v>323.17232038705157</v>
      </c>
      <c r="T32" s="59">
        <f t="shared" si="34"/>
        <v>402.34685738619197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11.063516788997914</v>
      </c>
      <c r="AA32" s="21">
        <f>EXP(-LN(2)/25)*AA31+(1-EXP(-LN(2)/25))/(LN(2)/25)*Calculateur!V32*Calculateur!X32*VLOOKUP('Données projet'!$B$9,Paramètres!$A$1:$I$89,3,0)*0.475*44/12</f>
        <v>16.866074442336675</v>
      </c>
      <c r="AB32" s="21">
        <f>EXP(-LN(2)/2)*AB31+(1-EXP(-LN(2)/2))/(LN(2)/2)*V32*Y32*VLOOKUP('Données projet'!$B$9,Paramètres!$A$1:$I$89,3,0)*0.475*44/12</f>
        <v>2.2420004393499569</v>
      </c>
      <c r="AC32" s="22">
        <f t="shared" si="3"/>
        <v>30.171591670684549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0</v>
      </c>
      <c r="AI32" s="13">
        <f>IF('Données projet'!$A$62&gt;35,AI31+AH32-AQ31,IF(A32&lt;'Données projet'!$A$62,$AF$205^A32,IF(A32='Données projet'!$A$62,'Données projet'!$B$62,AI31+AH32-AQ31)))</f>
        <v>0</v>
      </c>
      <c r="AJ32" s="13" t="e">
        <f>AI32*VLOOKUP('Données projet'!$B$10,Paramètres!$A$1:$I$89,3,0)*VLOOKUP('Données projet'!$B$10,Paramètres!$A$1:$I$89,5,0)</f>
        <v>#N/A</v>
      </c>
      <c r="AK32" s="13" t="e">
        <f t="shared" si="35"/>
        <v>#N/A</v>
      </c>
      <c r="AL32" s="20" t="e">
        <f t="shared" si="4"/>
        <v>#N/A</v>
      </c>
      <c r="AM32" s="59" t="e">
        <f t="shared" si="5"/>
        <v>#N/A</v>
      </c>
      <c r="AN32" s="59" t="e">
        <f ca="1">AVERAGE(OFFSET($AM$3,0,0,'Données projet'!$E$10+1,1))-AVERAGE(OFFSET($H$3,0,0,'Données projet'!$E$10+1,1))</f>
        <v>#N/A</v>
      </c>
      <c r="AO32" s="59" t="e">
        <f t="shared" si="36"/>
        <v>#N/A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 t="e">
        <f>EXP(-LN(2)/35)*AU31+(1-EXP(-LN(2)/35))/(LN(2)/35)*AQ32*AR32*VLOOKUP('Données projet'!$B$10,Paramètres!$A$1:$I$89,3,0)*0.475*44/12</f>
        <v>#N/A</v>
      </c>
      <c r="AV32" s="21" t="e">
        <f>EXP(-LN(2)/25)*AV31+(1-EXP(-LN(2)/25))/(LN(2)/25)*Calculateur!AQ32*Calculateur!AS32*VLOOKUP('Données projet'!$B$10,Paramètres!$A$1:$I$89,3,0)*0.475*44/12</f>
        <v>#N/A</v>
      </c>
      <c r="AW32" s="21" t="e">
        <f>EXP(-LN(2)/2)*AW31+(1-EXP(-LN(2)/2))/(LN(2)/2)*AQ32*AT32*VLOOKUP('Données projet'!$B$10,Paramètres!$A$1:$I$89,3,0)*0.475*44/12</f>
        <v>#N/A</v>
      </c>
      <c r="AX32" s="21" t="e">
        <f t="shared" si="6"/>
        <v>#N/A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67">
        <f t="shared" si="1"/>
        <v>256.66666666666669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19.393589743589743</v>
      </c>
      <c r="N33" s="13">
        <f>IF('Données projet'!$A$36&gt;35,N32+M33-V32,IF(A33&lt;'Données projet'!$A$36,$K$205^A33,IF(A33='Données projet'!$A$36,'Données projet'!$B$36,N32+M33-V32)))</f>
        <v>280.0051282051283</v>
      </c>
      <c r="O33" s="13">
        <f>N33*VLOOKUP('Données projet'!$B$9,Paramètres!$A$1:$I$89,3,0)*VLOOKUP('Données projet'!$B$9,Paramètres!$A$1:$I$89,5,0)</f>
        <v>167.44306666666677</v>
      </c>
      <c r="P33" s="13">
        <f t="shared" si="33"/>
        <v>42.516851449807113</v>
      </c>
      <c r="Q33" s="20">
        <f t="shared" si="2"/>
        <v>365.68019071952534</v>
      </c>
      <c r="R33" s="59">
        <f t="shared" si="0"/>
        <v>659.01352405285866</v>
      </c>
      <c r="S33" s="59">
        <f ca="1">AVERAGE(OFFSET($R$3,0,0,'Données projet'!$E$9+1,1))-AVERAGE(OFFSET($H$3,0,0,'Données projet'!$E$9+1,1))</f>
        <v>323.17232038705157</v>
      </c>
      <c r="T33" s="59">
        <f t="shared" si="34"/>
        <v>402.34685738619197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10.846567972844589</v>
      </c>
      <c r="AA33" s="21">
        <f>EXP(-LN(2)/25)*AA32+(1-EXP(-LN(2)/25))/(LN(2)/25)*Calculateur!V33*Calculateur!X33*VLOOKUP('Données projet'!$B$9,Paramètres!$A$1:$I$89,3,0)*0.475*44/12</f>
        <v>16.404870749762672</v>
      </c>
      <c r="AB33" s="21">
        <f>EXP(-LN(2)/2)*AB32+(1-EXP(-LN(2)/2))/(LN(2)/2)*V33*Y33*VLOOKUP('Données projet'!$B$9,Paramètres!$A$1:$I$89,3,0)*0.475*44/12</f>
        <v>1.5853337140875734</v>
      </c>
      <c r="AC33" s="22">
        <f t="shared" si="3"/>
        <v>28.836772436694837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0</v>
      </c>
      <c r="AI33" s="13">
        <f>IF('Données projet'!$A$62&gt;35,AI32+AH33-AQ32,IF(A33&lt;'Données projet'!$A$62,$AF$205^A33,IF(A33='Données projet'!$A$62,'Données projet'!$B$62,AI32+AH33-AQ32)))</f>
        <v>0</v>
      </c>
      <c r="AJ33" s="13" t="e">
        <f>AI33*VLOOKUP('Données projet'!$B$10,Paramètres!$A$1:$I$89,3,0)*VLOOKUP('Données projet'!$B$10,Paramètres!$A$1:$I$89,5,0)</f>
        <v>#N/A</v>
      </c>
      <c r="AK33" s="13" t="e">
        <f t="shared" si="35"/>
        <v>#N/A</v>
      </c>
      <c r="AL33" s="20" t="e">
        <f t="shared" si="4"/>
        <v>#N/A</v>
      </c>
      <c r="AM33" s="59" t="e">
        <f t="shared" si="5"/>
        <v>#N/A</v>
      </c>
      <c r="AN33" s="59" t="e">
        <f ca="1">AVERAGE(OFFSET($AM$3,0,0,'Données projet'!$E$10+1,1))-AVERAGE(OFFSET($H$3,0,0,'Données projet'!$E$10+1,1))</f>
        <v>#N/A</v>
      </c>
      <c r="AO33" s="59" t="e">
        <f t="shared" si="36"/>
        <v>#N/A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 t="e">
        <f>EXP(-LN(2)/35)*AU32+(1-EXP(-LN(2)/35))/(LN(2)/35)*AQ33*AR33*VLOOKUP('Données projet'!$B$10,Paramètres!$A$1:$I$89,3,0)*0.475*44/12</f>
        <v>#N/A</v>
      </c>
      <c r="AV33" s="21" t="e">
        <f>EXP(-LN(2)/25)*AV32+(1-EXP(-LN(2)/25))/(LN(2)/25)*Calculateur!AQ33*Calculateur!AS33*VLOOKUP('Données projet'!$B$10,Paramètres!$A$1:$I$89,3,0)*0.475*44/12</f>
        <v>#N/A</v>
      </c>
      <c r="AW33" s="21" t="e">
        <f>EXP(-LN(2)/2)*AW32+(1-EXP(-LN(2)/2))/(LN(2)/2)*AQ33*AT33*VLOOKUP('Données projet'!$B$10,Paramètres!$A$1:$I$89,3,0)*0.475*44/12</f>
        <v>#N/A</v>
      </c>
      <c r="AX33" s="21" t="e">
        <f t="shared" si="6"/>
        <v>#N/A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67">
        <f t="shared" si="1"/>
        <v>256.66666666666669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19.393589743589743</v>
      </c>
      <c r="N34" s="13">
        <f>IF('Données projet'!$A$36&gt;35,N33+M34-V33,IF(A34&lt;'Données projet'!$A$36,$K$205^A34,IF(A34='Données projet'!$A$36,'Données projet'!$B$36,N33+M34-V33)))</f>
        <v>299.39871794871806</v>
      </c>
      <c r="O34" s="13">
        <f>N34*VLOOKUP('Données projet'!$B$9,Paramètres!$A$1:$I$89,3,0)*VLOOKUP('Données projet'!$B$9,Paramètres!$A$1:$I$89,5,0)</f>
        <v>179.04043333333343</v>
      </c>
      <c r="P34" s="13">
        <f t="shared" si="33"/>
        <v>45.108633894312518</v>
      </c>
      <c r="Q34" s="20">
        <f t="shared" si="2"/>
        <v>390.39295875481668</v>
      </c>
      <c r="R34" s="59">
        <f t="shared" si="0"/>
        <v>683.72629208814999</v>
      </c>
      <c r="S34" s="59">
        <f ca="1">AVERAGE(OFFSET($R$3,0,0,'Données projet'!$E$9+1,1))-AVERAGE(OFFSET($H$3,0,0,'Données projet'!$E$9+1,1))</f>
        <v>323.17232038705157</v>
      </c>
      <c r="T34" s="59">
        <f t="shared" si="34"/>
        <v>402.34685738619197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10.633873390650319</v>
      </c>
      <c r="AA34" s="21">
        <f>EXP(-LN(2)/25)*AA33+(1-EXP(-LN(2)/25))/(LN(2)/25)*Calculateur!V34*Calculateur!X34*VLOOKUP('Données projet'!$B$9,Paramètres!$A$1:$I$89,3,0)*0.475*44/12</f>
        <v>15.956278696415753</v>
      </c>
      <c r="AB34" s="21">
        <f>EXP(-LN(2)/2)*AB33+(1-EXP(-LN(2)/2))/(LN(2)/2)*V34*Y34*VLOOKUP('Données projet'!$B$9,Paramètres!$A$1:$I$89,3,0)*0.475*44/12</f>
        <v>1.1210002196749784</v>
      </c>
      <c r="AC34" s="22">
        <f t="shared" si="3"/>
        <v>27.711152306741052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0</v>
      </c>
      <c r="AJ34" s="13" t="e">
        <f>AI34*VLOOKUP('Données projet'!$B$10,Paramètres!$A$1:$I$89,3,0)*VLOOKUP('Données projet'!$B$10,Paramètres!$A$1:$I$89,5,0)</f>
        <v>#N/A</v>
      </c>
      <c r="AK34" s="13" t="e">
        <f t="shared" si="35"/>
        <v>#N/A</v>
      </c>
      <c r="AL34" s="20" t="e">
        <f t="shared" si="4"/>
        <v>#N/A</v>
      </c>
      <c r="AM34" s="59" t="e">
        <f t="shared" si="5"/>
        <v>#N/A</v>
      </c>
      <c r="AN34" s="59" t="e">
        <f ca="1">AVERAGE(OFFSET($AM$3,0,0,'Données projet'!$E$10+1,1))-AVERAGE(OFFSET($H$3,0,0,'Données projet'!$E$10+1,1))</f>
        <v>#N/A</v>
      </c>
      <c r="AO34" s="59" t="e">
        <f t="shared" si="36"/>
        <v>#N/A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 t="e">
        <f>EXP(-LN(2)/35)*AU33+(1-EXP(-LN(2)/35))/(LN(2)/35)*AQ34*AR34*VLOOKUP('Données projet'!$B$10,Paramètres!$A$1:$I$89,3,0)*0.475*44/12</f>
        <v>#N/A</v>
      </c>
      <c r="AV34" s="21" t="e">
        <f>EXP(-LN(2)/25)*AV33+(1-EXP(-LN(2)/25))/(LN(2)/25)*Calculateur!AQ34*Calculateur!AS34*VLOOKUP('Données projet'!$B$10,Paramètres!$A$1:$I$89,3,0)*0.475*44/12</f>
        <v>#N/A</v>
      </c>
      <c r="AW34" s="21" t="e">
        <f>EXP(-LN(2)/2)*AW33+(1-EXP(-LN(2)/2))/(LN(2)/2)*AQ34*AT34*VLOOKUP('Données projet'!$B$10,Paramètres!$A$1:$I$89,3,0)*0.475*44/12</f>
        <v>#N/A</v>
      </c>
      <c r="AX34" s="21" t="e">
        <f t="shared" si="6"/>
        <v>#N/A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67">
        <f t="shared" si="1"/>
        <v>256.66666666666669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>
        <f>VLOOKUP(A35,'Données projet'!$A$35:$I$55,2,0)</f>
        <v>318.7923076923077</v>
      </c>
      <c r="L35" s="12">
        <f>VLOOKUP(A35,'Données projet'!$A$35:$I$55,9,0)</f>
        <v>19.393589743589743</v>
      </c>
      <c r="M35" s="12">
        <f t="array" ref="M35">INDEX(L:L,MIN(IF(ISNUMBER(L35:L231),ROW(L35:L231),"")))</f>
        <v>19.393589743589743</v>
      </c>
      <c r="N35" s="13">
        <f>IF('Données projet'!$A$36&gt;35,N34+M35-V34,IF(A35&lt;'Données projet'!$A$36,$K$205^A35,IF(A35='Données projet'!$A$36,'Données projet'!$B$36,N34+M35-V34)))</f>
        <v>318.79230769230782</v>
      </c>
      <c r="O35" s="13">
        <f>N35*VLOOKUP('Données projet'!$B$9,Paramètres!$A$1:$I$89,3,0)*VLOOKUP('Données projet'!$B$9,Paramètres!$A$1:$I$89,5,0)</f>
        <v>190.63780000000008</v>
      </c>
      <c r="P35" s="13">
        <f t="shared" si="33"/>
        <v>47.680933861376609</v>
      </c>
      <c r="Q35" s="20">
        <f t="shared" ref="Q35:Q66" si="53">(O35+P35)*0.475*44/12</f>
        <v>415.07179480856439</v>
      </c>
      <c r="R35" s="59">
        <f t="shared" si="0"/>
        <v>708.40512814189765</v>
      </c>
      <c r="S35" s="59">
        <f ca="1">AVERAGE(OFFSET($R$3,0,0,'Données projet'!$E$9+1,1))-AVERAGE(OFFSET($H$3,0,0,'Données projet'!$E$9+1,1))</f>
        <v>323.17232038705157</v>
      </c>
      <c r="T35" s="59">
        <f t="shared" si="34"/>
        <v>402.34685738619197</v>
      </c>
      <c r="U35" s="15">
        <f>IF(ISNA(VLOOKUP(A35,'Données projet'!$A$35:$I$55,3,0)),0,VLOOKUP(A35,'Données projet'!$A$35:$I$55,3,0))</f>
        <v>4</v>
      </c>
      <c r="V35" s="15">
        <f>IF(ISNA(VLOOKUP(A35,'Données projet'!$A$35:$I$55,4,0)),0,VLOOKUP(A35,'Données projet'!$A$35:$I$55,4,0))</f>
        <v>64.523076923076914</v>
      </c>
      <c r="W35" s="16">
        <f>IF(ISNA(VLOOKUP(A35,'Données projet'!$A$35:$I$55,5,0)),0%,VLOOKUP(A35,'Données projet'!$A$35:$I$55,5,0)*VLOOKUP('Données projet'!$B$9,Paramètres!$A$1:$I$89,7,0))</f>
        <v>0.315</v>
      </c>
      <c r="X35" s="16">
        <f>IF(ISNA(VLOOKUP(A35,'Données projet'!$A$35:$I$55,6,0)),0%,VLOOKUP(A35,'Données projet'!$A$35:$I$55,6,0)*VLOOKUP('Données projet'!$B$9,Paramètres!$A$1:$I$89,7,0))</f>
        <v>7.5600000000000001E-2</v>
      </c>
      <c r="Y35" s="16">
        <f>IF(ISNA(VLOOKUP(A35,'Données projet'!$A$35:$I$55,7,0)),0%,VLOOKUP(A35,'Données projet'!$A$35:$I$55,7,0))</f>
        <v>0.13200000000000001</v>
      </c>
      <c r="Z35" s="21">
        <f>EXP(-LN(2)/35)*Z34+(1-EXP(-LN(2)/35))/(LN(2)/35)*V35*W35*VLOOKUP('Données projet'!$B$9,Paramètres!$A$1:$I$89,3,0)*0.475*44/12</f>
        <v>26.548695242558715</v>
      </c>
      <c r="AA35" s="21">
        <f>EXP(-LN(2)/25)*AA34+(1-EXP(-LN(2)/25))/(LN(2)/25)*Calculateur!V35*Calculateur!X35*VLOOKUP('Données projet'!$B$9,Paramètres!$A$1:$I$89,3,0)*0.475*44/12</f>
        <v>19.374320264649796</v>
      </c>
      <c r="AB35" s="21">
        <f>EXP(-LN(2)/2)*AB34+(1-EXP(-LN(2)/2))/(LN(2)/2)*V35*Y35*VLOOKUP('Données projet'!$B$9,Paramètres!$A$1:$I$89,3,0)*0.475*44/12</f>
        <v>6.5593451485188776</v>
      </c>
      <c r="AC35" s="22">
        <f t="shared" si="3"/>
        <v>52.482360655727391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0</v>
      </c>
      <c r="AJ35" s="13" t="e">
        <f>AI35*VLOOKUP('Données projet'!$B$10,Paramètres!$A$1:$I$89,3,0)*VLOOKUP('Données projet'!$B$10,Paramètres!$A$1:$I$89,5,0)</f>
        <v>#N/A</v>
      </c>
      <c r="AK35" s="13" t="e">
        <f t="shared" si="35"/>
        <v>#N/A</v>
      </c>
      <c r="AL35" s="20" t="e">
        <f t="shared" si="4"/>
        <v>#N/A</v>
      </c>
      <c r="AM35" s="59" t="e">
        <f t="shared" si="5"/>
        <v>#N/A</v>
      </c>
      <c r="AN35" s="59" t="e">
        <f ca="1">AVERAGE(OFFSET($AM$3,0,0,'Données projet'!$E$10+1,1))-AVERAGE(OFFSET($H$3,0,0,'Données projet'!$E$10+1,1))</f>
        <v>#N/A</v>
      </c>
      <c r="AO35" s="59" t="e">
        <f t="shared" si="36"/>
        <v>#N/A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 t="e">
        <f>EXP(-LN(2)/35)*AU34+(1-EXP(-LN(2)/35))/(LN(2)/35)*AQ35*AR35*VLOOKUP('Données projet'!$B$10,Paramètres!$A$1:$I$89,3,0)*0.475*44/12</f>
        <v>#N/A</v>
      </c>
      <c r="AV35" s="21" t="e">
        <f>EXP(-LN(2)/25)*AV34+(1-EXP(-LN(2)/25))/(LN(2)/25)*Calculateur!AQ35*Calculateur!AS35*VLOOKUP('Données projet'!$B$10,Paramètres!$A$1:$I$89,3,0)*0.475*44/12</f>
        <v>#N/A</v>
      </c>
      <c r="AW35" s="21" t="e">
        <f>EXP(-LN(2)/2)*AW34+(1-EXP(-LN(2)/2))/(LN(2)/2)*AQ35*AT35*VLOOKUP('Données projet'!$B$10,Paramètres!$A$1:$I$89,3,0)*0.475*44/12</f>
        <v>#N/A</v>
      </c>
      <c r="AX35" s="21" t="e">
        <f t="shared" si="6"/>
        <v>#N/A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3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67">
        <f t="shared" si="1"/>
        <v>256.66666666666669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18.055769230769229</v>
      </c>
      <c r="N36" s="13">
        <f>IF('Données projet'!$A$36&gt;35,N35+M36-V35,IF(A36&lt;'Données projet'!$A$36,$K$205^A36,IF(A36='Données projet'!$A$36,'Données projet'!$B$36,N35+M36-V35)))</f>
        <v>272.3250000000001</v>
      </c>
      <c r="O36" s="13">
        <f>N36*VLOOKUP('Données projet'!$B$9,Paramètres!$A$1:$I$89,3,0)*VLOOKUP('Données projet'!$B$9,Paramètres!$A$1:$I$89,5,0)</f>
        <v>162.85035000000008</v>
      </c>
      <c r="P36" s="13">
        <f t="shared" si="33"/>
        <v>41.484757610477807</v>
      </c>
      <c r="Q36" s="20">
        <f t="shared" si="53"/>
        <v>355.88364575491568</v>
      </c>
      <c r="R36" s="59">
        <f t="shared" si="0"/>
        <v>649.21697908824899</v>
      </c>
      <c r="S36" s="59">
        <f ca="1">AVERAGE(OFFSET($R$3,0,0,'Données projet'!$E$9+1,1))-AVERAGE(OFFSET($H$3,0,0,'Données projet'!$E$9+1,1))</f>
        <v>323.17232038705157</v>
      </c>
      <c r="T36" s="59">
        <f t="shared" si="34"/>
        <v>402.34685738619197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26.0280915219573</v>
      </c>
      <c r="AA36" s="21">
        <f>EXP(-LN(2)/25)*AA35+(1-EXP(-LN(2)/25))/(LN(2)/25)*Calculateur!V36*Calculateur!X36*VLOOKUP('Données projet'!$B$9,Paramètres!$A$1:$I$89,3,0)*0.475*44/12</f>
        <v>18.844528458161726</v>
      </c>
      <c r="AB36" s="21">
        <f>EXP(-LN(2)/2)*AB35+(1-EXP(-LN(2)/2))/(LN(2)/2)*V36*Y36*VLOOKUP('Données projet'!$B$9,Paramètres!$A$1:$I$89,3,0)*0.475*44/12</f>
        <v>4.6381574346607808</v>
      </c>
      <c r="AC36" s="22">
        <f t="shared" si="3"/>
        <v>49.51077741477981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0</v>
      </c>
      <c r="AJ36" s="13" t="e">
        <f>AI36*VLOOKUP('Données projet'!$B$10,Paramètres!$A$1:$I$89,3,0)*VLOOKUP('Données projet'!$B$10,Paramètres!$A$1:$I$89,5,0)</f>
        <v>#N/A</v>
      </c>
      <c r="AK36" s="13" t="e">
        <f t="shared" si="35"/>
        <v>#N/A</v>
      </c>
      <c r="AL36" s="20" t="e">
        <f t="shared" si="4"/>
        <v>#N/A</v>
      </c>
      <c r="AM36" s="59" t="e">
        <f t="shared" si="5"/>
        <v>#N/A</v>
      </c>
      <c r="AN36" s="59" t="e">
        <f ca="1">AVERAGE(OFFSET($AM$3,0,0,'Données projet'!$E$10+1,1))-AVERAGE(OFFSET($H$3,0,0,'Données projet'!$E$10+1,1))</f>
        <v>#N/A</v>
      </c>
      <c r="AO36" s="59" t="e">
        <f t="shared" si="36"/>
        <v>#N/A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 t="e">
        <f>EXP(-LN(2)/35)*AU35+(1-EXP(-LN(2)/35))/(LN(2)/35)*AQ36*AR36*VLOOKUP('Données projet'!$B$10,Paramètres!$A$1:$I$89,3,0)*0.475*44/12</f>
        <v>#N/A</v>
      </c>
      <c r="AV36" s="21" t="e">
        <f>EXP(-LN(2)/25)*AV35+(1-EXP(-LN(2)/25))/(LN(2)/25)*Calculateur!AQ36*Calculateur!AS36*VLOOKUP('Données projet'!$B$10,Paramètres!$A$1:$I$89,3,0)*0.475*44/12</f>
        <v>#N/A</v>
      </c>
      <c r="AW36" s="21" t="e">
        <f>EXP(-LN(2)/2)*AW35+(1-EXP(-LN(2)/2))/(LN(2)/2)*AQ36*AT36*VLOOKUP('Données projet'!$B$10,Paramètres!$A$1:$I$89,3,0)*0.475*44/12</f>
        <v>#N/A</v>
      </c>
      <c r="AX36" s="21" t="e">
        <f t="shared" si="6"/>
        <v>#N/A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3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67">
        <f t="shared" si="1"/>
        <v>256.66666666666669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18.055769230769229</v>
      </c>
      <c r="N37" s="13">
        <f>IF('Données projet'!$A$36&gt;35,N36+M37-V36,IF(A37&lt;'Données projet'!$A$36,$K$205^A37,IF(A37='Données projet'!$A$36,'Données projet'!$B$36,N36+M37-V36)))</f>
        <v>290.38076923076932</v>
      </c>
      <c r="O37" s="13">
        <f>N37*VLOOKUP('Données projet'!$B$9,Paramètres!$A$1:$I$89,3,0)*VLOOKUP('Données projet'!$B$9,Paramètres!$A$1:$I$89,5,0)</f>
        <v>173.64770000000004</v>
      </c>
      <c r="P37" s="13">
        <f t="shared" si="33"/>
        <v>43.905974872685142</v>
      </c>
      <c r="Q37" s="20">
        <f t="shared" si="53"/>
        <v>378.90598373659333</v>
      </c>
      <c r="R37" s="59">
        <f t="shared" si="0"/>
        <v>672.23931706992664</v>
      </c>
      <c r="S37" s="59">
        <f ca="1">AVERAGE(OFFSET($R$3,0,0,'Données projet'!$E$9+1,1))-AVERAGE(OFFSET($H$3,0,0,'Données projet'!$E$9+1,1))</f>
        <v>323.17232038705157</v>
      </c>
      <c r="T37" s="59">
        <f t="shared" si="34"/>
        <v>402.34685738619197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25.517696522779964</v>
      </c>
      <c r="AA37" s="21">
        <f>EXP(-LN(2)/25)*AA36+(1-EXP(-LN(2)/25))/(LN(2)/25)*Calculateur!V37*Calculateur!X37*VLOOKUP('Données projet'!$B$9,Paramètres!$A$1:$I$89,3,0)*0.475*44/12</f>
        <v>18.329223836482612</v>
      </c>
      <c r="AB37" s="21">
        <f>EXP(-LN(2)/2)*AB36+(1-EXP(-LN(2)/2))/(LN(2)/2)*V37*Y37*VLOOKUP('Données projet'!$B$9,Paramètres!$A$1:$I$89,3,0)*0.475*44/12</f>
        <v>3.2796725742594397</v>
      </c>
      <c r="AC37" s="22">
        <f t="shared" si="3"/>
        <v>47.126592933522019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0</v>
      </c>
      <c r="AJ37" s="13" t="e">
        <f>AI37*VLOOKUP('Données projet'!$B$10,Paramètres!$A$1:$I$89,3,0)*VLOOKUP('Données projet'!$B$10,Paramètres!$A$1:$I$89,5,0)</f>
        <v>#N/A</v>
      </c>
      <c r="AK37" s="13" t="e">
        <f t="shared" si="35"/>
        <v>#N/A</v>
      </c>
      <c r="AL37" s="20" t="e">
        <f t="shared" si="4"/>
        <v>#N/A</v>
      </c>
      <c r="AM37" s="59" t="e">
        <f t="shared" si="5"/>
        <v>#N/A</v>
      </c>
      <c r="AN37" s="59" t="e">
        <f ca="1">AVERAGE(OFFSET($AM$3,0,0,'Données projet'!$E$10+1,1))-AVERAGE(OFFSET($H$3,0,0,'Données projet'!$E$10+1,1))</f>
        <v>#N/A</v>
      </c>
      <c r="AO37" s="59" t="e">
        <f t="shared" si="36"/>
        <v>#N/A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 t="e">
        <f>EXP(-LN(2)/35)*AU36+(1-EXP(-LN(2)/35))/(LN(2)/35)*AQ37*AR37*VLOOKUP('Données projet'!$B$10,Paramètres!$A$1:$I$89,3,0)*0.475*44/12</f>
        <v>#N/A</v>
      </c>
      <c r="AV37" s="21" t="e">
        <f>EXP(-LN(2)/25)*AV36+(1-EXP(-LN(2)/25))/(LN(2)/25)*Calculateur!AQ37*Calculateur!AS37*VLOOKUP('Données projet'!$B$10,Paramètres!$A$1:$I$89,3,0)*0.475*44/12</f>
        <v>#N/A</v>
      </c>
      <c r="AW37" s="21" t="e">
        <f>EXP(-LN(2)/2)*AW36+(1-EXP(-LN(2)/2))/(LN(2)/2)*AQ37*AT37*VLOOKUP('Données projet'!$B$10,Paramètres!$A$1:$I$89,3,0)*0.475*44/12</f>
        <v>#N/A</v>
      </c>
      <c r="AX37" s="21" t="e">
        <f t="shared" si="6"/>
        <v>#N/A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3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67">
        <f t="shared" si="1"/>
        <v>256.66666666666669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18.055769230769229</v>
      </c>
      <c r="N38" s="13">
        <f>IF('Données projet'!$A$36&gt;35,N37+M38-V37,IF(A38&lt;'Données projet'!$A$36,$K$205^A38,IF(A38='Données projet'!$A$36,'Données projet'!$B$36,N37+M38-V37)))</f>
        <v>308.43653846153853</v>
      </c>
      <c r="O38" s="13">
        <f>N38*VLOOKUP('Données projet'!$B$9,Paramètres!$A$1:$I$89,3,0)*VLOOKUP('Données projet'!$B$9,Paramètres!$A$1:$I$89,5,0)</f>
        <v>184.44505000000007</v>
      </c>
      <c r="P38" s="13">
        <f t="shared" si="33"/>
        <v>46.309719450497106</v>
      </c>
      <c r="Q38" s="20">
        <f t="shared" si="53"/>
        <v>401.89789012628256</v>
      </c>
      <c r="R38" s="59">
        <f t="shared" si="0"/>
        <v>695.23122345961588</v>
      </c>
      <c r="S38" s="59">
        <f ca="1">AVERAGE(OFFSET($R$3,0,0,'Données projet'!$E$9+1,1))-AVERAGE(OFFSET($H$3,0,0,'Données projet'!$E$9+1,1))</f>
        <v>323.17232038705157</v>
      </c>
      <c r="T38" s="59">
        <f t="shared" si="34"/>
        <v>402.34685738619197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25.017310058226286</v>
      </c>
      <c r="AA38" s="21">
        <f>EXP(-LN(2)/25)*AA37+(1-EXP(-LN(2)/25))/(LN(2)/25)*Calculateur!V38*Calculateur!X38*VLOOKUP('Données projet'!$B$9,Paramètres!$A$1:$I$89,3,0)*0.475*44/12</f>
        <v>17.828010246782004</v>
      </c>
      <c r="AB38" s="21">
        <f>EXP(-LN(2)/2)*AB37+(1-EXP(-LN(2)/2))/(LN(2)/2)*V38*Y38*VLOOKUP('Données projet'!$B$9,Paramètres!$A$1:$I$89,3,0)*0.475*44/12</f>
        <v>2.3190787173303908</v>
      </c>
      <c r="AC38" s="22">
        <f t="shared" si="3"/>
        <v>45.164399022338678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0</v>
      </c>
      <c r="AJ38" s="13" t="e">
        <f>AI38*VLOOKUP('Données projet'!$B$10,Paramètres!$A$1:$I$89,3,0)*VLOOKUP('Données projet'!$B$10,Paramètres!$A$1:$I$89,5,0)</f>
        <v>#N/A</v>
      </c>
      <c r="AK38" s="13" t="e">
        <f t="shared" si="35"/>
        <v>#N/A</v>
      </c>
      <c r="AL38" s="20" t="e">
        <f t="shared" si="4"/>
        <v>#N/A</v>
      </c>
      <c r="AM38" s="59" t="e">
        <f t="shared" si="5"/>
        <v>#N/A</v>
      </c>
      <c r="AN38" s="59" t="e">
        <f ca="1">AVERAGE(OFFSET($AM$3,0,0,'Données projet'!$E$10+1,1))-AVERAGE(OFFSET($H$3,0,0,'Données projet'!$E$10+1,1))</f>
        <v>#N/A</v>
      </c>
      <c r="AO38" s="59" t="e">
        <f t="shared" si="36"/>
        <v>#N/A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 t="e">
        <f>EXP(-LN(2)/35)*AU37+(1-EXP(-LN(2)/35))/(LN(2)/35)*AQ38*AR38*VLOOKUP('Données projet'!$B$10,Paramètres!$A$1:$I$89,3,0)*0.475*44/12</f>
        <v>#N/A</v>
      </c>
      <c r="AV38" s="21" t="e">
        <f>EXP(-LN(2)/25)*AV37+(1-EXP(-LN(2)/25))/(LN(2)/25)*Calculateur!AQ38*Calculateur!AS38*VLOOKUP('Données projet'!$B$10,Paramètres!$A$1:$I$89,3,0)*0.475*44/12</f>
        <v>#N/A</v>
      </c>
      <c r="AW38" s="21" t="e">
        <f>EXP(-LN(2)/2)*AW37+(1-EXP(-LN(2)/2))/(LN(2)/2)*AQ38*AT38*VLOOKUP('Données projet'!$B$10,Paramètres!$A$1:$I$89,3,0)*0.475*44/12</f>
        <v>#N/A</v>
      </c>
      <c r="AX38" s="21" t="e">
        <f t="shared" si="6"/>
        <v>#N/A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3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67">
        <f t="shared" si="1"/>
        <v>256.66666666666669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18.055769230769229</v>
      </c>
      <c r="N39" s="13">
        <f>IF('Données projet'!$A$36&gt;35,N38+M39-V38,IF(A39&lt;'Données projet'!$A$36,$K$205^A39,IF(A39='Données projet'!$A$36,'Données projet'!$B$36,N38+M39-V38)))</f>
        <v>326.49230769230775</v>
      </c>
      <c r="O39" s="13">
        <f>N39*VLOOKUP('Données projet'!$B$9,Paramètres!$A$1:$I$89,3,0)*VLOOKUP('Données projet'!$B$9,Paramètres!$A$1:$I$89,5,0)</f>
        <v>195.24240000000006</v>
      </c>
      <c r="P39" s="13">
        <f t="shared" si="33"/>
        <v>48.697130705157392</v>
      </c>
      <c r="Q39" s="20">
        <f t="shared" si="53"/>
        <v>424.86134931148257</v>
      </c>
      <c r="R39" s="59">
        <f t="shared" si="0"/>
        <v>718.19468264481588</v>
      </c>
      <c r="S39" s="59">
        <f ca="1">AVERAGE(OFFSET($R$3,0,0,'Données projet'!$E$9+1,1))-AVERAGE(OFFSET($H$3,0,0,'Données projet'!$E$9+1,1))</f>
        <v>323.17232038705157</v>
      </c>
      <c r="T39" s="59">
        <f t="shared" si="34"/>
        <v>402.34685738619197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24.526735867036898</v>
      </c>
      <c r="AA39" s="21">
        <f>EXP(-LN(2)/25)*AA38+(1-EXP(-LN(2)/25))/(LN(2)/25)*Calculateur!V39*Calculateur!X39*VLOOKUP('Données projet'!$B$9,Paramètres!$A$1:$I$89,3,0)*0.475*44/12</f>
        <v>17.340502369049439</v>
      </c>
      <c r="AB39" s="21">
        <f>EXP(-LN(2)/2)*AB38+(1-EXP(-LN(2)/2))/(LN(2)/2)*V39*Y39*VLOOKUP('Données projet'!$B$9,Paramètres!$A$1:$I$89,3,0)*0.475*44/12</f>
        <v>1.6398362871297201</v>
      </c>
      <c r="AC39" s="22">
        <f t="shared" si="3"/>
        <v>43.507074523216055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0</v>
      </c>
      <c r="AJ39" s="13" t="e">
        <f>AI39*VLOOKUP('Données projet'!$B$10,Paramètres!$A$1:$I$89,3,0)*VLOOKUP('Données projet'!$B$10,Paramètres!$A$1:$I$89,5,0)</f>
        <v>#N/A</v>
      </c>
      <c r="AK39" s="13" t="e">
        <f t="shared" si="35"/>
        <v>#N/A</v>
      </c>
      <c r="AL39" s="20" t="e">
        <f t="shared" si="4"/>
        <v>#N/A</v>
      </c>
      <c r="AM39" s="59" t="e">
        <f t="shared" si="5"/>
        <v>#N/A</v>
      </c>
      <c r="AN39" s="59" t="e">
        <f ca="1">AVERAGE(OFFSET($AM$3,0,0,'Données projet'!$E$10+1,1))-AVERAGE(OFFSET($H$3,0,0,'Données projet'!$E$10+1,1))</f>
        <v>#N/A</v>
      </c>
      <c r="AO39" s="59" t="e">
        <f t="shared" si="36"/>
        <v>#N/A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 t="e">
        <f>EXP(-LN(2)/35)*AU38+(1-EXP(-LN(2)/35))/(LN(2)/35)*AQ39*AR39*VLOOKUP('Données projet'!$B$10,Paramètres!$A$1:$I$89,3,0)*0.475*44/12</f>
        <v>#N/A</v>
      </c>
      <c r="AV39" s="21" t="e">
        <f>EXP(-LN(2)/25)*AV38+(1-EXP(-LN(2)/25))/(LN(2)/25)*Calculateur!AQ39*Calculateur!AS39*VLOOKUP('Données projet'!$B$10,Paramètres!$A$1:$I$89,3,0)*0.475*44/12</f>
        <v>#N/A</v>
      </c>
      <c r="AW39" s="21" t="e">
        <f>EXP(-LN(2)/2)*AW38+(1-EXP(-LN(2)/2))/(LN(2)/2)*AQ39*AT39*VLOOKUP('Données projet'!$B$10,Paramètres!$A$1:$I$89,3,0)*0.475*44/12</f>
        <v>#N/A</v>
      </c>
      <c r="AX39" s="21" t="e">
        <f t="shared" si="6"/>
        <v>#N/A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3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67">
        <f t="shared" si="1"/>
        <v>256.66666666666669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18.055769230769229</v>
      </c>
      <c r="N40" s="13">
        <f>IF('Données projet'!$A$36&gt;35,N39+M40-V39,IF(A40&lt;'Données projet'!$A$36,$K$205^A40,IF(A40='Données projet'!$A$36,'Données projet'!$B$36,N39+M40-V39)))</f>
        <v>344.54807692307696</v>
      </c>
      <c r="O40" s="13">
        <f>N40*VLOOKUP('Données projet'!$B$9,Paramètres!$A$1:$I$89,3,0)*VLOOKUP('Données projet'!$B$9,Paramètres!$A$1:$I$89,5,0)</f>
        <v>206.03975000000003</v>
      </c>
      <c r="P40" s="13">
        <f t="shared" si="33"/>
        <v>51.069214862008621</v>
      </c>
      <c r="Q40" s="20">
        <f t="shared" si="53"/>
        <v>447.79811380133168</v>
      </c>
      <c r="R40" s="59">
        <f t="shared" si="0"/>
        <v>741.131447134665</v>
      </c>
      <c r="S40" s="59">
        <f ca="1">AVERAGE(OFFSET($R$3,0,0,'Données projet'!$E$9+1,1))-AVERAGE(OFFSET($H$3,0,0,'Données projet'!$E$9+1,1))</f>
        <v>323.17232038705157</v>
      </c>
      <c r="T40" s="59">
        <f t="shared" si="34"/>
        <v>402.34685738619197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24.045781536516021</v>
      </c>
      <c r="AA40" s="21">
        <f>EXP(-LN(2)/25)*AA39+(1-EXP(-LN(2)/25))/(LN(2)/25)*Calculateur!V40*Calculateur!X40*VLOOKUP('Données projet'!$B$9,Paramètres!$A$1:$I$89,3,0)*0.475*44/12</f>
        <v>16.866325419870396</v>
      </c>
      <c r="AB40" s="21">
        <f>EXP(-LN(2)/2)*AB39+(1-EXP(-LN(2)/2))/(LN(2)/2)*V40*Y40*VLOOKUP('Données projet'!$B$9,Paramètres!$A$1:$I$89,3,0)*0.475*44/12</f>
        <v>1.1595393586651956</v>
      </c>
      <c r="AC40" s="22">
        <f t="shared" si="3"/>
        <v>42.071646315051609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0</v>
      </c>
      <c r="AJ40" s="13" t="e">
        <f>AI40*VLOOKUP('Données projet'!$B$10,Paramètres!$A$1:$I$89,3,0)*VLOOKUP('Données projet'!$B$10,Paramètres!$A$1:$I$89,5,0)</f>
        <v>#N/A</v>
      </c>
      <c r="AK40" s="13" t="e">
        <f t="shared" si="35"/>
        <v>#N/A</v>
      </c>
      <c r="AL40" s="20" t="e">
        <f t="shared" si="4"/>
        <v>#N/A</v>
      </c>
      <c r="AM40" s="59" t="e">
        <f t="shared" si="5"/>
        <v>#N/A</v>
      </c>
      <c r="AN40" s="59" t="e">
        <f ca="1">AVERAGE(OFFSET($AM$3,0,0,'Données projet'!$E$10+1,1))-AVERAGE(OFFSET($H$3,0,0,'Données projet'!$E$10+1,1))</f>
        <v>#N/A</v>
      </c>
      <c r="AO40" s="59" t="e">
        <f t="shared" si="36"/>
        <v>#N/A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 t="e">
        <f>EXP(-LN(2)/35)*AU39+(1-EXP(-LN(2)/35))/(LN(2)/35)*AQ40*AR40*VLOOKUP('Données projet'!$B$10,Paramètres!$A$1:$I$89,3,0)*0.475*44/12</f>
        <v>#N/A</v>
      </c>
      <c r="AV40" s="21" t="e">
        <f>EXP(-LN(2)/25)*AV39+(1-EXP(-LN(2)/25))/(LN(2)/25)*Calculateur!AQ40*Calculateur!AS40*VLOOKUP('Données projet'!$B$10,Paramètres!$A$1:$I$89,3,0)*0.475*44/12</f>
        <v>#N/A</v>
      </c>
      <c r="AW40" s="21" t="e">
        <f>EXP(-LN(2)/2)*AW39+(1-EXP(-LN(2)/2))/(LN(2)/2)*AQ40*AT40*VLOOKUP('Données projet'!$B$10,Paramètres!$A$1:$I$89,3,0)*0.475*44/12</f>
        <v>#N/A</v>
      </c>
      <c r="AX40" s="21" t="e">
        <f t="shared" si="6"/>
        <v>#N/A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3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67">
        <f t="shared" si="1"/>
        <v>256.66666666666669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18.055769230769229</v>
      </c>
      <c r="N41" s="13">
        <f>IF('Données projet'!$A$36&gt;35,N40+M41-V40,IF(A41&lt;'Données projet'!$A$36,$K$205^A41,IF(A41='Données projet'!$A$36,'Données projet'!$B$36,N40+M41-V40)))</f>
        <v>362.60384615384618</v>
      </c>
      <c r="O41" s="13">
        <f>N41*VLOOKUP('Données projet'!$B$9,Paramètres!$A$1:$I$89,3,0)*VLOOKUP('Données projet'!$B$9,Paramètres!$A$1:$I$89,5,0)</f>
        <v>216.83710000000005</v>
      </c>
      <c r="P41" s="13">
        <f t="shared" si="33"/>
        <v>53.426866729052094</v>
      </c>
      <c r="Q41" s="20">
        <f t="shared" si="53"/>
        <v>470.70974205309909</v>
      </c>
      <c r="R41" s="59">
        <f t="shared" si="0"/>
        <v>764.04307538643241</v>
      </c>
      <c r="S41" s="59">
        <f ca="1">AVERAGE(OFFSET($R$3,0,0,'Données projet'!$E$9+1,1))-AVERAGE(OFFSET($H$3,0,0,'Données projet'!$E$9+1,1))</f>
        <v>323.17232038705157</v>
      </c>
      <c r="T41" s="59">
        <f t="shared" si="34"/>
        <v>402.34685738619197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23.574258427063484</v>
      </c>
      <c r="AA41" s="21">
        <f>EXP(-LN(2)/25)*AA40+(1-EXP(-LN(2)/25))/(LN(2)/25)*Calculateur!V41*Calculateur!X41*VLOOKUP('Données projet'!$B$9,Paramètres!$A$1:$I$89,3,0)*0.475*44/12</f>
        <v>16.405114864302536</v>
      </c>
      <c r="AB41" s="21">
        <f>EXP(-LN(2)/2)*AB40+(1-EXP(-LN(2)/2))/(LN(2)/2)*V41*Y41*VLOOKUP('Données projet'!$B$9,Paramètres!$A$1:$I$89,3,0)*0.475*44/12</f>
        <v>0.81991814356486015</v>
      </c>
      <c r="AC41" s="22">
        <f t="shared" si="3"/>
        <v>40.799291434930879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0</v>
      </c>
      <c r="AJ41" s="13" t="e">
        <f>AI41*VLOOKUP('Données projet'!$B$10,Paramètres!$A$1:$I$89,3,0)*VLOOKUP('Données projet'!$B$10,Paramètres!$A$1:$I$89,5,0)</f>
        <v>#N/A</v>
      </c>
      <c r="AK41" s="13" t="e">
        <f t="shared" si="35"/>
        <v>#N/A</v>
      </c>
      <c r="AL41" s="20" t="e">
        <f t="shared" si="4"/>
        <v>#N/A</v>
      </c>
      <c r="AM41" s="59" t="e">
        <f t="shared" si="5"/>
        <v>#N/A</v>
      </c>
      <c r="AN41" s="59" t="e">
        <f ca="1">AVERAGE(OFFSET($AM$3,0,0,'Données projet'!$E$10+1,1))-AVERAGE(OFFSET($H$3,0,0,'Données projet'!$E$10+1,1))</f>
        <v>#N/A</v>
      </c>
      <c r="AO41" s="59" t="e">
        <f t="shared" si="36"/>
        <v>#N/A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 t="e">
        <f>EXP(-LN(2)/35)*AU40+(1-EXP(-LN(2)/35))/(LN(2)/35)*AQ41*AR41*VLOOKUP('Données projet'!$B$10,Paramètres!$A$1:$I$89,3,0)*0.475*44/12</f>
        <v>#N/A</v>
      </c>
      <c r="AV41" s="21" t="e">
        <f>EXP(-LN(2)/25)*AV40+(1-EXP(-LN(2)/25))/(LN(2)/25)*Calculateur!AQ41*Calculateur!AS41*VLOOKUP('Données projet'!$B$10,Paramètres!$A$1:$I$89,3,0)*0.475*44/12</f>
        <v>#N/A</v>
      </c>
      <c r="AW41" s="21" t="e">
        <f>EXP(-LN(2)/2)*AW40+(1-EXP(-LN(2)/2))/(LN(2)/2)*AQ41*AT41*VLOOKUP('Données projet'!$B$10,Paramètres!$A$1:$I$89,3,0)*0.475*44/12</f>
        <v>#N/A</v>
      </c>
      <c r="AX41" s="21" t="e">
        <f t="shared" si="6"/>
        <v>#N/A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3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67">
        <f t="shared" si="1"/>
        <v>256.66666666666669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18.055769230769229</v>
      </c>
      <c r="N42" s="13">
        <f>IF('Données projet'!$A$36&gt;35,N41+M42-V41,IF(A42&lt;'Données projet'!$A$36,$K$205^A42,IF(A42='Données projet'!$A$36,'Données projet'!$B$36,N41+M42-V41)))</f>
        <v>380.65961538461539</v>
      </c>
      <c r="O42" s="13">
        <f>N42*VLOOKUP('Données projet'!$B$9,Paramètres!$A$1:$I$89,3,0)*VLOOKUP('Données projet'!$B$9,Paramètres!$A$1:$I$89,5,0)</f>
        <v>227.63445000000002</v>
      </c>
      <c r="P42" s="13">
        <f t="shared" si="33"/>
        <v>55.770886966725193</v>
      </c>
      <c r="Q42" s="20">
        <f t="shared" si="53"/>
        <v>493.59762855037974</v>
      </c>
      <c r="R42" s="59">
        <f t="shared" si="0"/>
        <v>786.93096188371305</v>
      </c>
      <c r="S42" s="59">
        <f ca="1">AVERAGE(OFFSET($R$3,0,0,'Données projet'!$E$9+1,1))-AVERAGE(OFFSET($H$3,0,0,'Données projet'!$E$9+1,1))</f>
        <v>323.17232038705157</v>
      </c>
      <c r="T42" s="59">
        <f t="shared" si="34"/>
        <v>402.34685738619197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23.111981598186613</v>
      </c>
      <c r="AA42" s="21">
        <f>EXP(-LN(2)/25)*AA41+(1-EXP(-LN(2)/25))/(LN(2)/25)*Calculateur!V42*Calculateur!X42*VLOOKUP('Données projet'!$B$9,Paramètres!$A$1:$I$89,3,0)*0.475*44/12</f>
        <v>15.956516135630688</v>
      </c>
      <c r="AB42" s="21">
        <f>EXP(-LN(2)/2)*AB41+(1-EXP(-LN(2)/2))/(LN(2)/2)*V42*Y42*VLOOKUP('Données projet'!$B$9,Paramètres!$A$1:$I$89,3,0)*0.475*44/12</f>
        <v>0.57976967933259782</v>
      </c>
      <c r="AC42" s="22">
        <f t="shared" si="3"/>
        <v>39.648267413149902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0</v>
      </c>
      <c r="AJ42" s="13" t="e">
        <f>AI42*VLOOKUP('Données projet'!$B$10,Paramètres!$A$1:$I$89,3,0)*VLOOKUP('Données projet'!$B$10,Paramètres!$A$1:$I$89,5,0)</f>
        <v>#N/A</v>
      </c>
      <c r="AK42" s="13" t="e">
        <f t="shared" si="35"/>
        <v>#N/A</v>
      </c>
      <c r="AL42" s="20" t="e">
        <f t="shared" si="4"/>
        <v>#N/A</v>
      </c>
      <c r="AM42" s="59" t="e">
        <f t="shared" si="5"/>
        <v>#N/A</v>
      </c>
      <c r="AN42" s="59" t="e">
        <f ca="1">AVERAGE(OFFSET($AM$3,0,0,'Données projet'!$E$10+1,1))-AVERAGE(OFFSET($H$3,0,0,'Données projet'!$E$10+1,1))</f>
        <v>#N/A</v>
      </c>
      <c r="AO42" s="59" t="e">
        <f t="shared" si="36"/>
        <v>#N/A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 t="e">
        <f>EXP(-LN(2)/35)*AU41+(1-EXP(-LN(2)/35))/(LN(2)/35)*AQ42*AR42*VLOOKUP('Données projet'!$B$10,Paramètres!$A$1:$I$89,3,0)*0.475*44/12</f>
        <v>#N/A</v>
      </c>
      <c r="AV42" s="21" t="e">
        <f>EXP(-LN(2)/25)*AV41+(1-EXP(-LN(2)/25))/(LN(2)/25)*Calculateur!AQ42*Calculateur!AS42*VLOOKUP('Données projet'!$B$10,Paramètres!$A$1:$I$89,3,0)*0.475*44/12</f>
        <v>#N/A</v>
      </c>
      <c r="AW42" s="21" t="e">
        <f>EXP(-LN(2)/2)*AW41+(1-EXP(-LN(2)/2))/(LN(2)/2)*AQ42*AT42*VLOOKUP('Données projet'!$B$10,Paramètres!$A$1:$I$89,3,0)*0.475*44/12</f>
        <v>#N/A</v>
      </c>
      <c r="AX42" s="21" t="e">
        <f t="shared" si="6"/>
        <v>#N/A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3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67">
        <f t="shared" si="1"/>
        <v>256.66666666666669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398.71538461538461</v>
      </c>
      <c r="L43" s="12">
        <f>VLOOKUP(A43,'Données projet'!$A$35:$I$55,9,0)</f>
        <v>18.055769230769229</v>
      </c>
      <c r="M43" s="12">
        <f t="array" ref="M43">INDEX(L:L,MIN(IF(ISNUMBER(L43:L239),ROW(L43:L239),"")))</f>
        <v>18.055769230769229</v>
      </c>
      <c r="N43" s="13">
        <f>IF('Données projet'!$A$36&gt;35,N42+M43-V42,IF(A43&lt;'Données projet'!$A$36,$K$205^A43,IF(A43='Données projet'!$A$36,'Données projet'!$B$36,N42+M43-V42)))</f>
        <v>398.71538461538461</v>
      </c>
      <c r="O43" s="13">
        <f>N43*VLOOKUP('Données projet'!$B$9,Paramètres!$A$1:$I$89,3,0)*VLOOKUP('Données projet'!$B$9,Paramètres!$A$1:$I$89,5,0)</f>
        <v>238.43180000000001</v>
      </c>
      <c r="P43" s="13">
        <f t="shared" si="33"/>
        <v>58.101995988242535</v>
      </c>
      <c r="Q43" s="20">
        <f t="shared" si="53"/>
        <v>516.46302801285583</v>
      </c>
      <c r="R43" s="59">
        <f t="shared" si="0"/>
        <v>809.79636134618909</v>
      </c>
      <c r="S43" s="59">
        <f ca="1">AVERAGE(OFFSET($R$3,0,0,'Données projet'!$E$9+1,1))-AVERAGE(OFFSET($H$3,0,0,'Données projet'!$E$9+1,1))</f>
        <v>323.17232038705157</v>
      </c>
      <c r="T43" s="59">
        <f t="shared" si="34"/>
        <v>402.34685738619197</v>
      </c>
      <c r="U43" s="15">
        <f>IF(ISNA(VLOOKUP(A43,'Données projet'!$A$35:$I$55,3,0)),0,VLOOKUP(A43,'Données projet'!$A$35:$I$55,3,0))</f>
        <v>5</v>
      </c>
      <c r="V43" s="15">
        <f>IF(ISNA(VLOOKUP(A43,'Données projet'!$A$35:$I$55,4,0)),0,VLOOKUP(A43,'Données projet'!$A$35:$I$55,4,0))</f>
        <v>92.661538461538456</v>
      </c>
      <c r="W43" s="16">
        <f>IF(ISNA(VLOOKUP(A43,'Données projet'!$A$35:$I$55,5,0)),0%,VLOOKUP(A43,'Données projet'!$A$35:$I$55,5,0)*VLOOKUP('Données projet'!$B$9,Paramètres!$A$1:$I$89,7,0))</f>
        <v>0.315</v>
      </c>
      <c r="X43" s="16">
        <f>IF(ISNA(VLOOKUP(A43,'Données projet'!$A$35:$I$55,6,0)),0%,VLOOKUP(A43,'Données projet'!$A$35:$I$55,6,0)*VLOOKUP('Données projet'!$B$9,Paramètres!$A$1:$I$89,7,0))</f>
        <v>7.5600000000000001E-2</v>
      </c>
      <c r="Y43" s="16">
        <f>IF(ISNA(VLOOKUP(A43,'Données projet'!$A$35:$I$55,7,0)),0%,VLOOKUP(A43,'Données projet'!$A$35:$I$55,7,0))</f>
        <v>0.13200000000000001</v>
      </c>
      <c r="Z43" s="21">
        <f>EXP(-LN(2)/35)*Z42+(1-EXP(-LN(2)/35))/(LN(2)/35)*V43*W43*VLOOKUP('Données projet'!$B$9,Paramètres!$A$1:$I$89,3,0)*0.475*44/12</f>
        <v>45.813493314358581</v>
      </c>
      <c r="AA43" s="21">
        <f>EXP(-LN(2)/25)*AA42+(1-EXP(-LN(2)/25))/(LN(2)/25)*Calculateur!V43*Calculateur!X43*VLOOKUP('Données projet'!$B$9,Paramètres!$A$1:$I$89,3,0)*0.475*44/12</f>
        <v>21.055437468951411</v>
      </c>
      <c r="AB43" s="21">
        <f>EXP(-LN(2)/2)*AB42+(1-EXP(-LN(2)/2))/(LN(2)/2)*V43*Y43*VLOOKUP('Données projet'!$B$9,Paramètres!$A$1:$I$89,3,0)*0.475*44/12</f>
        <v>8.6914810912279421</v>
      </c>
      <c r="AC43" s="22">
        <f t="shared" si="3"/>
        <v>75.560411874537934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0</v>
      </c>
      <c r="AJ43" s="13" t="e">
        <f>AI43*VLOOKUP('Données projet'!$B$10,Paramètres!$A$1:$I$89,3,0)*VLOOKUP('Données projet'!$B$10,Paramètres!$A$1:$I$89,5,0)</f>
        <v>#N/A</v>
      </c>
      <c r="AK43" s="13" t="e">
        <f t="shared" si="35"/>
        <v>#N/A</v>
      </c>
      <c r="AL43" s="20" t="e">
        <f t="shared" si="4"/>
        <v>#N/A</v>
      </c>
      <c r="AM43" s="59" t="e">
        <f t="shared" si="5"/>
        <v>#N/A</v>
      </c>
      <c r="AN43" s="59" t="e">
        <f ca="1">AVERAGE(OFFSET($AM$3,0,0,'Données projet'!$E$10+1,1))-AVERAGE(OFFSET($H$3,0,0,'Données projet'!$E$10+1,1))</f>
        <v>#N/A</v>
      </c>
      <c r="AO43" s="59" t="e">
        <f t="shared" si="36"/>
        <v>#N/A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 t="e">
        <f>EXP(-LN(2)/35)*AU42+(1-EXP(-LN(2)/35))/(LN(2)/35)*AQ43*AR43*VLOOKUP('Données projet'!$B$10,Paramètres!$A$1:$I$89,3,0)*0.475*44/12</f>
        <v>#N/A</v>
      </c>
      <c r="AV43" s="21" t="e">
        <f>EXP(-LN(2)/25)*AV42+(1-EXP(-LN(2)/25))/(LN(2)/25)*Calculateur!AQ43*Calculateur!AS43*VLOOKUP('Données projet'!$B$10,Paramètres!$A$1:$I$89,3,0)*0.475*44/12</f>
        <v>#N/A</v>
      </c>
      <c r="AW43" s="21" t="e">
        <f>EXP(-LN(2)/2)*AW42+(1-EXP(-LN(2)/2))/(LN(2)/2)*AQ43*AT43*VLOOKUP('Données projet'!$B$10,Paramètres!$A$1:$I$89,3,0)*0.475*44/12</f>
        <v>#N/A</v>
      </c>
      <c r="AX43" s="21" t="e">
        <f t="shared" si="6"/>
        <v>#N/A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3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67">
        <f t="shared" si="1"/>
        <v>256.66666666666669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15.21153846153846</v>
      </c>
      <c r="N44" s="13">
        <f>IF('Données projet'!$A$36&gt;35,N43+M44-V43,IF(A44&lt;'Données projet'!$A$36,$K$205^A44,IF(A44='Données projet'!$A$36,'Données projet'!$B$36,N43+M44-V43)))</f>
        <v>321.26538461538462</v>
      </c>
      <c r="O44" s="13">
        <f>N44*VLOOKUP('Données projet'!$B$9,Paramètres!$A$1:$I$89,3,0)*VLOOKUP('Données projet'!$B$9,Paramètres!$A$1:$I$89,5,0)</f>
        <v>192.11670000000004</v>
      </c>
      <c r="P44" s="13">
        <f t="shared" si="33"/>
        <v>48.007622995174927</v>
      </c>
      <c r="Q44" s="20">
        <f t="shared" si="53"/>
        <v>418.21652921659637</v>
      </c>
      <c r="R44" s="59">
        <f t="shared" si="0"/>
        <v>711.54986254992968</v>
      </c>
      <c r="S44" s="59">
        <f ca="1">AVERAGE(OFFSET($R$3,0,0,'Données projet'!$E$9+1,1))-AVERAGE(OFFSET($H$3,0,0,'Données projet'!$E$9+1,1))</f>
        <v>323.17232038705157</v>
      </c>
      <c r="T44" s="59">
        <f t="shared" si="34"/>
        <v>402.34685738619197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44.915118653935743</v>
      </c>
      <c r="AA44" s="21">
        <f>EXP(-LN(2)/25)*AA43+(1-EXP(-LN(2)/25))/(LN(2)/25)*Calculateur!V44*Calculateur!X44*VLOOKUP('Données projet'!$B$9,Paramètres!$A$1:$I$89,3,0)*0.475*44/12</f>
        <v>20.479675424105601</v>
      </c>
      <c r="AB44" s="21">
        <f>EXP(-LN(2)/2)*AB43+(1-EXP(-LN(2)/2))/(LN(2)/2)*V44*Y44*VLOOKUP('Données projet'!$B$9,Paramètres!$A$1:$I$89,3,0)*0.475*44/12</f>
        <v>6.1458052181619323</v>
      </c>
      <c r="AC44" s="22">
        <f t="shared" si="3"/>
        <v>71.540599296203283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0</v>
      </c>
      <c r="AJ44" s="13" t="e">
        <f>AI44*VLOOKUP('Données projet'!$B$10,Paramètres!$A$1:$I$89,3,0)*VLOOKUP('Données projet'!$B$10,Paramètres!$A$1:$I$89,5,0)</f>
        <v>#N/A</v>
      </c>
      <c r="AK44" s="13" t="e">
        <f t="shared" si="35"/>
        <v>#N/A</v>
      </c>
      <c r="AL44" s="20" t="e">
        <f t="shared" si="4"/>
        <v>#N/A</v>
      </c>
      <c r="AM44" s="59" t="e">
        <f t="shared" si="5"/>
        <v>#N/A</v>
      </c>
      <c r="AN44" s="59" t="e">
        <f ca="1">AVERAGE(OFFSET($AM$3,0,0,'Données projet'!$E$10+1,1))-AVERAGE(OFFSET($H$3,0,0,'Données projet'!$E$10+1,1))</f>
        <v>#N/A</v>
      </c>
      <c r="AO44" s="59" t="e">
        <f t="shared" si="36"/>
        <v>#N/A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 t="e">
        <f>EXP(-LN(2)/35)*AU43+(1-EXP(-LN(2)/35))/(LN(2)/35)*AQ44*AR44*VLOOKUP('Données projet'!$B$10,Paramètres!$A$1:$I$89,3,0)*0.475*44/12</f>
        <v>#N/A</v>
      </c>
      <c r="AV44" s="21" t="e">
        <f>EXP(-LN(2)/25)*AV43+(1-EXP(-LN(2)/25))/(LN(2)/25)*Calculateur!AQ44*Calculateur!AS44*VLOOKUP('Données projet'!$B$10,Paramètres!$A$1:$I$89,3,0)*0.475*44/12</f>
        <v>#N/A</v>
      </c>
      <c r="AW44" s="21" t="e">
        <f>EXP(-LN(2)/2)*AW43+(1-EXP(-LN(2)/2))/(LN(2)/2)*AQ44*AT44*VLOOKUP('Données projet'!$B$10,Paramètres!$A$1:$I$89,3,0)*0.475*44/12</f>
        <v>#N/A</v>
      </c>
      <c r="AX44" s="21" t="e">
        <f t="shared" si="6"/>
        <v>#N/A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3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67">
        <f t="shared" si="1"/>
        <v>256.66666666666669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15.21153846153846</v>
      </c>
      <c r="N45" s="13">
        <f>IF('Données projet'!$A$36&gt;35,N44+M45-V44,IF(A45&lt;'Données projet'!$A$36,$K$205^A45,IF(A45='Données projet'!$A$36,'Données projet'!$B$36,N44+M45-V44)))</f>
        <v>336.47692307692307</v>
      </c>
      <c r="O45" s="13">
        <f>N45*VLOOKUP('Données projet'!$B$9,Paramètres!$A$1:$I$89,3,0)*VLOOKUP('Données projet'!$B$9,Paramètres!$A$1:$I$89,5,0)</f>
        <v>201.21320000000003</v>
      </c>
      <c r="P45" s="13">
        <f t="shared" si="33"/>
        <v>50.010698447793764</v>
      </c>
      <c r="Q45" s="20">
        <f t="shared" si="53"/>
        <v>437.54828979657418</v>
      </c>
      <c r="R45" s="59">
        <f t="shared" si="0"/>
        <v>730.88162312990744</v>
      </c>
      <c r="S45" s="59">
        <f ca="1">AVERAGE(OFFSET($R$3,0,0,'Données projet'!$E$9+1,1))-AVERAGE(OFFSET($H$3,0,0,'Données projet'!$E$9+1,1))</f>
        <v>323.17232038705157</v>
      </c>
      <c r="T45" s="59">
        <f t="shared" si="34"/>
        <v>402.34685738619197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44.034360572649362</v>
      </c>
      <c r="AA45" s="21">
        <f>EXP(-LN(2)/25)*AA44+(1-EXP(-LN(2)/25))/(LN(2)/25)*Calculateur!V45*Calculateur!X45*VLOOKUP('Données projet'!$B$9,Paramètres!$A$1:$I$89,3,0)*0.475*44/12</f>
        <v>19.91965762265411</v>
      </c>
      <c r="AB45" s="21">
        <f>EXP(-LN(2)/2)*AB44+(1-EXP(-LN(2)/2))/(LN(2)/2)*V45*Y45*VLOOKUP('Données projet'!$B$9,Paramètres!$A$1:$I$89,3,0)*0.475*44/12</f>
        <v>4.3457405456139719</v>
      </c>
      <c r="AC45" s="22">
        <f t="shared" si="3"/>
        <v>68.299758740917454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0</v>
      </c>
      <c r="AJ45" s="13" t="e">
        <f>AI45*VLOOKUP('Données projet'!$B$10,Paramètres!$A$1:$I$89,3,0)*VLOOKUP('Données projet'!$B$10,Paramètres!$A$1:$I$89,5,0)</f>
        <v>#N/A</v>
      </c>
      <c r="AK45" s="13" t="e">
        <f t="shared" si="35"/>
        <v>#N/A</v>
      </c>
      <c r="AL45" s="20" t="e">
        <f t="shared" si="4"/>
        <v>#N/A</v>
      </c>
      <c r="AM45" s="59" t="e">
        <f t="shared" si="5"/>
        <v>#N/A</v>
      </c>
      <c r="AN45" s="59" t="e">
        <f ca="1">AVERAGE(OFFSET($AM$3,0,0,'Données projet'!$E$10+1,1))-AVERAGE(OFFSET($H$3,0,0,'Données projet'!$E$10+1,1))</f>
        <v>#N/A</v>
      </c>
      <c r="AO45" s="59" t="e">
        <f t="shared" si="36"/>
        <v>#N/A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 t="e">
        <f>EXP(-LN(2)/35)*AU44+(1-EXP(-LN(2)/35))/(LN(2)/35)*AQ45*AR45*VLOOKUP('Données projet'!$B$10,Paramètres!$A$1:$I$89,3,0)*0.475*44/12</f>
        <v>#N/A</v>
      </c>
      <c r="AV45" s="21" t="e">
        <f>EXP(-LN(2)/25)*AV44+(1-EXP(-LN(2)/25))/(LN(2)/25)*Calculateur!AQ45*Calculateur!AS45*VLOOKUP('Données projet'!$B$10,Paramètres!$A$1:$I$89,3,0)*0.475*44/12</f>
        <v>#N/A</v>
      </c>
      <c r="AW45" s="21" t="e">
        <f>EXP(-LN(2)/2)*AW44+(1-EXP(-LN(2)/2))/(LN(2)/2)*AQ45*AT45*VLOOKUP('Données projet'!$B$10,Paramètres!$A$1:$I$89,3,0)*0.475*44/12</f>
        <v>#N/A</v>
      </c>
      <c r="AX45" s="21" t="e">
        <f t="shared" si="6"/>
        <v>#N/A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3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67">
        <f t="shared" si="1"/>
        <v>256.66666666666669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15.21153846153846</v>
      </c>
      <c r="N46" s="13">
        <f>IF('Données projet'!$A$36&gt;35,N45+M46-V45,IF(A46&lt;'Données projet'!$A$36,$K$205^A46,IF(A46='Données projet'!$A$36,'Données projet'!$B$36,N45+M46-V45)))</f>
        <v>351.68846153846152</v>
      </c>
      <c r="O46" s="13">
        <f>N46*VLOOKUP('Données projet'!$B$9,Paramètres!$A$1:$I$89,3,0)*VLOOKUP('Données projet'!$B$9,Paramètres!$A$1:$I$89,5,0)</f>
        <v>210.30970000000002</v>
      </c>
      <c r="P46" s="13">
        <f t="shared" si="33"/>
        <v>52.003257134609832</v>
      </c>
      <c r="Q46" s="20">
        <f t="shared" si="53"/>
        <v>456.86173367611218</v>
      </c>
      <c r="R46" s="59">
        <f t="shared" si="0"/>
        <v>750.19506700944544</v>
      </c>
      <c r="S46" s="59">
        <f ca="1">AVERAGE(OFFSET($R$3,0,0,'Données projet'!$E$9+1,1))-AVERAGE(OFFSET($H$3,0,0,'Données projet'!$E$9+1,1))</f>
        <v>323.17232038705157</v>
      </c>
      <c r="T46" s="59">
        <f t="shared" si="34"/>
        <v>402.34685738619197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43.170873620127622</v>
      </c>
      <c r="AA46" s="21">
        <f>EXP(-LN(2)/25)*AA45+(1-EXP(-LN(2)/25))/(LN(2)/25)*Calculateur!V46*Calculateur!X46*VLOOKUP('Données projet'!$B$9,Paramètres!$A$1:$I$89,3,0)*0.475*44/12</f>
        <v>19.374953537433367</v>
      </c>
      <c r="AB46" s="21">
        <f>EXP(-LN(2)/2)*AB45+(1-EXP(-LN(2)/2))/(LN(2)/2)*V46*Y46*VLOOKUP('Données projet'!$B$9,Paramètres!$A$1:$I$89,3,0)*0.475*44/12</f>
        <v>3.0729026090809666</v>
      </c>
      <c r="AC46" s="22">
        <f t="shared" si="3"/>
        <v>65.618729766641962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0</v>
      </c>
      <c r="AJ46" s="13" t="e">
        <f>AI46*VLOOKUP('Données projet'!$B$10,Paramètres!$A$1:$I$89,3,0)*VLOOKUP('Données projet'!$B$10,Paramètres!$A$1:$I$89,5,0)</f>
        <v>#N/A</v>
      </c>
      <c r="AK46" s="13" t="e">
        <f t="shared" si="35"/>
        <v>#N/A</v>
      </c>
      <c r="AL46" s="20" t="e">
        <f t="shared" si="4"/>
        <v>#N/A</v>
      </c>
      <c r="AM46" s="59" t="e">
        <f t="shared" si="5"/>
        <v>#N/A</v>
      </c>
      <c r="AN46" s="59" t="e">
        <f ca="1">AVERAGE(OFFSET($AM$3,0,0,'Données projet'!$E$10+1,1))-AVERAGE(OFFSET($H$3,0,0,'Données projet'!$E$10+1,1))</f>
        <v>#N/A</v>
      </c>
      <c r="AO46" s="59" t="e">
        <f t="shared" si="36"/>
        <v>#N/A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 t="e">
        <f>EXP(-LN(2)/35)*AU45+(1-EXP(-LN(2)/35))/(LN(2)/35)*AQ46*AR46*VLOOKUP('Données projet'!$B$10,Paramètres!$A$1:$I$89,3,0)*0.475*44/12</f>
        <v>#N/A</v>
      </c>
      <c r="AV46" s="21" t="e">
        <f>EXP(-LN(2)/25)*AV45+(1-EXP(-LN(2)/25))/(LN(2)/25)*Calculateur!AQ46*Calculateur!AS46*VLOOKUP('Données projet'!$B$10,Paramètres!$A$1:$I$89,3,0)*0.475*44/12</f>
        <v>#N/A</v>
      </c>
      <c r="AW46" s="21" t="e">
        <f>EXP(-LN(2)/2)*AW45+(1-EXP(-LN(2)/2))/(LN(2)/2)*AQ46*AT46*VLOOKUP('Données projet'!$B$10,Paramètres!$A$1:$I$89,3,0)*0.475*44/12</f>
        <v>#N/A</v>
      </c>
      <c r="AX46" s="21" t="e">
        <f t="shared" si="6"/>
        <v>#N/A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3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67">
        <f t="shared" si="1"/>
        <v>256.66666666666669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15.21153846153846</v>
      </c>
      <c r="N47" s="13">
        <f>IF('Données projet'!$A$36&gt;35,N46+M47-V46,IF(A47&lt;'Données projet'!$A$36,$K$205^A47,IF(A47='Données projet'!$A$36,'Données projet'!$B$36,N46+M47-V46)))</f>
        <v>366.9</v>
      </c>
      <c r="O47" s="13">
        <f>N47*VLOOKUP('Données projet'!$B$9,Paramètres!$A$1:$I$89,3,0)*VLOOKUP('Données projet'!$B$9,Paramètres!$A$1:$I$89,5,0)</f>
        <v>219.40620000000001</v>
      </c>
      <c r="P47" s="13">
        <f t="shared" si="33"/>
        <v>53.985805930473333</v>
      </c>
      <c r="Q47" s="20">
        <f t="shared" si="53"/>
        <v>476.15774366224105</v>
      </c>
      <c r="R47" s="59">
        <f t="shared" si="0"/>
        <v>769.4910769955743</v>
      </c>
      <c r="S47" s="59">
        <f ca="1">AVERAGE(OFFSET($R$3,0,0,'Données projet'!$E$9+1,1))-AVERAGE(OFFSET($H$3,0,0,'Données projet'!$E$9+1,1))</f>
        <v>323.17232038705157</v>
      </c>
      <c r="T47" s="59">
        <f t="shared" si="34"/>
        <v>402.34685738619197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42.324319120069795</v>
      </c>
      <c r="AA47" s="21">
        <f>EXP(-LN(2)/25)*AA46+(1-EXP(-LN(2)/25))/(LN(2)/25)*Calculateur!V47*Calculateur!X47*VLOOKUP('Données projet'!$B$9,Paramètres!$A$1:$I$89,3,0)*0.475*44/12</f>
        <v>18.845144414067725</v>
      </c>
      <c r="AB47" s="21">
        <f>EXP(-LN(2)/2)*AB46+(1-EXP(-LN(2)/2))/(LN(2)/2)*V47*Y47*VLOOKUP('Données projet'!$B$9,Paramètres!$A$1:$I$89,3,0)*0.475*44/12</f>
        <v>2.172870272806986</v>
      </c>
      <c r="AC47" s="22">
        <f t="shared" si="3"/>
        <v>63.342333806944509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0</v>
      </c>
      <c r="AJ47" s="13" t="e">
        <f>AI47*VLOOKUP('Données projet'!$B$10,Paramètres!$A$1:$I$89,3,0)*VLOOKUP('Données projet'!$B$10,Paramètres!$A$1:$I$89,5,0)</f>
        <v>#N/A</v>
      </c>
      <c r="AK47" s="13" t="e">
        <f t="shared" si="35"/>
        <v>#N/A</v>
      </c>
      <c r="AL47" s="20" t="e">
        <f t="shared" si="4"/>
        <v>#N/A</v>
      </c>
      <c r="AM47" s="59" t="e">
        <f t="shared" si="5"/>
        <v>#N/A</v>
      </c>
      <c r="AN47" s="59" t="e">
        <f ca="1">AVERAGE(OFFSET($AM$3,0,0,'Données projet'!$E$10+1,1))-AVERAGE(OFFSET($H$3,0,0,'Données projet'!$E$10+1,1))</f>
        <v>#N/A</v>
      </c>
      <c r="AO47" s="59" t="e">
        <f t="shared" si="36"/>
        <v>#N/A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 t="e">
        <f>EXP(-LN(2)/35)*AU46+(1-EXP(-LN(2)/35))/(LN(2)/35)*AQ47*AR47*VLOOKUP('Données projet'!$B$10,Paramètres!$A$1:$I$89,3,0)*0.475*44/12</f>
        <v>#N/A</v>
      </c>
      <c r="AV47" s="21" t="e">
        <f>EXP(-LN(2)/25)*AV46+(1-EXP(-LN(2)/25))/(LN(2)/25)*Calculateur!AQ47*Calculateur!AS47*VLOOKUP('Données projet'!$B$10,Paramètres!$A$1:$I$89,3,0)*0.475*44/12</f>
        <v>#N/A</v>
      </c>
      <c r="AW47" s="21" t="e">
        <f>EXP(-LN(2)/2)*AW46+(1-EXP(-LN(2)/2))/(LN(2)/2)*AQ47*AT47*VLOOKUP('Données projet'!$B$10,Paramètres!$A$1:$I$89,3,0)*0.475*44/12</f>
        <v>#N/A</v>
      </c>
      <c r="AX47" s="21" t="e">
        <f t="shared" si="6"/>
        <v>#N/A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3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67">
        <f t="shared" si="1"/>
        <v>256.66666666666669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15.21153846153846</v>
      </c>
      <c r="N48" s="13">
        <f>IF('Données projet'!$A$36&gt;35,N47+M48-V47,IF(A48&lt;'Données projet'!$A$36,$K$205^A48,IF(A48='Données projet'!$A$36,'Données projet'!$B$36,N47+M48-V47)))</f>
        <v>382.11153846153843</v>
      </c>
      <c r="O48" s="13">
        <f>N48*VLOOKUP('Données projet'!$B$9,Paramètres!$A$1:$I$89,3,0)*VLOOKUP('Données projet'!$B$9,Paramètres!$A$1:$I$89,5,0)</f>
        <v>228.5027</v>
      </c>
      <c r="P48" s="13">
        <f t="shared" si="33"/>
        <v>55.958807302542631</v>
      </c>
      <c r="Q48" s="20">
        <f t="shared" si="53"/>
        <v>495.4371252185951</v>
      </c>
      <c r="R48" s="59">
        <f t="shared" si="0"/>
        <v>788.77045855192841</v>
      </c>
      <c r="S48" s="59">
        <f ca="1">AVERAGE(OFFSET($R$3,0,0,'Données projet'!$E$9+1,1))-AVERAGE(OFFSET($H$3,0,0,'Données projet'!$E$9+1,1))</f>
        <v>323.17232038705157</v>
      </c>
      <c r="T48" s="59">
        <f t="shared" si="34"/>
        <v>402.34685738619197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41.494365037410844</v>
      </c>
      <c r="AA48" s="21">
        <f>EXP(-LN(2)/25)*AA47+(1-EXP(-LN(2)/25))/(LN(2)/25)*Calculateur!V48*Calculateur!X48*VLOOKUP('Données projet'!$B$9,Paramètres!$A$1:$I$89,3,0)*0.475*44/12</f>
        <v>18.329822949041969</v>
      </c>
      <c r="AB48" s="21">
        <f>EXP(-LN(2)/2)*AB47+(1-EXP(-LN(2)/2))/(LN(2)/2)*V48*Y48*VLOOKUP('Données projet'!$B$9,Paramètres!$A$1:$I$89,3,0)*0.475*44/12</f>
        <v>1.5364513045404833</v>
      </c>
      <c r="AC48" s="22">
        <f t="shared" si="3"/>
        <v>61.360639290993298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0</v>
      </c>
      <c r="AJ48" s="13" t="e">
        <f>AI48*VLOOKUP('Données projet'!$B$10,Paramètres!$A$1:$I$89,3,0)*VLOOKUP('Données projet'!$B$10,Paramètres!$A$1:$I$89,5,0)</f>
        <v>#N/A</v>
      </c>
      <c r="AK48" s="13" t="e">
        <f t="shared" si="35"/>
        <v>#N/A</v>
      </c>
      <c r="AL48" s="20" t="e">
        <f t="shared" si="4"/>
        <v>#N/A</v>
      </c>
      <c r="AM48" s="59" t="e">
        <f t="shared" si="5"/>
        <v>#N/A</v>
      </c>
      <c r="AN48" s="59" t="e">
        <f ca="1">AVERAGE(OFFSET($AM$3,0,0,'Données projet'!$E$10+1,1))-AVERAGE(OFFSET($H$3,0,0,'Données projet'!$E$10+1,1))</f>
        <v>#N/A</v>
      </c>
      <c r="AO48" s="59" t="e">
        <f t="shared" si="36"/>
        <v>#N/A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 t="e">
        <f>EXP(-LN(2)/35)*AU47+(1-EXP(-LN(2)/35))/(LN(2)/35)*AQ48*AR48*VLOOKUP('Données projet'!$B$10,Paramètres!$A$1:$I$89,3,0)*0.475*44/12</f>
        <v>#N/A</v>
      </c>
      <c r="AV48" s="21" t="e">
        <f>EXP(-LN(2)/25)*AV47+(1-EXP(-LN(2)/25))/(LN(2)/25)*Calculateur!AQ48*Calculateur!AS48*VLOOKUP('Données projet'!$B$10,Paramètres!$A$1:$I$89,3,0)*0.475*44/12</f>
        <v>#N/A</v>
      </c>
      <c r="AW48" s="21" t="e">
        <f>EXP(-LN(2)/2)*AW47+(1-EXP(-LN(2)/2))/(LN(2)/2)*AQ48*AT48*VLOOKUP('Données projet'!$B$10,Paramètres!$A$1:$I$89,3,0)*0.475*44/12</f>
        <v>#N/A</v>
      </c>
      <c r="AX48" s="21" t="e">
        <f t="shared" si="6"/>
        <v>#N/A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3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67">
        <f t="shared" si="1"/>
        <v>256.66666666666669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15.21153846153846</v>
      </c>
      <c r="N49" s="13">
        <f>IF('Données projet'!$A$36&gt;35,N48+M49-V48,IF(A49&lt;'Données projet'!$A$36,$K$205^A49,IF(A49='Données projet'!$A$36,'Données projet'!$B$36,N48+M49-V48)))</f>
        <v>397.32307692307688</v>
      </c>
      <c r="O49" s="13">
        <f>N49*VLOOKUP('Données projet'!$B$9,Paramètres!$A$1:$I$89,3,0)*VLOOKUP('Données projet'!$B$9,Paramètres!$A$1:$I$89,5,0)</f>
        <v>237.5992</v>
      </c>
      <c r="P49" s="13">
        <f t="shared" si="33"/>
        <v>57.922684812819405</v>
      </c>
      <c r="Q49" s="20">
        <f t="shared" si="53"/>
        <v>514.70061604899377</v>
      </c>
      <c r="R49" s="59">
        <f t="shared" si="0"/>
        <v>808.03394938232714</v>
      </c>
      <c r="S49" s="59">
        <f ca="1">AVERAGE(OFFSET($R$3,0,0,'Données projet'!$E$9+1,1))-AVERAGE(OFFSET($H$3,0,0,'Données projet'!$E$9+1,1))</f>
        <v>323.17232038705157</v>
      </c>
      <c r="T49" s="59">
        <f t="shared" si="34"/>
        <v>402.34685738619197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40.680685848090825</v>
      </c>
      <c r="AA49" s="21">
        <f>EXP(-LN(2)/25)*AA48+(1-EXP(-LN(2)/25))/(LN(2)/25)*Calculateur!V49*Calculateur!X49*VLOOKUP('Données projet'!$B$9,Paramètres!$A$1:$I$89,3,0)*0.475*44/12</f>
        <v>17.828592976576921</v>
      </c>
      <c r="AB49" s="21">
        <f>EXP(-LN(2)/2)*AB48+(1-EXP(-LN(2)/2))/(LN(2)/2)*V49*Y49*VLOOKUP('Données projet'!$B$9,Paramètres!$A$1:$I$89,3,0)*0.475*44/12</f>
        <v>1.086435136403493</v>
      </c>
      <c r="AC49" s="22">
        <f t="shared" si="3"/>
        <v>59.59571396107124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0</v>
      </c>
      <c r="AJ49" s="13" t="e">
        <f>AI49*VLOOKUP('Données projet'!$B$10,Paramètres!$A$1:$I$89,3,0)*VLOOKUP('Données projet'!$B$10,Paramètres!$A$1:$I$89,5,0)</f>
        <v>#N/A</v>
      </c>
      <c r="AK49" s="13" t="e">
        <f t="shared" si="35"/>
        <v>#N/A</v>
      </c>
      <c r="AL49" s="20" t="e">
        <f t="shared" si="4"/>
        <v>#N/A</v>
      </c>
      <c r="AM49" s="59" t="e">
        <f t="shared" si="5"/>
        <v>#N/A</v>
      </c>
      <c r="AN49" s="59" t="e">
        <f ca="1">AVERAGE(OFFSET($AM$3,0,0,'Données projet'!$E$10+1,1))-AVERAGE(OFFSET($H$3,0,0,'Données projet'!$E$10+1,1))</f>
        <v>#N/A</v>
      </c>
      <c r="AO49" s="59" t="e">
        <f t="shared" si="36"/>
        <v>#N/A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 t="e">
        <f>EXP(-LN(2)/35)*AU48+(1-EXP(-LN(2)/35))/(LN(2)/35)*AQ49*AR49*VLOOKUP('Données projet'!$B$10,Paramètres!$A$1:$I$89,3,0)*0.475*44/12</f>
        <v>#N/A</v>
      </c>
      <c r="AV49" s="21" t="e">
        <f>EXP(-LN(2)/25)*AV48+(1-EXP(-LN(2)/25))/(LN(2)/25)*Calculateur!AQ49*Calculateur!AS49*VLOOKUP('Données projet'!$B$10,Paramètres!$A$1:$I$89,3,0)*0.475*44/12</f>
        <v>#N/A</v>
      </c>
      <c r="AW49" s="21" t="e">
        <f>EXP(-LN(2)/2)*AW48+(1-EXP(-LN(2)/2))/(LN(2)/2)*AQ49*AT49*VLOOKUP('Données projet'!$B$10,Paramètres!$A$1:$I$89,3,0)*0.475*44/12</f>
        <v>#N/A</v>
      </c>
      <c r="AX49" s="21" t="e">
        <f t="shared" si="6"/>
        <v>#N/A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3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67">
        <f t="shared" si="1"/>
        <v>256.66666666666669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15.21153846153846</v>
      </c>
      <c r="N50" s="13">
        <f>IF('Données projet'!$A$36&gt;35,N49+M50-V49,IF(A50&lt;'Données projet'!$A$36,$K$205^A50,IF(A50='Données projet'!$A$36,'Données projet'!$B$36,N49+M50-V49)))</f>
        <v>412.53461538461534</v>
      </c>
      <c r="O50" s="13">
        <f>N50*VLOOKUP('Données projet'!$B$9,Paramètres!$A$1:$I$89,3,0)*VLOOKUP('Données projet'!$B$9,Paramètres!$A$1:$I$89,5,0)</f>
        <v>246.69569999999999</v>
      </c>
      <c r="P50" s="13">
        <f t="shared" si="33"/>
        <v>59.877827754324372</v>
      </c>
      <c r="Q50" s="20">
        <f t="shared" si="53"/>
        <v>533.94889417211482</v>
      </c>
      <c r="R50" s="59">
        <f t="shared" si="0"/>
        <v>827.28222750544819</v>
      </c>
      <c r="S50" s="59">
        <f ca="1">AVERAGE(OFFSET($R$3,0,0,'Données projet'!$E$9+1,1))-AVERAGE(OFFSET($H$3,0,0,'Données projet'!$E$9+1,1))</f>
        <v>323.17232038705157</v>
      </c>
      <c r="T50" s="59">
        <f t="shared" si="34"/>
        <v>402.34685738619197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39.882962411378074</v>
      </c>
      <c r="AA50" s="21">
        <f>EXP(-LN(2)/25)*AA49+(1-EXP(-LN(2)/25))/(LN(2)/25)*Calculateur!V50*Calculateur!X50*VLOOKUP('Données projet'!$B$9,Paramètres!$A$1:$I$89,3,0)*0.475*44/12</f>
        <v>17.34106916406747</v>
      </c>
      <c r="AB50" s="21">
        <f>EXP(-LN(2)/2)*AB49+(1-EXP(-LN(2)/2))/(LN(2)/2)*V50*Y50*VLOOKUP('Données projet'!$B$9,Paramètres!$A$1:$I$89,3,0)*0.475*44/12</f>
        <v>0.76822565227024164</v>
      </c>
      <c r="AC50" s="22">
        <f t="shared" si="3"/>
        <v>57.992257227715783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0</v>
      </c>
      <c r="AJ50" s="13" t="e">
        <f>AI50*VLOOKUP('Données projet'!$B$10,Paramètres!$A$1:$I$89,3,0)*VLOOKUP('Données projet'!$B$10,Paramètres!$A$1:$I$89,5,0)</f>
        <v>#N/A</v>
      </c>
      <c r="AK50" s="13" t="e">
        <f t="shared" si="35"/>
        <v>#N/A</v>
      </c>
      <c r="AL50" s="20" t="e">
        <f t="shared" si="4"/>
        <v>#N/A</v>
      </c>
      <c r="AM50" s="59" t="e">
        <f t="shared" si="5"/>
        <v>#N/A</v>
      </c>
      <c r="AN50" s="59" t="e">
        <f ca="1">AVERAGE(OFFSET($AM$3,0,0,'Données projet'!$E$10+1,1))-AVERAGE(OFFSET($H$3,0,0,'Données projet'!$E$10+1,1))</f>
        <v>#N/A</v>
      </c>
      <c r="AO50" s="59" t="e">
        <f t="shared" si="36"/>
        <v>#N/A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 t="e">
        <f>EXP(-LN(2)/35)*AU49+(1-EXP(-LN(2)/35))/(LN(2)/35)*AQ50*AR50*VLOOKUP('Données projet'!$B$10,Paramètres!$A$1:$I$89,3,0)*0.475*44/12</f>
        <v>#N/A</v>
      </c>
      <c r="AV50" s="21" t="e">
        <f>EXP(-LN(2)/25)*AV49+(1-EXP(-LN(2)/25))/(LN(2)/25)*Calculateur!AQ50*Calculateur!AS50*VLOOKUP('Données projet'!$B$10,Paramètres!$A$1:$I$89,3,0)*0.475*44/12</f>
        <v>#N/A</v>
      </c>
      <c r="AW50" s="21" t="e">
        <f>EXP(-LN(2)/2)*AW49+(1-EXP(-LN(2)/2))/(LN(2)/2)*AQ50*AT50*VLOOKUP('Données projet'!$B$10,Paramètres!$A$1:$I$89,3,0)*0.475*44/12</f>
        <v>#N/A</v>
      </c>
      <c r="AX50" s="21" t="e">
        <f t="shared" si="6"/>
        <v>#N/A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3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67">
        <f t="shared" si="1"/>
        <v>256.66666666666669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>
        <f>VLOOKUP(A51,'Données projet'!$A$35:$I$55,2,0)</f>
        <v>427.74615384615385</v>
      </c>
      <c r="L51" s="12">
        <f>VLOOKUP(A51,'Données projet'!$A$35:$I$55,9,0)</f>
        <v>15.21153846153846</v>
      </c>
      <c r="M51" s="12">
        <f t="array" ref="M51">INDEX(L:L,MIN(IF(ISNUMBER(L51:L247),ROW(L51:L247),"")))</f>
        <v>15.21153846153846</v>
      </c>
      <c r="N51" s="13">
        <f>IF('Données projet'!$A$36&gt;35,N50+M51-V50,IF(A51&lt;'Données projet'!$A$36,$K$205^A51,IF(A51='Données projet'!$A$36,'Données projet'!$B$36,N50+M51-V50)))</f>
        <v>427.74615384615379</v>
      </c>
      <c r="O51" s="13">
        <f>N51*VLOOKUP('Données projet'!$B$9,Paramètres!$A$1:$I$89,3,0)*VLOOKUP('Données projet'!$B$9,Paramètres!$A$1:$I$89,5,0)</f>
        <v>255.79219999999998</v>
      </c>
      <c r="P51" s="13">
        <f t="shared" si="33"/>
        <v>61.824595084245523</v>
      </c>
      <c r="Q51" s="20">
        <f t="shared" si="53"/>
        <v>553.18258477172765</v>
      </c>
      <c r="R51" s="59">
        <f t="shared" si="0"/>
        <v>846.51591810506102</v>
      </c>
      <c r="S51" s="59">
        <f ca="1">AVERAGE(OFFSET($R$3,0,0,'Données projet'!$E$9+1,1))-AVERAGE(OFFSET($H$3,0,0,'Données projet'!$E$9+1,1))</f>
        <v>323.17232038705157</v>
      </c>
      <c r="T51" s="59">
        <f t="shared" si="34"/>
        <v>402.34685738619197</v>
      </c>
      <c r="U51" s="15">
        <f>IF(ISNA(VLOOKUP(A51,'Données projet'!$A$35:$I$55,3,0)),0,VLOOKUP(A51,'Données projet'!$A$35:$I$55,3,0))</f>
        <v>6</v>
      </c>
      <c r="V51" s="15">
        <f>IF(ISNA(VLOOKUP(A51,'Données projet'!$A$35:$I$55,4,0)),0,VLOOKUP(A51,'Données projet'!$A$35:$I$55,4,0))</f>
        <v>83.969230769230762</v>
      </c>
      <c r="W51" s="16">
        <f>IF(ISNA(VLOOKUP(A51,'Données projet'!$A$35:$I$55,5,0)),0%,VLOOKUP(A51,'Données projet'!$A$35:$I$55,5,0)*VLOOKUP('Données projet'!$B$9,Paramètres!$A$1:$I$89,7,0))</f>
        <v>0.315</v>
      </c>
      <c r="X51" s="16">
        <f>IF(ISNA(VLOOKUP(A51,'Données projet'!$A$35:$I$55,6,0)),0%,VLOOKUP(A51,'Données projet'!$A$35:$I$55,6,0)*VLOOKUP('Données projet'!$B$9,Paramètres!$A$1:$I$89,7,0))</f>
        <v>7.5600000000000001E-2</v>
      </c>
      <c r="Y51" s="16">
        <f>IF(ISNA(VLOOKUP(A51,'Données projet'!$A$35:$I$55,7,0)),0%,VLOOKUP(A51,'Données projet'!$A$35:$I$55,7,0))</f>
        <v>0.13200000000000001</v>
      </c>
      <c r="Z51" s="21">
        <f>EXP(-LN(2)/35)*Z50+(1-EXP(-LN(2)/35))/(LN(2)/35)*V51*W51*VLOOKUP('Données projet'!$B$9,Paramètres!$A$1:$I$89,3,0)*0.475*44/12</f>
        <v>60.083528580688551</v>
      </c>
      <c r="AA51" s="21">
        <f>EXP(-LN(2)/25)*AA50+(1-EXP(-LN(2)/25))/(LN(2)/25)*Calculateur!V51*Calculateur!X51*VLOOKUP('Données projet'!$B$9,Paramètres!$A$1:$I$89,3,0)*0.475*44/12</f>
        <v>21.882883930435508</v>
      </c>
      <c r="AB51" s="21">
        <f>EXP(-LN(2)/2)*AB50+(1-EXP(-LN(2)/2))/(LN(2)/2)*V51*Y51*VLOOKUP('Données projet'!$B$9,Paramètres!$A$1:$I$89,3,0)*0.475*44/12</f>
        <v>8.0478742479516399</v>
      </c>
      <c r="AC51" s="22">
        <f t="shared" si="3"/>
        <v>90.014286759075702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0</v>
      </c>
      <c r="AJ51" s="13" t="e">
        <f>AI51*VLOOKUP('Données projet'!$B$10,Paramètres!$A$1:$I$89,3,0)*VLOOKUP('Données projet'!$B$10,Paramètres!$A$1:$I$89,5,0)</f>
        <v>#N/A</v>
      </c>
      <c r="AK51" s="13" t="e">
        <f t="shared" si="35"/>
        <v>#N/A</v>
      </c>
      <c r="AL51" s="20" t="e">
        <f t="shared" si="4"/>
        <v>#N/A</v>
      </c>
      <c r="AM51" s="59" t="e">
        <f t="shared" si="5"/>
        <v>#N/A</v>
      </c>
      <c r="AN51" s="59" t="e">
        <f ca="1">AVERAGE(OFFSET($AM$3,0,0,'Données projet'!$E$10+1,1))-AVERAGE(OFFSET($H$3,0,0,'Données projet'!$E$10+1,1))</f>
        <v>#N/A</v>
      </c>
      <c r="AO51" s="59" t="e">
        <f t="shared" si="36"/>
        <v>#N/A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 t="e">
        <f>EXP(-LN(2)/35)*AU50+(1-EXP(-LN(2)/35))/(LN(2)/35)*AQ51*AR51*VLOOKUP('Données projet'!$B$10,Paramètres!$A$1:$I$89,3,0)*0.475*44/12</f>
        <v>#N/A</v>
      </c>
      <c r="AV51" s="21" t="e">
        <f>EXP(-LN(2)/25)*AV50+(1-EXP(-LN(2)/25))/(LN(2)/25)*Calculateur!AQ51*Calculateur!AS51*VLOOKUP('Données projet'!$B$10,Paramètres!$A$1:$I$89,3,0)*0.475*44/12</f>
        <v>#N/A</v>
      </c>
      <c r="AW51" s="21" t="e">
        <f>EXP(-LN(2)/2)*AW50+(1-EXP(-LN(2)/2))/(LN(2)/2)*AQ51*AT51*VLOOKUP('Données projet'!$B$10,Paramètres!$A$1:$I$89,3,0)*0.475*44/12</f>
        <v>#N/A</v>
      </c>
      <c r="AX51" s="21" t="e">
        <f t="shared" si="6"/>
        <v>#N/A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3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67">
        <f t="shared" si="1"/>
        <v>256.66666666666669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12.837499999999991</v>
      </c>
      <c r="N52" s="13">
        <f>IF('Données projet'!$A$36&gt;35,N51+M52-V51,IF(A52&lt;'Données projet'!$A$36,$K$205^A52,IF(A52='Données projet'!$A$36,'Données projet'!$B$36,N51+M52-V51)))</f>
        <v>356.614423076923</v>
      </c>
      <c r="O52" s="13">
        <f>N52*VLOOKUP('Données projet'!$B$9,Paramètres!$A$1:$I$89,3,0)*VLOOKUP('Données projet'!$B$9,Paramètres!$A$1:$I$89,5,0)</f>
        <v>213.25542499999997</v>
      </c>
      <c r="P52" s="13">
        <f t="shared" si="33"/>
        <v>52.646339807871037</v>
      </c>
      <c r="Q52" s="20">
        <f t="shared" si="53"/>
        <v>463.11224037370863</v>
      </c>
      <c r="R52" s="59">
        <f t="shared" si="0"/>
        <v>756.44557370704194</v>
      </c>
      <c r="S52" s="59">
        <f ca="1">AVERAGE(OFFSET($R$3,0,0,'Données projet'!$E$9+1,1))-AVERAGE(OFFSET($H$3,0,0,'Données projet'!$E$9+1,1))</f>
        <v>323.17232038705157</v>
      </c>
      <c r="T52" s="59">
        <f t="shared" si="34"/>
        <v>402.34685738619197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58.905327232555059</v>
      </c>
      <c r="AA52" s="21">
        <f>EXP(-LN(2)/25)*AA51+(1-EXP(-LN(2)/25))/(LN(2)/25)*Calculateur!V52*Calculateur!X52*VLOOKUP('Données projet'!$B$9,Paramètres!$A$1:$I$89,3,0)*0.475*44/12</f>
        <v>21.284495318586895</v>
      </c>
      <c r="AB52" s="21">
        <f>EXP(-LN(2)/2)*AB51+(1-EXP(-LN(2)/2))/(LN(2)/2)*V52*Y52*VLOOKUP('Données projet'!$B$9,Paramètres!$A$1:$I$89,3,0)*0.475*44/12</f>
        <v>5.6907064548631912</v>
      </c>
      <c r="AC52" s="22">
        <f t="shared" si="3"/>
        <v>85.880529006005148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0</v>
      </c>
      <c r="AJ52" s="13" t="e">
        <f>AI52*VLOOKUP('Données projet'!$B$10,Paramètres!$A$1:$I$89,3,0)*VLOOKUP('Données projet'!$B$10,Paramètres!$A$1:$I$89,5,0)</f>
        <v>#N/A</v>
      </c>
      <c r="AK52" s="13" t="e">
        <f t="shared" si="35"/>
        <v>#N/A</v>
      </c>
      <c r="AL52" s="20" t="e">
        <f t="shared" si="4"/>
        <v>#N/A</v>
      </c>
      <c r="AM52" s="59" t="e">
        <f t="shared" si="5"/>
        <v>#N/A</v>
      </c>
      <c r="AN52" s="59" t="e">
        <f ca="1">AVERAGE(OFFSET($AM$3,0,0,'Données projet'!$E$10+1,1))-AVERAGE(OFFSET($H$3,0,0,'Données projet'!$E$10+1,1))</f>
        <v>#N/A</v>
      </c>
      <c r="AO52" s="59" t="e">
        <f t="shared" si="36"/>
        <v>#N/A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 t="e">
        <f>EXP(-LN(2)/35)*AU51+(1-EXP(-LN(2)/35))/(LN(2)/35)*AQ52*AR52*VLOOKUP('Données projet'!$B$10,Paramètres!$A$1:$I$89,3,0)*0.475*44/12</f>
        <v>#N/A</v>
      </c>
      <c r="AV52" s="21" t="e">
        <f>EXP(-LN(2)/25)*AV51+(1-EXP(-LN(2)/25))/(LN(2)/25)*Calculateur!AQ52*Calculateur!AS52*VLOOKUP('Données projet'!$B$10,Paramètres!$A$1:$I$89,3,0)*0.475*44/12</f>
        <v>#N/A</v>
      </c>
      <c r="AW52" s="21" t="e">
        <f>EXP(-LN(2)/2)*AW51+(1-EXP(-LN(2)/2))/(LN(2)/2)*AQ52*AT52*VLOOKUP('Données projet'!$B$10,Paramètres!$A$1:$I$89,3,0)*0.475*44/12</f>
        <v>#N/A</v>
      </c>
      <c r="AX52" s="21" t="e">
        <f t="shared" si="6"/>
        <v>#N/A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3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67">
        <f t="shared" si="1"/>
        <v>256.66666666666669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12.837499999999991</v>
      </c>
      <c r="N53" s="13">
        <f>IF('Données projet'!$A$36&gt;35,N52+M53-V52,IF(A53&lt;'Données projet'!$A$36,$K$205^A53,IF(A53='Données projet'!$A$36,'Données projet'!$B$36,N52+M53-V52)))</f>
        <v>369.45192307692298</v>
      </c>
      <c r="O53" s="13">
        <f>N53*VLOOKUP('Données projet'!$B$9,Paramètres!$A$1:$I$89,3,0)*VLOOKUP('Données projet'!$B$9,Paramètres!$A$1:$I$89,5,0)</f>
        <v>220.93224999999995</v>
      </c>
      <c r="P53" s="13">
        <f t="shared" si="33"/>
        <v>54.31745576001893</v>
      </c>
      <c r="Q53" s="20">
        <f t="shared" si="53"/>
        <v>479.3932375320328</v>
      </c>
      <c r="R53" s="59">
        <f t="shared" si="0"/>
        <v>772.72657086536606</v>
      </c>
      <c r="S53" s="59">
        <f ca="1">AVERAGE(OFFSET($R$3,0,0,'Données projet'!$E$9+1,1))-AVERAGE(OFFSET($H$3,0,0,'Données projet'!$E$9+1,1))</f>
        <v>323.17232038705157</v>
      </c>
      <c r="T53" s="59">
        <f t="shared" si="34"/>
        <v>402.34685738619197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57.750229694226604</v>
      </c>
      <c r="AA53" s="21">
        <f>EXP(-LN(2)/25)*AA52+(1-EXP(-LN(2)/25))/(LN(2)/25)*Calculateur!V53*Calculateur!X53*VLOOKUP('Données projet'!$B$9,Paramètres!$A$1:$I$89,3,0)*0.475*44/12</f>
        <v>20.702469674797175</v>
      </c>
      <c r="AB53" s="21">
        <f>EXP(-LN(2)/2)*AB52+(1-EXP(-LN(2)/2))/(LN(2)/2)*V53*Y53*VLOOKUP('Données projet'!$B$9,Paramètres!$A$1:$I$89,3,0)*0.475*44/12</f>
        <v>4.0239371239758199</v>
      </c>
      <c r="AC53" s="22">
        <f t="shared" si="3"/>
        <v>82.476636492999603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0</v>
      </c>
      <c r="AJ53" s="13" t="e">
        <f>AI53*VLOOKUP('Données projet'!$B$10,Paramètres!$A$1:$I$89,3,0)*VLOOKUP('Données projet'!$B$10,Paramètres!$A$1:$I$89,5,0)</f>
        <v>#N/A</v>
      </c>
      <c r="AK53" s="13" t="e">
        <f t="shared" si="35"/>
        <v>#N/A</v>
      </c>
      <c r="AL53" s="20" t="e">
        <f t="shared" si="4"/>
        <v>#N/A</v>
      </c>
      <c r="AM53" s="59" t="e">
        <f t="shared" si="5"/>
        <v>#N/A</v>
      </c>
      <c r="AN53" s="59" t="e">
        <f ca="1">AVERAGE(OFFSET($AM$3,0,0,'Données projet'!$E$10+1,1))-AVERAGE(OFFSET($H$3,0,0,'Données projet'!$E$10+1,1))</f>
        <v>#N/A</v>
      </c>
      <c r="AO53" s="59" t="e">
        <f t="shared" si="36"/>
        <v>#N/A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 t="e">
        <f>EXP(-LN(2)/35)*AU52+(1-EXP(-LN(2)/35))/(LN(2)/35)*AQ53*AR53*VLOOKUP('Données projet'!$B$10,Paramètres!$A$1:$I$89,3,0)*0.475*44/12</f>
        <v>#N/A</v>
      </c>
      <c r="AV53" s="21" t="e">
        <f>EXP(-LN(2)/25)*AV52+(1-EXP(-LN(2)/25))/(LN(2)/25)*Calculateur!AQ53*Calculateur!AS53*VLOOKUP('Données projet'!$B$10,Paramètres!$A$1:$I$89,3,0)*0.475*44/12</f>
        <v>#N/A</v>
      </c>
      <c r="AW53" s="21" t="e">
        <f>EXP(-LN(2)/2)*AW52+(1-EXP(-LN(2)/2))/(LN(2)/2)*AQ53*AT53*VLOOKUP('Données projet'!$B$10,Paramètres!$A$1:$I$89,3,0)*0.475*44/12</f>
        <v>#N/A</v>
      </c>
      <c r="AX53" s="21" t="e">
        <f t="shared" si="6"/>
        <v>#N/A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3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67">
        <f t="shared" si="1"/>
        <v>256.66666666666669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12.837499999999991</v>
      </c>
      <c r="N54" s="13">
        <f>IF('Données projet'!$A$36&gt;35,N53+M54-V53,IF(A54&lt;'Données projet'!$A$36,$K$205^A54,IF(A54='Données projet'!$A$36,'Données projet'!$B$36,N53+M54-V53)))</f>
        <v>382.28942307692296</v>
      </c>
      <c r="O54" s="13">
        <f>N54*VLOOKUP('Données projet'!$B$9,Paramètres!$A$1:$I$89,3,0)*VLOOKUP('Données projet'!$B$9,Paramètres!$A$1:$I$89,5,0)</f>
        <v>228.60907499999993</v>
      </c>
      <c r="P54" s="13">
        <f t="shared" si="33"/>
        <v>55.981824933821947</v>
      </c>
      <c r="Q54" s="20">
        <f t="shared" si="53"/>
        <v>495.66248405140641</v>
      </c>
      <c r="R54" s="59">
        <f t="shared" si="0"/>
        <v>788.99581738473967</v>
      </c>
      <c r="S54" s="59">
        <f ca="1">AVERAGE(OFFSET($R$3,0,0,'Données projet'!$E$9+1,1))-AVERAGE(OFFSET($H$3,0,0,'Données projet'!$E$9+1,1))</f>
        <v>323.17232038705157</v>
      </c>
      <c r="T54" s="59">
        <f t="shared" si="34"/>
        <v>402.34685738619197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56.617782914084835</v>
      </c>
      <c r="AA54" s="21">
        <f>EXP(-LN(2)/25)*AA53+(1-EXP(-LN(2)/25))/(LN(2)/25)*Calculateur!V54*Calculateur!X54*VLOOKUP('Données projet'!$B$9,Paramètres!$A$1:$I$89,3,0)*0.475*44/12</f>
        <v>20.136359552844283</v>
      </c>
      <c r="AB54" s="21">
        <f>EXP(-LN(2)/2)*AB53+(1-EXP(-LN(2)/2))/(LN(2)/2)*V54*Y54*VLOOKUP('Données projet'!$B$9,Paramètres!$A$1:$I$89,3,0)*0.475*44/12</f>
        <v>2.8453532274315956</v>
      </c>
      <c r="AC54" s="22">
        <f t="shared" si="3"/>
        <v>79.599495694360726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0</v>
      </c>
      <c r="AJ54" s="13" t="e">
        <f>AI54*VLOOKUP('Données projet'!$B$10,Paramètres!$A$1:$I$89,3,0)*VLOOKUP('Données projet'!$B$10,Paramètres!$A$1:$I$89,5,0)</f>
        <v>#N/A</v>
      </c>
      <c r="AK54" s="13" t="e">
        <f t="shared" si="35"/>
        <v>#N/A</v>
      </c>
      <c r="AL54" s="20" t="e">
        <f t="shared" si="4"/>
        <v>#N/A</v>
      </c>
      <c r="AM54" s="59" t="e">
        <f t="shared" si="5"/>
        <v>#N/A</v>
      </c>
      <c r="AN54" s="59" t="e">
        <f ca="1">AVERAGE(OFFSET($AM$3,0,0,'Données projet'!$E$10+1,1))-AVERAGE(OFFSET($H$3,0,0,'Données projet'!$E$10+1,1))</f>
        <v>#N/A</v>
      </c>
      <c r="AO54" s="59" t="e">
        <f t="shared" si="36"/>
        <v>#N/A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 t="e">
        <f>EXP(-LN(2)/35)*AU53+(1-EXP(-LN(2)/35))/(LN(2)/35)*AQ54*AR54*VLOOKUP('Données projet'!$B$10,Paramètres!$A$1:$I$89,3,0)*0.475*44/12</f>
        <v>#N/A</v>
      </c>
      <c r="AV54" s="21" t="e">
        <f>EXP(-LN(2)/25)*AV53+(1-EXP(-LN(2)/25))/(LN(2)/25)*Calculateur!AQ54*Calculateur!AS54*VLOOKUP('Données projet'!$B$10,Paramètres!$A$1:$I$89,3,0)*0.475*44/12</f>
        <v>#N/A</v>
      </c>
      <c r="AW54" s="21" t="e">
        <f>EXP(-LN(2)/2)*AW53+(1-EXP(-LN(2)/2))/(LN(2)/2)*AQ54*AT54*VLOOKUP('Données projet'!$B$10,Paramètres!$A$1:$I$89,3,0)*0.475*44/12</f>
        <v>#N/A</v>
      </c>
      <c r="AX54" s="21" t="e">
        <f t="shared" si="6"/>
        <v>#N/A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3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67">
        <f t="shared" si="1"/>
        <v>256.66666666666669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12.837499999999991</v>
      </c>
      <c r="N55" s="13">
        <f>IF('Données projet'!$A$36&gt;35,N54+M55-V54,IF(A55&lt;'Données projet'!$A$36,$K$205^A55,IF(A55='Données projet'!$A$36,'Données projet'!$B$36,N54+M55-V54)))</f>
        <v>395.12692307692294</v>
      </c>
      <c r="O55" s="13">
        <f>N55*VLOOKUP('Données projet'!$B$9,Paramètres!$A$1:$I$89,3,0)*VLOOKUP('Données projet'!$B$9,Paramètres!$A$1:$I$89,5,0)</f>
        <v>236.28589999999994</v>
      </c>
      <c r="P55" s="13">
        <f t="shared" si="33"/>
        <v>57.639699864397812</v>
      </c>
      <c r="Q55" s="20">
        <f t="shared" si="53"/>
        <v>511.92041976382615</v>
      </c>
      <c r="R55" s="59">
        <f t="shared" si="0"/>
        <v>805.25375309715946</v>
      </c>
      <c r="S55" s="59">
        <f ca="1">AVERAGE(OFFSET($R$3,0,0,'Données projet'!$E$9+1,1))-AVERAGE(OFFSET($H$3,0,0,'Données projet'!$E$9+1,1))</f>
        <v>323.17232038705157</v>
      </c>
      <c r="T55" s="59">
        <f t="shared" si="34"/>
        <v>402.34685738619197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55.507542724577313</v>
      </c>
      <c r="AA55" s="21">
        <f>EXP(-LN(2)/25)*AA54+(1-EXP(-LN(2)/25))/(LN(2)/25)*Calculateur!V55*Calculateur!X55*VLOOKUP('Données projet'!$B$9,Paramètres!$A$1:$I$89,3,0)*0.475*44/12</f>
        <v>19.585729741946629</v>
      </c>
      <c r="AB55" s="21">
        <f>EXP(-LN(2)/2)*AB54+(1-EXP(-LN(2)/2))/(LN(2)/2)*V55*Y55*VLOOKUP('Données projet'!$B$9,Paramètres!$A$1:$I$89,3,0)*0.475*44/12</f>
        <v>2.01196856198791</v>
      </c>
      <c r="AC55" s="22">
        <f t="shared" si="3"/>
        <v>77.105241028511855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0</v>
      </c>
      <c r="AJ55" s="13" t="e">
        <f>AI55*VLOOKUP('Données projet'!$B$10,Paramètres!$A$1:$I$89,3,0)*VLOOKUP('Données projet'!$B$10,Paramètres!$A$1:$I$89,5,0)</f>
        <v>#N/A</v>
      </c>
      <c r="AK55" s="13" t="e">
        <f t="shared" si="35"/>
        <v>#N/A</v>
      </c>
      <c r="AL55" s="20" t="e">
        <f t="shared" si="4"/>
        <v>#N/A</v>
      </c>
      <c r="AM55" s="59" t="e">
        <f t="shared" si="5"/>
        <v>#N/A</v>
      </c>
      <c r="AN55" s="59" t="e">
        <f ca="1">AVERAGE(OFFSET($AM$3,0,0,'Données projet'!$E$10+1,1))-AVERAGE(OFFSET($H$3,0,0,'Données projet'!$E$10+1,1))</f>
        <v>#N/A</v>
      </c>
      <c r="AO55" s="59" t="e">
        <f t="shared" si="36"/>
        <v>#N/A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 t="e">
        <f>EXP(-LN(2)/35)*AU54+(1-EXP(-LN(2)/35))/(LN(2)/35)*AQ55*AR55*VLOOKUP('Données projet'!$B$10,Paramètres!$A$1:$I$89,3,0)*0.475*44/12</f>
        <v>#N/A</v>
      </c>
      <c r="AV55" s="21" t="e">
        <f>EXP(-LN(2)/25)*AV54+(1-EXP(-LN(2)/25))/(LN(2)/25)*Calculateur!AQ55*Calculateur!AS55*VLOOKUP('Données projet'!$B$10,Paramètres!$A$1:$I$89,3,0)*0.475*44/12</f>
        <v>#N/A</v>
      </c>
      <c r="AW55" s="21" t="e">
        <f>EXP(-LN(2)/2)*AW54+(1-EXP(-LN(2)/2))/(LN(2)/2)*AQ55*AT55*VLOOKUP('Données projet'!$B$10,Paramètres!$A$1:$I$89,3,0)*0.475*44/12</f>
        <v>#N/A</v>
      </c>
      <c r="AX55" s="21" t="e">
        <f t="shared" si="6"/>
        <v>#N/A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3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67">
        <f t="shared" si="1"/>
        <v>256.66666666666669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12.837499999999991</v>
      </c>
      <c r="N56" s="13">
        <f>IF('Données projet'!$A$36&gt;35,N55+M56-V55,IF(A56&lt;'Données projet'!$A$36,$K$205^A56,IF(A56='Données projet'!$A$36,'Données projet'!$B$36,N55+M56-V55)))</f>
        <v>407.96442307692291</v>
      </c>
      <c r="O56" s="13">
        <f>N56*VLOOKUP('Données projet'!$B$9,Paramètres!$A$1:$I$89,3,0)*VLOOKUP('Données projet'!$B$9,Paramètres!$A$1:$I$89,5,0)</f>
        <v>243.96272499999992</v>
      </c>
      <c r="P56" s="13">
        <f t="shared" si="33"/>
        <v>59.291315745845196</v>
      </c>
      <c r="Q56" s="20">
        <f t="shared" si="53"/>
        <v>528.16745429901368</v>
      </c>
      <c r="R56" s="59">
        <f t="shared" si="0"/>
        <v>821.50078763234706</v>
      </c>
      <c r="S56" s="59">
        <f ca="1">AVERAGE(OFFSET($R$3,0,0,'Données projet'!$E$9+1,1))-AVERAGE(OFFSET($H$3,0,0,'Données projet'!$E$9+1,1))</f>
        <v>323.17232038705157</v>
      </c>
      <c r="T56" s="59">
        <f t="shared" si="34"/>
        <v>402.34685738619197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54.419073668006384</v>
      </c>
      <c r="AA56" s="21">
        <f>EXP(-LN(2)/25)*AA55+(1-EXP(-LN(2)/25))/(LN(2)/25)*Calculateur!V56*Calculateur!X56*VLOOKUP('Données projet'!$B$9,Paramètres!$A$1:$I$89,3,0)*0.475*44/12</f>
        <v>19.050156932184336</v>
      </c>
      <c r="AB56" s="21">
        <f>EXP(-LN(2)/2)*AB55+(1-EXP(-LN(2)/2))/(LN(2)/2)*V56*Y56*VLOOKUP('Données projet'!$B$9,Paramètres!$A$1:$I$89,3,0)*0.475*44/12</f>
        <v>1.4226766137157978</v>
      </c>
      <c r="AC56" s="22">
        <f t="shared" si="3"/>
        <v>74.891907213906507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0</v>
      </c>
      <c r="AJ56" s="13" t="e">
        <f>AI56*VLOOKUP('Données projet'!$B$10,Paramètres!$A$1:$I$89,3,0)*VLOOKUP('Données projet'!$B$10,Paramètres!$A$1:$I$89,5,0)</f>
        <v>#N/A</v>
      </c>
      <c r="AK56" s="13" t="e">
        <f t="shared" si="35"/>
        <v>#N/A</v>
      </c>
      <c r="AL56" s="20" t="e">
        <f t="shared" si="4"/>
        <v>#N/A</v>
      </c>
      <c r="AM56" s="59" t="e">
        <f t="shared" si="5"/>
        <v>#N/A</v>
      </c>
      <c r="AN56" s="59" t="e">
        <f ca="1">AVERAGE(OFFSET($AM$3,0,0,'Données projet'!$E$10+1,1))-AVERAGE(OFFSET($H$3,0,0,'Données projet'!$E$10+1,1))</f>
        <v>#N/A</v>
      </c>
      <c r="AO56" s="59" t="e">
        <f t="shared" si="36"/>
        <v>#N/A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 t="e">
        <f>EXP(-LN(2)/35)*AU55+(1-EXP(-LN(2)/35))/(LN(2)/35)*AQ56*AR56*VLOOKUP('Données projet'!$B$10,Paramètres!$A$1:$I$89,3,0)*0.475*44/12</f>
        <v>#N/A</v>
      </c>
      <c r="AV56" s="21" t="e">
        <f>EXP(-LN(2)/25)*AV55+(1-EXP(-LN(2)/25))/(LN(2)/25)*Calculateur!AQ56*Calculateur!AS56*VLOOKUP('Données projet'!$B$10,Paramètres!$A$1:$I$89,3,0)*0.475*44/12</f>
        <v>#N/A</v>
      </c>
      <c r="AW56" s="21" t="e">
        <f>EXP(-LN(2)/2)*AW55+(1-EXP(-LN(2)/2))/(LN(2)/2)*AQ56*AT56*VLOOKUP('Données projet'!$B$10,Paramètres!$A$1:$I$89,3,0)*0.475*44/12</f>
        <v>#N/A</v>
      </c>
      <c r="AX56" s="21" t="e">
        <f t="shared" si="6"/>
        <v>#N/A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3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67">
        <f t="shared" si="1"/>
        <v>256.66666666666669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12.837499999999991</v>
      </c>
      <c r="N57" s="13">
        <f>IF('Données projet'!$A$36&gt;35,N56+M57-V56,IF(A57&lt;'Données projet'!$A$36,$K$205^A57,IF(A57='Données projet'!$A$36,'Données projet'!$B$36,N56+M57-V56)))</f>
        <v>420.80192307692289</v>
      </c>
      <c r="O57" s="13">
        <f>N57*VLOOKUP('Données projet'!$B$9,Paramètres!$A$1:$I$89,3,0)*VLOOKUP('Données projet'!$B$9,Paramètres!$A$1:$I$89,5,0)</f>
        <v>251.63954999999993</v>
      </c>
      <c r="P57" s="13">
        <f t="shared" si="33"/>
        <v>60.936892129812684</v>
      </c>
      <c r="Q57" s="20">
        <f t="shared" si="53"/>
        <v>544.4039700427569</v>
      </c>
      <c r="R57" s="59">
        <f t="shared" si="0"/>
        <v>837.73730337609027</v>
      </c>
      <c r="S57" s="59">
        <f ca="1">AVERAGE(OFFSET($R$3,0,0,'Données projet'!$E$9+1,1))-AVERAGE(OFFSET($H$3,0,0,'Données projet'!$E$9+1,1))</f>
        <v>323.17232038705157</v>
      </c>
      <c r="T57" s="59">
        <f t="shared" si="34"/>
        <v>402.34685738619197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53.35194882573424</v>
      </c>
      <c r="AA57" s="21">
        <f>EXP(-LN(2)/25)*AA56+(1-EXP(-LN(2)/25))/(LN(2)/25)*Calculateur!V57*Calculateur!X57*VLOOKUP('Données projet'!$B$9,Paramètres!$A$1:$I$89,3,0)*0.475*44/12</f>
        <v>18.529229389069542</v>
      </c>
      <c r="AB57" s="21">
        <f>EXP(-LN(2)/2)*AB56+(1-EXP(-LN(2)/2))/(LN(2)/2)*V57*Y57*VLOOKUP('Données projet'!$B$9,Paramètres!$A$1:$I$89,3,0)*0.475*44/12</f>
        <v>1.005984280993955</v>
      </c>
      <c r="AC57" s="22">
        <f t="shared" si="3"/>
        <v>72.887162495797739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0</v>
      </c>
      <c r="AJ57" s="13" t="e">
        <f>AI57*VLOOKUP('Données projet'!$B$10,Paramètres!$A$1:$I$89,3,0)*VLOOKUP('Données projet'!$B$10,Paramètres!$A$1:$I$89,5,0)</f>
        <v>#N/A</v>
      </c>
      <c r="AK57" s="13" t="e">
        <f t="shared" si="35"/>
        <v>#N/A</v>
      </c>
      <c r="AL57" s="20" t="e">
        <f t="shared" si="4"/>
        <v>#N/A</v>
      </c>
      <c r="AM57" s="59" t="e">
        <f t="shared" si="5"/>
        <v>#N/A</v>
      </c>
      <c r="AN57" s="59" t="e">
        <f ca="1">AVERAGE(OFFSET($AM$3,0,0,'Données projet'!$E$10+1,1))-AVERAGE(OFFSET($H$3,0,0,'Données projet'!$E$10+1,1))</f>
        <v>#N/A</v>
      </c>
      <c r="AO57" s="59" t="e">
        <f t="shared" si="36"/>
        <v>#N/A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 t="e">
        <f>EXP(-LN(2)/35)*AU56+(1-EXP(-LN(2)/35))/(LN(2)/35)*AQ57*AR57*VLOOKUP('Données projet'!$B$10,Paramètres!$A$1:$I$89,3,0)*0.475*44/12</f>
        <v>#N/A</v>
      </c>
      <c r="AV57" s="21" t="e">
        <f>EXP(-LN(2)/25)*AV56+(1-EXP(-LN(2)/25))/(LN(2)/25)*Calculateur!AQ57*Calculateur!AS57*VLOOKUP('Données projet'!$B$10,Paramètres!$A$1:$I$89,3,0)*0.475*44/12</f>
        <v>#N/A</v>
      </c>
      <c r="AW57" s="21" t="e">
        <f>EXP(-LN(2)/2)*AW56+(1-EXP(-LN(2)/2))/(LN(2)/2)*AQ57*AT57*VLOOKUP('Données projet'!$B$10,Paramètres!$A$1:$I$89,3,0)*0.475*44/12</f>
        <v>#N/A</v>
      </c>
      <c r="AX57" s="21" t="e">
        <f t="shared" si="6"/>
        <v>#N/A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3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67">
        <f t="shared" si="1"/>
        <v>256.66666666666669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12.837499999999991</v>
      </c>
      <c r="N58" s="13">
        <f>IF('Données projet'!$A$36&gt;35,N57+M58-V57,IF(A58&lt;'Données projet'!$A$36,$K$205^A58,IF(A58='Données projet'!$A$36,'Données projet'!$B$36,N57+M58-V57)))</f>
        <v>433.63942307692287</v>
      </c>
      <c r="O58" s="13">
        <f>N58*VLOOKUP('Données projet'!$B$9,Paramètres!$A$1:$I$89,3,0)*VLOOKUP('Données projet'!$B$9,Paramètres!$A$1:$I$89,5,0)</f>
        <v>259.31637499999988</v>
      </c>
      <c r="P58" s="13">
        <f t="shared" si="33"/>
        <v>62.576634410968637</v>
      </c>
      <c r="Q58" s="20">
        <f t="shared" si="53"/>
        <v>560.63032472410339</v>
      </c>
      <c r="R58" s="59">
        <f t="shared" si="0"/>
        <v>853.96365805743676</v>
      </c>
      <c r="S58" s="59">
        <f ca="1">AVERAGE(OFFSET($R$3,0,0,'Données projet'!$E$9+1,1))-AVERAGE(OFFSET($H$3,0,0,'Données projet'!$E$9+1,1))</f>
        <v>323.17232038705157</v>
      </c>
      <c r="T58" s="59">
        <f t="shared" si="34"/>
        <v>402.34685738619197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52.30574965073717</v>
      </c>
      <c r="AA58" s="21">
        <f>EXP(-LN(2)/25)*AA57+(1-EXP(-LN(2)/25))/(LN(2)/25)*Calculateur!V58*Calculateur!X58*VLOOKUP('Données projet'!$B$9,Paramètres!$A$1:$I$89,3,0)*0.475*44/12</f>
        <v>18.022546637015612</v>
      </c>
      <c r="AB58" s="21">
        <f>EXP(-LN(2)/2)*AB57+(1-EXP(-LN(2)/2))/(LN(2)/2)*V58*Y58*VLOOKUP('Données projet'!$B$9,Paramètres!$A$1:$I$89,3,0)*0.475*44/12</f>
        <v>0.71133830685789889</v>
      </c>
      <c r="AC58" s="22">
        <f t="shared" si="3"/>
        <v>71.039634594610675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0</v>
      </c>
      <c r="AJ58" s="13" t="e">
        <f>AI58*VLOOKUP('Données projet'!$B$10,Paramètres!$A$1:$I$89,3,0)*VLOOKUP('Données projet'!$B$10,Paramètres!$A$1:$I$89,5,0)</f>
        <v>#N/A</v>
      </c>
      <c r="AK58" s="13" t="e">
        <f t="shared" si="35"/>
        <v>#N/A</v>
      </c>
      <c r="AL58" s="20" t="e">
        <f t="shared" si="4"/>
        <v>#N/A</v>
      </c>
      <c r="AM58" s="59" t="e">
        <f t="shared" si="5"/>
        <v>#N/A</v>
      </c>
      <c r="AN58" s="59" t="e">
        <f ca="1">AVERAGE(OFFSET($AM$3,0,0,'Données projet'!$E$10+1,1))-AVERAGE(OFFSET($H$3,0,0,'Données projet'!$E$10+1,1))</f>
        <v>#N/A</v>
      </c>
      <c r="AO58" s="59" t="e">
        <f t="shared" si="36"/>
        <v>#N/A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 t="e">
        <f>EXP(-LN(2)/35)*AU57+(1-EXP(-LN(2)/35))/(LN(2)/35)*AQ58*AR58*VLOOKUP('Données projet'!$B$10,Paramètres!$A$1:$I$89,3,0)*0.475*44/12</f>
        <v>#N/A</v>
      </c>
      <c r="AV58" s="21" t="e">
        <f>EXP(-LN(2)/25)*AV57+(1-EXP(-LN(2)/25))/(LN(2)/25)*Calculateur!AQ58*Calculateur!AS58*VLOOKUP('Données projet'!$B$10,Paramètres!$A$1:$I$89,3,0)*0.475*44/12</f>
        <v>#N/A</v>
      </c>
      <c r="AW58" s="21" t="e">
        <f>EXP(-LN(2)/2)*AW57+(1-EXP(-LN(2)/2))/(LN(2)/2)*AQ58*AT58*VLOOKUP('Données projet'!$B$10,Paramètres!$A$1:$I$89,3,0)*0.475*44/12</f>
        <v>#N/A</v>
      </c>
      <c r="AX58" s="21" t="e">
        <f t="shared" si="6"/>
        <v>#N/A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3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67">
        <f t="shared" si="1"/>
        <v>256.66666666666669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>
        <f>VLOOKUP(A59,'Données projet'!$A$35:$I$55,2,0)</f>
        <v>446.47692307692301</v>
      </c>
      <c r="L59" s="12">
        <f>VLOOKUP(A59,'Données projet'!$A$35:$I$55,9,0)</f>
        <v>12.837499999999991</v>
      </c>
      <c r="M59" s="12">
        <f t="array" ref="M59">INDEX(L:L,MIN(IF(ISNUMBER(L59:L255),ROW(L59:L255),"")))</f>
        <v>12.837499999999991</v>
      </c>
      <c r="N59" s="13">
        <f>IF('Données projet'!$A$36&gt;35,N58+M59-V58,IF(A59&lt;'Données projet'!$A$36,$K$205^A59,IF(A59='Données projet'!$A$36,'Données projet'!$B$36,N58+M59-V58)))</f>
        <v>446.47692307692284</v>
      </c>
      <c r="O59" s="13">
        <f>N59*VLOOKUP('Données projet'!$B$9,Paramètres!$A$1:$I$89,3,0)*VLOOKUP('Données projet'!$B$9,Paramètres!$A$1:$I$89,5,0)</f>
        <v>266.99319999999989</v>
      </c>
      <c r="P59" s="13">
        <f t="shared" si="33"/>
        <v>64.210735131625498</v>
      </c>
      <c r="Q59" s="20">
        <f t="shared" si="53"/>
        <v>576.84685368758085</v>
      </c>
      <c r="R59" s="59">
        <f t="shared" si="0"/>
        <v>870.18018702091422</v>
      </c>
      <c r="S59" s="59">
        <f ca="1">AVERAGE(OFFSET($R$3,0,0,'Données projet'!$E$9+1,1))-AVERAGE(OFFSET($H$3,0,0,'Données projet'!$E$9+1,1))</f>
        <v>323.17232038705157</v>
      </c>
      <c r="T59" s="59">
        <f t="shared" si="34"/>
        <v>402.34685738619197</v>
      </c>
      <c r="U59" s="15">
        <f>IF(ISNA(VLOOKUP(A59,'Données projet'!$A$35:$I$55,3,0)),0,VLOOKUP(A59,'Données projet'!$A$35:$I$55,3,0))</f>
        <v>7</v>
      </c>
      <c r="V59" s="15">
        <f>IF(ISNA(VLOOKUP(A59,'Données projet'!$A$35:$I$55,4,0)),0,VLOOKUP(A59,'Données projet'!$A$35:$I$55,4,0))</f>
        <v>446.47692307692301</v>
      </c>
      <c r="W59" s="16">
        <f>IF(ISNA(VLOOKUP(A59,'Données projet'!$A$35:$I$55,5,0)),0%,VLOOKUP(A59,'Données projet'!$A$35:$I$55,5,0)*VLOOKUP('Données projet'!$B$9,Paramètres!$A$1:$I$89,7,0))</f>
        <v>0.315</v>
      </c>
      <c r="X59" s="16">
        <f>IF(ISNA(VLOOKUP(A59,'Données projet'!$A$35:$I$55,6,0)),0%,VLOOKUP(A59,'Données projet'!$A$35:$I$55,6,0)*VLOOKUP('Données projet'!$B$9,Paramètres!$A$1:$I$89,7,0))</f>
        <v>7.5600000000000001E-2</v>
      </c>
      <c r="Y59" s="16">
        <f>IF(ISNA(VLOOKUP(A59,'Données projet'!$A$35:$I$55,7,0)),0%,VLOOKUP(A59,'Données projet'!$A$35:$I$55,7,0))</f>
        <v>0.13200000000000001</v>
      </c>
      <c r="Z59" s="21">
        <f>EXP(-LN(2)/35)*Z58+(1-EXP(-LN(2)/35))/(LN(2)/35)*V59*W59*VLOOKUP('Données projet'!$B$9,Paramètres!$A$1:$I$89,3,0)*0.475*44/12</f>
        <v>162.84792782712228</v>
      </c>
      <c r="AA59" s="21">
        <f>EXP(-LN(2)/25)*AA58+(1-EXP(-LN(2)/25))/(LN(2)/25)*Calculateur!V59*Calculateur!X59*VLOOKUP('Données projet'!$B$9,Paramètres!$A$1:$I$89,3,0)*0.475*44/12</f>
        <v>44.200577593110729</v>
      </c>
      <c r="AB59" s="21">
        <f>EXP(-LN(2)/2)*AB58+(1-EXP(-LN(2)/2))/(LN(2)/2)*V59*Y59*VLOOKUP('Données projet'!$B$9,Paramètres!$A$1:$I$89,3,0)*0.475*44/12</f>
        <v>40.406370942809481</v>
      </c>
      <c r="AC59" s="22">
        <f t="shared" si="3"/>
        <v>247.45487636304247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0</v>
      </c>
      <c r="AJ59" s="13" t="e">
        <f>AI59*VLOOKUP('Données projet'!$B$10,Paramètres!$A$1:$I$89,3,0)*VLOOKUP('Données projet'!$B$10,Paramètres!$A$1:$I$89,5,0)</f>
        <v>#N/A</v>
      </c>
      <c r="AK59" s="13" t="e">
        <f t="shared" si="35"/>
        <v>#N/A</v>
      </c>
      <c r="AL59" s="20" t="e">
        <f t="shared" si="4"/>
        <v>#N/A</v>
      </c>
      <c r="AM59" s="59" t="e">
        <f t="shared" si="5"/>
        <v>#N/A</v>
      </c>
      <c r="AN59" s="59" t="e">
        <f ca="1">AVERAGE(OFFSET($AM$3,0,0,'Données projet'!$E$10+1,1))-AVERAGE(OFFSET($H$3,0,0,'Données projet'!$E$10+1,1))</f>
        <v>#N/A</v>
      </c>
      <c r="AO59" s="59" t="e">
        <f t="shared" si="36"/>
        <v>#N/A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 t="e">
        <f>EXP(-LN(2)/35)*AU58+(1-EXP(-LN(2)/35))/(LN(2)/35)*AQ59*AR59*VLOOKUP('Données projet'!$B$10,Paramètres!$A$1:$I$89,3,0)*0.475*44/12</f>
        <v>#N/A</v>
      </c>
      <c r="AV59" s="21" t="e">
        <f>EXP(-LN(2)/25)*AV58+(1-EXP(-LN(2)/25))/(LN(2)/25)*Calculateur!AQ59*Calculateur!AS59*VLOOKUP('Données projet'!$B$10,Paramètres!$A$1:$I$89,3,0)*0.475*44/12</f>
        <v>#N/A</v>
      </c>
      <c r="AW59" s="21" t="e">
        <f>EXP(-LN(2)/2)*AW58+(1-EXP(-LN(2)/2))/(LN(2)/2)*AQ59*AT59*VLOOKUP('Données projet'!$B$10,Paramètres!$A$1:$I$89,3,0)*0.475*44/12</f>
        <v>#N/A</v>
      </c>
      <c r="AX59" s="21" t="e">
        <f t="shared" si="6"/>
        <v>#N/A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3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67">
        <f t="shared" si="1"/>
        <v>256.66666666666669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-1.7053025658242404E-13</v>
      </c>
      <c r="O60" s="13">
        <f>N60*VLOOKUP('Données projet'!$B$9,Paramètres!$A$1:$I$89,3,0)*VLOOKUP('Données projet'!$B$9,Paramètres!$A$1:$I$89,5,0)</f>
        <v>-1.0197709343628959E-13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323.17232038705157</v>
      </c>
      <c r="T60" s="59">
        <f t="shared" si="34"/>
        <v>402.34685738619197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159.65457928986061</v>
      </c>
      <c r="AA60" s="21">
        <f>EXP(-LN(2)/25)*AA59+(1-EXP(-LN(2)/25))/(LN(2)/25)*Calculateur!V60*Calculateur!X60*VLOOKUP('Données projet'!$B$9,Paramètres!$A$1:$I$89,3,0)*0.475*44/12</f>
        <v>42.991910474419761</v>
      </c>
      <c r="AB60" s="21">
        <f>EXP(-LN(2)/2)*AB59+(1-EXP(-LN(2)/2))/(LN(2)/2)*V60*Y60*VLOOKUP('Données projet'!$B$9,Paramètres!$A$1:$I$89,3,0)*0.475*44/12</f>
        <v>28.571618896799659</v>
      </c>
      <c r="AC60" s="22">
        <f t="shared" si="3"/>
        <v>231.21810866108004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0</v>
      </c>
      <c r="AJ60" s="13" t="e">
        <f>AI60*VLOOKUP('Données projet'!$B$10,Paramètres!$A$1:$I$89,3,0)*VLOOKUP('Données projet'!$B$10,Paramètres!$A$1:$I$89,5,0)</f>
        <v>#N/A</v>
      </c>
      <c r="AK60" s="13" t="e">
        <f t="shared" si="35"/>
        <v>#N/A</v>
      </c>
      <c r="AL60" s="20" t="e">
        <f t="shared" si="4"/>
        <v>#N/A</v>
      </c>
      <c r="AM60" s="59" t="e">
        <f t="shared" si="5"/>
        <v>#N/A</v>
      </c>
      <c r="AN60" s="59" t="e">
        <f ca="1">AVERAGE(OFFSET($AM$3,0,0,'Données projet'!$E$10+1,1))-AVERAGE(OFFSET($H$3,0,0,'Données projet'!$E$10+1,1))</f>
        <v>#N/A</v>
      </c>
      <c r="AO60" s="59" t="e">
        <f t="shared" si="36"/>
        <v>#N/A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 t="e">
        <f>EXP(-LN(2)/35)*AU59+(1-EXP(-LN(2)/35))/(LN(2)/35)*AQ60*AR60*VLOOKUP('Données projet'!$B$10,Paramètres!$A$1:$I$89,3,0)*0.475*44/12</f>
        <v>#N/A</v>
      </c>
      <c r="AV60" s="21" t="e">
        <f>EXP(-LN(2)/25)*AV59+(1-EXP(-LN(2)/25))/(LN(2)/25)*Calculateur!AQ60*Calculateur!AS60*VLOOKUP('Données projet'!$B$10,Paramètres!$A$1:$I$89,3,0)*0.475*44/12</f>
        <v>#N/A</v>
      </c>
      <c r="AW60" s="21" t="e">
        <f>EXP(-LN(2)/2)*AW59+(1-EXP(-LN(2)/2))/(LN(2)/2)*AQ60*AT60*VLOOKUP('Données projet'!$B$10,Paramètres!$A$1:$I$89,3,0)*0.475*44/12</f>
        <v>#N/A</v>
      </c>
      <c r="AX60" s="21" t="e">
        <f t="shared" si="6"/>
        <v>#N/A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3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67">
        <f t="shared" si="1"/>
        <v>256.66666666666669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-1.7053025658242404E-13</v>
      </c>
      <c r="O61" s="13">
        <f>N61*VLOOKUP('Données projet'!$B$9,Paramètres!$A$1:$I$89,3,0)*VLOOKUP('Données projet'!$B$9,Paramètres!$A$1:$I$89,5,0)</f>
        <v>-1.0197709343628959E-13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323.17232038705157</v>
      </c>
      <c r="T61" s="59">
        <f t="shared" si="34"/>
        <v>402.34685738619197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156.52385036966436</v>
      </c>
      <c r="AA61" s="21">
        <f>EXP(-LN(2)/25)*AA60+(1-EXP(-LN(2)/25))/(LN(2)/25)*Calculateur!V61*Calculateur!X61*VLOOKUP('Données projet'!$B$9,Paramètres!$A$1:$I$89,3,0)*0.475*44/12</f>
        <v>41.81629442165044</v>
      </c>
      <c r="AB61" s="21">
        <f>EXP(-LN(2)/2)*AB60+(1-EXP(-LN(2)/2))/(LN(2)/2)*V61*Y61*VLOOKUP('Données projet'!$B$9,Paramètres!$A$1:$I$89,3,0)*0.475*44/12</f>
        <v>20.203185471404744</v>
      </c>
      <c r="AC61" s="22">
        <f t="shared" si="3"/>
        <v>218.54333026271954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0</v>
      </c>
      <c r="AJ61" s="13" t="e">
        <f>AI61*VLOOKUP('Données projet'!$B$10,Paramètres!$A$1:$I$89,3,0)*VLOOKUP('Données projet'!$B$10,Paramètres!$A$1:$I$89,5,0)</f>
        <v>#N/A</v>
      </c>
      <c r="AK61" s="13" t="e">
        <f t="shared" si="35"/>
        <v>#N/A</v>
      </c>
      <c r="AL61" s="20" t="e">
        <f t="shared" si="4"/>
        <v>#N/A</v>
      </c>
      <c r="AM61" s="59" t="e">
        <f t="shared" si="5"/>
        <v>#N/A</v>
      </c>
      <c r="AN61" s="59" t="e">
        <f ca="1">AVERAGE(OFFSET($AM$3,0,0,'Données projet'!$E$10+1,1))-AVERAGE(OFFSET($H$3,0,0,'Données projet'!$E$10+1,1))</f>
        <v>#N/A</v>
      </c>
      <c r="AO61" s="59" t="e">
        <f t="shared" si="36"/>
        <v>#N/A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 t="e">
        <f>EXP(-LN(2)/35)*AU60+(1-EXP(-LN(2)/35))/(LN(2)/35)*AQ61*AR61*VLOOKUP('Données projet'!$B$10,Paramètres!$A$1:$I$89,3,0)*0.475*44/12</f>
        <v>#N/A</v>
      </c>
      <c r="AV61" s="21" t="e">
        <f>EXP(-LN(2)/25)*AV60+(1-EXP(-LN(2)/25))/(LN(2)/25)*Calculateur!AQ61*Calculateur!AS61*VLOOKUP('Données projet'!$B$10,Paramètres!$A$1:$I$89,3,0)*0.475*44/12</f>
        <v>#N/A</v>
      </c>
      <c r="AW61" s="21" t="e">
        <f>EXP(-LN(2)/2)*AW60+(1-EXP(-LN(2)/2))/(LN(2)/2)*AQ61*AT61*VLOOKUP('Données projet'!$B$10,Paramètres!$A$1:$I$89,3,0)*0.475*44/12</f>
        <v>#N/A</v>
      </c>
      <c r="AX61" s="21" t="e">
        <f t="shared" si="6"/>
        <v>#N/A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3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67">
        <f t="shared" si="1"/>
        <v>256.66666666666669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-1.7053025658242404E-13</v>
      </c>
      <c r="O62" s="13">
        <f>N62*VLOOKUP('Données projet'!$B$9,Paramètres!$A$1:$I$89,3,0)*VLOOKUP('Données projet'!$B$9,Paramètres!$A$1:$I$89,5,0)</f>
        <v>-1.0197709343628959E-13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323.17232038705157</v>
      </c>
      <c r="T62" s="59">
        <f t="shared" si="34"/>
        <v>402.34685738619197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153.45451313403709</v>
      </c>
      <c r="AA62" s="21">
        <f>EXP(-LN(2)/25)*AA61+(1-EXP(-LN(2)/25))/(LN(2)/25)*Calculateur!V62*Calculateur!X62*VLOOKUP('Données projet'!$B$9,Paramètres!$A$1:$I$89,3,0)*0.475*44/12</f>
        <v>40.672825651667054</v>
      </c>
      <c r="AB62" s="21">
        <f>EXP(-LN(2)/2)*AB61+(1-EXP(-LN(2)/2))/(LN(2)/2)*V62*Y62*VLOOKUP('Données projet'!$B$9,Paramètres!$A$1:$I$89,3,0)*0.475*44/12</f>
        <v>14.285809448399831</v>
      </c>
      <c r="AC62" s="22">
        <f t="shared" si="3"/>
        <v>208.41314823410397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0</v>
      </c>
      <c r="AJ62" s="13" t="e">
        <f>AI62*VLOOKUP('Données projet'!$B$10,Paramètres!$A$1:$I$89,3,0)*VLOOKUP('Données projet'!$B$10,Paramètres!$A$1:$I$89,5,0)</f>
        <v>#N/A</v>
      </c>
      <c r="AK62" s="13" t="e">
        <f t="shared" si="35"/>
        <v>#N/A</v>
      </c>
      <c r="AL62" s="20" t="e">
        <f t="shared" si="4"/>
        <v>#N/A</v>
      </c>
      <c r="AM62" s="59" t="e">
        <f t="shared" si="5"/>
        <v>#N/A</v>
      </c>
      <c r="AN62" s="59" t="e">
        <f ca="1">AVERAGE(OFFSET($AM$3,0,0,'Données projet'!$E$10+1,1))-AVERAGE(OFFSET($H$3,0,0,'Données projet'!$E$10+1,1))</f>
        <v>#N/A</v>
      </c>
      <c r="AO62" s="59" t="e">
        <f t="shared" si="36"/>
        <v>#N/A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 t="e">
        <f>EXP(-LN(2)/35)*AU61+(1-EXP(-LN(2)/35))/(LN(2)/35)*AQ62*AR62*VLOOKUP('Données projet'!$B$10,Paramètres!$A$1:$I$89,3,0)*0.475*44/12</f>
        <v>#N/A</v>
      </c>
      <c r="AV62" s="21" t="e">
        <f>EXP(-LN(2)/25)*AV61+(1-EXP(-LN(2)/25))/(LN(2)/25)*Calculateur!AQ62*Calculateur!AS62*VLOOKUP('Données projet'!$B$10,Paramètres!$A$1:$I$89,3,0)*0.475*44/12</f>
        <v>#N/A</v>
      </c>
      <c r="AW62" s="21" t="e">
        <f>EXP(-LN(2)/2)*AW61+(1-EXP(-LN(2)/2))/(LN(2)/2)*AQ62*AT62*VLOOKUP('Données projet'!$B$10,Paramètres!$A$1:$I$89,3,0)*0.475*44/12</f>
        <v>#N/A</v>
      </c>
      <c r="AX62" s="21" t="e">
        <f t="shared" si="6"/>
        <v>#N/A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3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67">
        <f t="shared" si="1"/>
        <v>256.66666666666669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-1.7053025658242404E-13</v>
      </c>
      <c r="O63" s="13">
        <f>N63*VLOOKUP('Données projet'!$B$9,Paramètres!$A$1:$I$89,3,0)*VLOOKUP('Données projet'!$B$9,Paramètres!$A$1:$I$89,5,0)</f>
        <v>-1.0197709343628959E-13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323.17232038705157</v>
      </c>
      <c r="T63" s="59">
        <f t="shared" si="34"/>
        <v>402.34685738619197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150.4453637294896</v>
      </c>
      <c r="AA63" s="21">
        <f>EXP(-LN(2)/25)*AA62+(1-EXP(-LN(2)/25))/(LN(2)/25)*Calculateur!V63*Calculateur!X63*VLOOKUP('Données projet'!$B$9,Paramètres!$A$1:$I$89,3,0)*0.475*44/12</f>
        <v>39.560625095331275</v>
      </c>
      <c r="AB63" s="21">
        <f>EXP(-LN(2)/2)*AB62+(1-EXP(-LN(2)/2))/(LN(2)/2)*V63*Y63*VLOOKUP('Données projet'!$B$9,Paramètres!$A$1:$I$89,3,0)*0.475*44/12</f>
        <v>10.101592735702374</v>
      </c>
      <c r="AC63" s="22">
        <f t="shared" si="3"/>
        <v>200.10758156052324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0</v>
      </c>
      <c r="AJ63" s="13" t="e">
        <f>AI63*VLOOKUP('Données projet'!$B$10,Paramètres!$A$1:$I$89,3,0)*VLOOKUP('Données projet'!$B$10,Paramètres!$A$1:$I$89,5,0)</f>
        <v>#N/A</v>
      </c>
      <c r="AK63" s="13" t="e">
        <f t="shared" si="35"/>
        <v>#N/A</v>
      </c>
      <c r="AL63" s="20" t="e">
        <f t="shared" si="4"/>
        <v>#N/A</v>
      </c>
      <c r="AM63" s="59" t="e">
        <f t="shared" si="5"/>
        <v>#N/A</v>
      </c>
      <c r="AN63" s="59" t="e">
        <f ca="1">AVERAGE(OFFSET($AM$3,0,0,'Données projet'!$E$10+1,1))-AVERAGE(OFFSET($H$3,0,0,'Données projet'!$E$10+1,1))</f>
        <v>#N/A</v>
      </c>
      <c r="AO63" s="59" t="e">
        <f t="shared" si="36"/>
        <v>#N/A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 t="e">
        <f>EXP(-LN(2)/35)*AU62+(1-EXP(-LN(2)/35))/(LN(2)/35)*AQ63*AR63*VLOOKUP('Données projet'!$B$10,Paramètres!$A$1:$I$89,3,0)*0.475*44/12</f>
        <v>#N/A</v>
      </c>
      <c r="AV63" s="21" t="e">
        <f>EXP(-LN(2)/25)*AV62+(1-EXP(-LN(2)/25))/(LN(2)/25)*Calculateur!AQ63*Calculateur!AS63*VLOOKUP('Données projet'!$B$10,Paramètres!$A$1:$I$89,3,0)*0.475*44/12</f>
        <v>#N/A</v>
      </c>
      <c r="AW63" s="21" t="e">
        <f>EXP(-LN(2)/2)*AW62+(1-EXP(-LN(2)/2))/(LN(2)/2)*AQ63*AT63*VLOOKUP('Données projet'!$B$10,Paramètres!$A$1:$I$89,3,0)*0.475*44/12</f>
        <v>#N/A</v>
      </c>
      <c r="AX63" s="21" t="e">
        <f t="shared" si="6"/>
        <v>#N/A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3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67">
        <f t="shared" si="1"/>
        <v>256.66666666666669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-1.7053025658242404E-13</v>
      </c>
      <c r="O64" s="13">
        <f>N64*VLOOKUP('Données projet'!$B$9,Paramètres!$A$1:$I$89,3,0)*VLOOKUP('Données projet'!$B$9,Paramètres!$A$1:$I$89,5,0)</f>
        <v>-1.0197709343628959E-13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323.17232038705157</v>
      </c>
      <c r="T64" s="59">
        <f t="shared" si="34"/>
        <v>402.34685738619197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147.49522190936537</v>
      </c>
      <c r="AA64" s="21">
        <f>EXP(-LN(2)/25)*AA63+(1-EXP(-LN(2)/25))/(LN(2)/25)*Calculateur!V64*Calculateur!X64*VLOOKUP('Données projet'!$B$9,Paramètres!$A$1:$I$89,3,0)*0.475*44/12</f>
        <v>38.478837721696586</v>
      </c>
      <c r="AB64" s="21">
        <f>EXP(-LN(2)/2)*AB63+(1-EXP(-LN(2)/2))/(LN(2)/2)*V64*Y64*VLOOKUP('Données projet'!$B$9,Paramètres!$A$1:$I$89,3,0)*0.475*44/12</f>
        <v>7.1429047241999166</v>
      </c>
      <c r="AC64" s="22">
        <f t="shared" si="3"/>
        <v>193.11696435526187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0</v>
      </c>
      <c r="AJ64" s="13" t="e">
        <f>AI64*VLOOKUP('Données projet'!$B$10,Paramètres!$A$1:$I$89,3,0)*VLOOKUP('Données projet'!$B$10,Paramètres!$A$1:$I$89,5,0)</f>
        <v>#N/A</v>
      </c>
      <c r="AK64" s="13" t="e">
        <f t="shared" si="35"/>
        <v>#N/A</v>
      </c>
      <c r="AL64" s="20" t="e">
        <f t="shared" si="4"/>
        <v>#N/A</v>
      </c>
      <c r="AM64" s="59" t="e">
        <f t="shared" si="5"/>
        <v>#N/A</v>
      </c>
      <c r="AN64" s="59" t="e">
        <f ca="1">AVERAGE(OFFSET($AM$3,0,0,'Données projet'!$E$10+1,1))-AVERAGE(OFFSET($H$3,0,0,'Données projet'!$E$10+1,1))</f>
        <v>#N/A</v>
      </c>
      <c r="AO64" s="59" t="e">
        <f t="shared" si="36"/>
        <v>#N/A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 t="e">
        <f>EXP(-LN(2)/35)*AU63+(1-EXP(-LN(2)/35))/(LN(2)/35)*AQ64*AR64*VLOOKUP('Données projet'!$B$10,Paramètres!$A$1:$I$89,3,0)*0.475*44/12</f>
        <v>#N/A</v>
      </c>
      <c r="AV64" s="21" t="e">
        <f>EXP(-LN(2)/25)*AV63+(1-EXP(-LN(2)/25))/(LN(2)/25)*Calculateur!AQ64*Calculateur!AS64*VLOOKUP('Données projet'!$B$10,Paramètres!$A$1:$I$89,3,0)*0.475*44/12</f>
        <v>#N/A</v>
      </c>
      <c r="AW64" s="21" t="e">
        <f>EXP(-LN(2)/2)*AW63+(1-EXP(-LN(2)/2))/(LN(2)/2)*AQ64*AT64*VLOOKUP('Données projet'!$B$10,Paramètres!$A$1:$I$89,3,0)*0.475*44/12</f>
        <v>#N/A</v>
      </c>
      <c r="AX64" s="21" t="e">
        <f t="shared" si="6"/>
        <v>#N/A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3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67">
        <f t="shared" si="1"/>
        <v>256.66666666666669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-1.7053025658242404E-13</v>
      </c>
      <c r="O65" s="13">
        <f>N65*VLOOKUP('Données projet'!$B$9,Paramètres!$A$1:$I$89,3,0)*VLOOKUP('Données projet'!$B$9,Paramètres!$A$1:$I$89,5,0)</f>
        <v>-1.0197709343628959E-13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323.17232038705157</v>
      </c>
      <c r="T65" s="59">
        <f t="shared" si="34"/>
        <v>402.34685738619197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144.60293057092494</v>
      </c>
      <c r="AA65" s="21">
        <f>EXP(-LN(2)/25)*AA64+(1-EXP(-LN(2)/25))/(LN(2)/25)*Calculateur!V65*Calculateur!X65*VLOOKUP('Données projet'!$B$9,Paramètres!$A$1:$I$89,3,0)*0.475*44/12</f>
        <v>37.426631880682663</v>
      </c>
      <c r="AB65" s="21">
        <f>EXP(-LN(2)/2)*AB64+(1-EXP(-LN(2)/2))/(LN(2)/2)*V65*Y65*VLOOKUP('Données projet'!$B$9,Paramètres!$A$1:$I$89,3,0)*0.475*44/12</f>
        <v>5.0507963678511878</v>
      </c>
      <c r="AC65" s="22">
        <f t="shared" si="3"/>
        <v>187.08035881945878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0</v>
      </c>
      <c r="AJ65" s="13" t="e">
        <f>AI65*VLOOKUP('Données projet'!$B$10,Paramètres!$A$1:$I$89,3,0)*VLOOKUP('Données projet'!$B$10,Paramètres!$A$1:$I$89,5,0)</f>
        <v>#N/A</v>
      </c>
      <c r="AK65" s="13" t="e">
        <f t="shared" si="35"/>
        <v>#N/A</v>
      </c>
      <c r="AL65" s="20" t="e">
        <f t="shared" si="4"/>
        <v>#N/A</v>
      </c>
      <c r="AM65" s="59" t="e">
        <f t="shared" si="5"/>
        <v>#N/A</v>
      </c>
      <c r="AN65" s="59" t="e">
        <f ca="1">AVERAGE(OFFSET($AM$3,0,0,'Données projet'!$E$10+1,1))-AVERAGE(OFFSET($H$3,0,0,'Données projet'!$E$10+1,1))</f>
        <v>#N/A</v>
      </c>
      <c r="AO65" s="59" t="e">
        <f t="shared" si="36"/>
        <v>#N/A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 t="e">
        <f>EXP(-LN(2)/35)*AU64+(1-EXP(-LN(2)/35))/(LN(2)/35)*AQ65*AR65*VLOOKUP('Données projet'!$B$10,Paramètres!$A$1:$I$89,3,0)*0.475*44/12</f>
        <v>#N/A</v>
      </c>
      <c r="AV65" s="21" t="e">
        <f>EXP(-LN(2)/25)*AV64+(1-EXP(-LN(2)/25))/(LN(2)/25)*Calculateur!AQ65*Calculateur!AS65*VLOOKUP('Données projet'!$B$10,Paramètres!$A$1:$I$89,3,0)*0.475*44/12</f>
        <v>#N/A</v>
      </c>
      <c r="AW65" s="21" t="e">
        <f>EXP(-LN(2)/2)*AW64+(1-EXP(-LN(2)/2))/(LN(2)/2)*AQ65*AT65*VLOOKUP('Données projet'!$B$10,Paramètres!$A$1:$I$89,3,0)*0.475*44/12</f>
        <v>#N/A</v>
      </c>
      <c r="AX65" s="21" t="e">
        <f t="shared" si="6"/>
        <v>#N/A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3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67">
        <f t="shared" si="1"/>
        <v>256.66666666666669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-1.7053025658242404E-13</v>
      </c>
      <c r="O66" s="13">
        <f>N66*VLOOKUP('Données projet'!$B$9,Paramètres!$A$1:$I$89,3,0)*VLOOKUP('Données projet'!$B$9,Paramètres!$A$1:$I$89,5,0)</f>
        <v>-1.0197709343628959E-13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323.17232038705157</v>
      </c>
      <c r="T66" s="59">
        <f t="shared" si="34"/>
        <v>402.34685738619197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141.76735530150782</v>
      </c>
      <c r="AA66" s="21">
        <f>EXP(-LN(2)/25)*AA65+(1-EXP(-LN(2)/25))/(LN(2)/25)*Calculateur!V66*Calculateur!X66*VLOOKUP('Données projet'!$B$9,Paramètres!$A$1:$I$89,3,0)*0.475*44/12</f>
        <v>36.403198663724368</v>
      </c>
      <c r="AB66" s="21">
        <f>EXP(-LN(2)/2)*AB65+(1-EXP(-LN(2)/2))/(LN(2)/2)*V66*Y66*VLOOKUP('Données projet'!$B$9,Paramètres!$A$1:$I$89,3,0)*0.475*44/12</f>
        <v>3.5714523620999592</v>
      </c>
      <c r="AC66" s="22">
        <f t="shared" si="3"/>
        <v>181.74200632733215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 t="e">
        <f>AI66*VLOOKUP('Données projet'!$B$10,Paramètres!$A$1:$I$89,3,0)*VLOOKUP('Données projet'!$B$10,Paramètres!$A$1:$I$89,5,0)</f>
        <v>#N/A</v>
      </c>
      <c r="AK66" s="13" t="e">
        <f t="shared" si="35"/>
        <v>#N/A</v>
      </c>
      <c r="AL66" s="20" t="e">
        <f t="shared" si="4"/>
        <v>#N/A</v>
      </c>
      <c r="AM66" s="59" t="e">
        <f t="shared" si="5"/>
        <v>#N/A</v>
      </c>
      <c r="AN66" s="59" t="e">
        <f ca="1">AVERAGE(OFFSET($AM$3,0,0,'Données projet'!$E$10+1,1))-AVERAGE(OFFSET($H$3,0,0,'Données projet'!$E$10+1,1))</f>
        <v>#N/A</v>
      </c>
      <c r="AO66" s="59" t="e">
        <f t="shared" si="36"/>
        <v>#N/A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 t="e">
        <f>EXP(-LN(2)/35)*AU65+(1-EXP(-LN(2)/35))/(LN(2)/35)*AQ66*AR66*VLOOKUP('Données projet'!$B$10,Paramètres!$A$1:$I$89,3,0)*0.475*44/12</f>
        <v>#N/A</v>
      </c>
      <c r="AV66" s="21" t="e">
        <f>EXP(-LN(2)/25)*AV65+(1-EXP(-LN(2)/25))/(LN(2)/25)*Calculateur!AQ66*Calculateur!AS66*VLOOKUP('Données projet'!$B$10,Paramètres!$A$1:$I$89,3,0)*0.475*44/12</f>
        <v>#N/A</v>
      </c>
      <c r="AW66" s="21" t="e">
        <f>EXP(-LN(2)/2)*AW65+(1-EXP(-LN(2)/2))/(LN(2)/2)*AQ66*AT66*VLOOKUP('Données projet'!$B$10,Paramètres!$A$1:$I$89,3,0)*0.475*44/12</f>
        <v>#N/A</v>
      </c>
      <c r="AX66" s="21" t="e">
        <f t="shared" si="6"/>
        <v>#N/A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3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67">
        <f t="shared" si="1"/>
        <v>256.66666666666669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-1.7053025658242404E-13</v>
      </c>
      <c r="O67" s="13">
        <f>N67*VLOOKUP('Données projet'!$B$9,Paramètres!$A$1:$I$89,3,0)*VLOOKUP('Données projet'!$B$9,Paramètres!$A$1:$I$89,5,0)</f>
        <v>-1.0197709343628959E-13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323.17232038705157</v>
      </c>
      <c r="T67" s="59">
        <f t="shared" si="34"/>
        <v>402.34685738619197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138.98738393359383</v>
      </c>
      <c r="AA67" s="21">
        <f>EXP(-LN(2)/25)*AA66+(1-EXP(-LN(2)/25))/(LN(2)/25)*Calculateur!V67*Calculateur!X67*VLOOKUP('Données projet'!$B$9,Paramètres!$A$1:$I$89,3,0)*0.475*44/12</f>
        <v>35.407751281903806</v>
      </c>
      <c r="AB67" s="21">
        <f>EXP(-LN(2)/2)*AB66+(1-EXP(-LN(2)/2))/(LN(2)/2)*V67*Y67*VLOOKUP('Données projet'!$B$9,Paramètres!$A$1:$I$89,3,0)*0.475*44/12</f>
        <v>2.5253981839255943</v>
      </c>
      <c r="AC67" s="22">
        <f t="shared" si="3"/>
        <v>176.92053339942325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 t="e">
        <f>AI67*VLOOKUP('Données projet'!$B$10,Paramètres!$A$1:$I$89,3,0)*VLOOKUP('Données projet'!$B$10,Paramètres!$A$1:$I$89,5,0)</f>
        <v>#N/A</v>
      </c>
      <c r="AK67" s="13" t="e">
        <f t="shared" si="35"/>
        <v>#N/A</v>
      </c>
      <c r="AL67" s="20" t="e">
        <f t="shared" si="4"/>
        <v>#N/A</v>
      </c>
      <c r="AM67" s="59" t="e">
        <f t="shared" si="5"/>
        <v>#N/A</v>
      </c>
      <c r="AN67" s="59" t="e">
        <f ca="1">AVERAGE(OFFSET($AM$3,0,0,'Données projet'!$E$10+1,1))-AVERAGE(OFFSET($H$3,0,0,'Données projet'!$E$10+1,1))</f>
        <v>#N/A</v>
      </c>
      <c r="AO67" s="59" t="e">
        <f t="shared" si="36"/>
        <v>#N/A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 t="e">
        <f>EXP(-LN(2)/35)*AU66+(1-EXP(-LN(2)/35))/(LN(2)/35)*AQ67*AR67*VLOOKUP('Données projet'!$B$10,Paramètres!$A$1:$I$89,3,0)*0.475*44/12</f>
        <v>#N/A</v>
      </c>
      <c r="AV67" s="21" t="e">
        <f>EXP(-LN(2)/25)*AV66+(1-EXP(-LN(2)/25))/(LN(2)/25)*Calculateur!AQ67*Calculateur!AS67*VLOOKUP('Données projet'!$B$10,Paramètres!$A$1:$I$89,3,0)*0.475*44/12</f>
        <v>#N/A</v>
      </c>
      <c r="AW67" s="21" t="e">
        <f>EXP(-LN(2)/2)*AW66+(1-EXP(-LN(2)/2))/(LN(2)/2)*AQ67*AT67*VLOOKUP('Données projet'!$B$10,Paramètres!$A$1:$I$89,3,0)*0.475*44/12</f>
        <v>#N/A</v>
      </c>
      <c r="AX67" s="21" t="e">
        <f t="shared" si="6"/>
        <v>#N/A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3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67">
        <f t="shared" ref="H68:H131" si="56">(B68+E68+F68)*44/12+(C68+D68)*0.475*44/12</f>
        <v>256.66666666666669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-1.7053025658242404E-13</v>
      </c>
      <c r="O68" s="13">
        <f>N68*VLOOKUP('Données projet'!$B$9,Paramètres!$A$1:$I$89,3,0)*VLOOKUP('Données projet'!$B$9,Paramètres!$A$1:$I$89,5,0)</f>
        <v>-1.0197709343628959E-13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323.17232038705157</v>
      </c>
      <c r="T68" s="59">
        <f t="shared" si="34"/>
        <v>402.34685738619197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136.26192610858953</v>
      </c>
      <c r="AA68" s="21">
        <f>EXP(-LN(2)/25)*AA67+(1-EXP(-LN(2)/25))/(LN(2)/25)*Calculateur!V68*Calculateur!X68*VLOOKUP('Données projet'!$B$9,Paramètres!$A$1:$I$89,3,0)*0.475*44/12</f>
        <v>34.43952446108743</v>
      </c>
      <c r="AB68" s="21">
        <f>EXP(-LN(2)/2)*AB67+(1-EXP(-LN(2)/2))/(LN(2)/2)*V68*Y68*VLOOKUP('Données projet'!$B$9,Paramètres!$A$1:$I$89,3,0)*0.475*44/12</f>
        <v>1.7857261810499798</v>
      </c>
      <c r="AC68" s="22">
        <f t="shared" ref="AC68:AC131" si="57">SUM(Z68:AB68)</f>
        <v>172.48717675072695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 t="e">
        <f>AI68*VLOOKUP('Données projet'!$B$10,Paramètres!$A$1:$I$89,3,0)*VLOOKUP('Données projet'!$B$10,Paramètres!$A$1:$I$89,5,0)</f>
        <v>#N/A</v>
      </c>
      <c r="AK68" s="13" t="e">
        <f t="shared" si="35"/>
        <v>#N/A</v>
      </c>
      <c r="AL68" s="20" t="e">
        <f t="shared" ref="AL68:AL131" si="58">(AJ68+AK68)*0.475*44/12</f>
        <v>#N/A</v>
      </c>
      <c r="AM68" s="59" t="e">
        <f t="shared" ref="AM68:AM131" si="59">AL68+(AD68+AE68)*44/12</f>
        <v>#N/A</v>
      </c>
      <c r="AN68" s="59" t="e">
        <f ca="1">AVERAGE(OFFSET($AM$3,0,0,'Données projet'!$E$10+1,1))-AVERAGE(OFFSET($H$3,0,0,'Données projet'!$E$10+1,1))</f>
        <v>#N/A</v>
      </c>
      <c r="AO68" s="59" t="e">
        <f t="shared" si="36"/>
        <v>#N/A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 t="e">
        <f>EXP(-LN(2)/35)*AU67+(1-EXP(-LN(2)/35))/(LN(2)/35)*AQ68*AR68*VLOOKUP('Données projet'!$B$10,Paramètres!$A$1:$I$89,3,0)*0.475*44/12</f>
        <v>#N/A</v>
      </c>
      <c r="AV68" s="21" t="e">
        <f>EXP(-LN(2)/25)*AV67+(1-EXP(-LN(2)/25))/(LN(2)/25)*Calculateur!AQ68*Calculateur!AS68*VLOOKUP('Données projet'!$B$10,Paramètres!$A$1:$I$89,3,0)*0.475*44/12</f>
        <v>#N/A</v>
      </c>
      <c r="AW68" s="21" t="e">
        <f>EXP(-LN(2)/2)*AW67+(1-EXP(-LN(2)/2))/(LN(2)/2)*AQ68*AT68*VLOOKUP('Données projet'!$B$10,Paramètres!$A$1:$I$89,3,0)*0.475*44/12</f>
        <v>#N/A</v>
      </c>
      <c r="AX68" s="21" t="e">
        <f t="shared" ref="AX68:AX131" si="60">SUM(AU68:AW68)</f>
        <v>#N/A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86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67">
        <f t="shared" si="56"/>
        <v>256.66666666666669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-1.7053025658242404E-13</v>
      </c>
      <c r="O69" s="13">
        <f>N69*VLOOKUP('Données projet'!$B$9,Paramètres!$A$1:$I$89,3,0)*VLOOKUP('Données projet'!$B$9,Paramètres!$A$1:$I$89,5,0)</f>
        <v>-1.0197709343628959E-13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323.17232038705157</v>
      </c>
      <c r="T69" s="59">
        <f t="shared" ref="T69:T132" si="88">$T$3</f>
        <v>402.34685738619197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133.58991284916843</v>
      </c>
      <c r="AA69" s="21">
        <f>EXP(-LN(2)/25)*AA68+(1-EXP(-LN(2)/25))/(LN(2)/25)*Calculateur!V69*Calculateur!X69*VLOOKUP('Données projet'!$B$9,Paramètres!$A$1:$I$89,3,0)*0.475*44/12</f>
        <v>33.497773853603114</v>
      </c>
      <c r="AB69" s="21">
        <f>EXP(-LN(2)/2)*AB68+(1-EXP(-LN(2)/2))/(LN(2)/2)*V69*Y69*VLOOKUP('Données projet'!$B$9,Paramètres!$A$1:$I$89,3,0)*0.475*44/12</f>
        <v>1.2626990919627974</v>
      </c>
      <c r="AC69" s="22">
        <f t="shared" si="57"/>
        <v>168.35038579473434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 t="e">
        <f>AI69*VLOOKUP('Données projet'!$B$10,Paramètres!$A$1:$I$89,3,0)*VLOOKUP('Données projet'!$B$10,Paramètres!$A$1:$I$89,5,0)</f>
        <v>#N/A</v>
      </c>
      <c r="AK69" s="13" t="e">
        <f t="shared" ref="AK69:AK132" si="89">EXP(-1.0587+0.8836*LN(AJ69)+0.284)</f>
        <v>#N/A</v>
      </c>
      <c r="AL69" s="20" t="e">
        <f t="shared" si="58"/>
        <v>#N/A</v>
      </c>
      <c r="AM69" s="59" t="e">
        <f t="shared" si="59"/>
        <v>#N/A</v>
      </c>
      <c r="AN69" s="59" t="e">
        <f ca="1">AVERAGE(OFFSET($AM$3,0,0,'Données projet'!$E$10+1,1))-AVERAGE(OFFSET($H$3,0,0,'Données projet'!$E$10+1,1))</f>
        <v>#N/A</v>
      </c>
      <c r="AO69" s="59" t="e">
        <f t="shared" ref="AO69:AO132" si="90">$AO$3</f>
        <v>#N/A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 t="e">
        <f>EXP(-LN(2)/35)*AU68+(1-EXP(-LN(2)/35))/(LN(2)/35)*AQ69*AR69*VLOOKUP('Données projet'!$B$10,Paramètres!$A$1:$I$89,3,0)*0.475*44/12</f>
        <v>#N/A</v>
      </c>
      <c r="AV69" s="21" t="e">
        <f>EXP(-LN(2)/25)*AV68+(1-EXP(-LN(2)/25))/(LN(2)/25)*Calculateur!AQ69*Calculateur!AS69*VLOOKUP('Données projet'!$B$10,Paramètres!$A$1:$I$89,3,0)*0.475*44/12</f>
        <v>#N/A</v>
      </c>
      <c r="AW69" s="21" t="e">
        <f>EXP(-LN(2)/2)*AW68+(1-EXP(-LN(2)/2))/(LN(2)/2)*AQ69*AT69*VLOOKUP('Données projet'!$B$10,Paramètres!$A$1:$I$89,3,0)*0.475*44/12</f>
        <v>#N/A</v>
      </c>
      <c r="AX69" s="21" t="e">
        <f t="shared" si="60"/>
        <v>#N/A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86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67">
        <f t="shared" si="56"/>
        <v>256.66666666666669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-1.7053025658242404E-13</v>
      </c>
      <c r="O70" s="13">
        <f>N70*VLOOKUP('Données projet'!$B$9,Paramètres!$A$1:$I$89,3,0)*VLOOKUP('Données projet'!$B$9,Paramètres!$A$1:$I$89,5,0)</f>
        <v>-1.0197709343628959E-13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323.17232038705157</v>
      </c>
      <c r="T70" s="59">
        <f t="shared" si="88"/>
        <v>402.34685738619197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130.9702961399974</v>
      </c>
      <c r="AA70" s="21">
        <f>EXP(-LN(2)/25)*AA69+(1-EXP(-LN(2)/25))/(LN(2)/25)*Calculateur!V70*Calculateur!X70*VLOOKUP('Données projet'!$B$9,Paramètres!$A$1:$I$89,3,0)*0.475*44/12</f>
        <v>32.58177546600497</v>
      </c>
      <c r="AB70" s="21">
        <f>EXP(-LN(2)/2)*AB69+(1-EXP(-LN(2)/2))/(LN(2)/2)*V70*Y70*VLOOKUP('Données projet'!$B$9,Paramètres!$A$1:$I$89,3,0)*0.475*44/12</f>
        <v>0.89286309052499013</v>
      </c>
      <c r="AC70" s="22">
        <f t="shared" si="57"/>
        <v>164.44493469652735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 t="e">
        <f>AI70*VLOOKUP('Données projet'!$B$10,Paramètres!$A$1:$I$89,3,0)*VLOOKUP('Données projet'!$B$10,Paramètres!$A$1:$I$89,5,0)</f>
        <v>#N/A</v>
      </c>
      <c r="AK70" s="13" t="e">
        <f t="shared" si="89"/>
        <v>#N/A</v>
      </c>
      <c r="AL70" s="20" t="e">
        <f t="shared" si="58"/>
        <v>#N/A</v>
      </c>
      <c r="AM70" s="59" t="e">
        <f t="shared" si="59"/>
        <v>#N/A</v>
      </c>
      <c r="AN70" s="59" t="e">
        <f ca="1">AVERAGE(OFFSET($AM$3,0,0,'Données projet'!$E$10+1,1))-AVERAGE(OFFSET($H$3,0,0,'Données projet'!$E$10+1,1))</f>
        <v>#N/A</v>
      </c>
      <c r="AO70" s="59" t="e">
        <f t="shared" si="90"/>
        <v>#N/A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 t="e">
        <f>EXP(-LN(2)/35)*AU69+(1-EXP(-LN(2)/35))/(LN(2)/35)*AQ70*AR70*VLOOKUP('Données projet'!$B$10,Paramètres!$A$1:$I$89,3,0)*0.475*44/12</f>
        <v>#N/A</v>
      </c>
      <c r="AV70" s="21" t="e">
        <f>EXP(-LN(2)/25)*AV69+(1-EXP(-LN(2)/25))/(LN(2)/25)*Calculateur!AQ70*Calculateur!AS70*VLOOKUP('Données projet'!$B$10,Paramètres!$A$1:$I$89,3,0)*0.475*44/12</f>
        <v>#N/A</v>
      </c>
      <c r="AW70" s="21" t="e">
        <f>EXP(-LN(2)/2)*AW69+(1-EXP(-LN(2)/2))/(LN(2)/2)*AQ70*AT70*VLOOKUP('Données projet'!$B$10,Paramètres!$A$1:$I$89,3,0)*0.475*44/12</f>
        <v>#N/A</v>
      </c>
      <c r="AX70" s="21" t="e">
        <f t="shared" si="60"/>
        <v>#N/A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86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67">
        <f t="shared" si="56"/>
        <v>256.66666666666669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-1.7053025658242404E-13</v>
      </c>
      <c r="O71" s="13">
        <f>N71*VLOOKUP('Données projet'!$B$9,Paramètres!$A$1:$I$89,3,0)*VLOOKUP('Données projet'!$B$9,Paramètres!$A$1:$I$89,5,0)</f>
        <v>-1.0197709343628959E-13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323.17232038705157</v>
      </c>
      <c r="T71" s="59">
        <f t="shared" si="88"/>
        <v>402.34685738619197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128.4020485166848</v>
      </c>
      <c r="AA71" s="21">
        <f>EXP(-LN(2)/25)*AA70+(1-EXP(-LN(2)/25))/(LN(2)/25)*Calculateur!V71*Calculateur!X71*VLOOKUP('Données projet'!$B$9,Paramètres!$A$1:$I$89,3,0)*0.475*44/12</f>
        <v>31.69082510248596</v>
      </c>
      <c r="AB71" s="21">
        <f>EXP(-LN(2)/2)*AB70+(1-EXP(-LN(2)/2))/(LN(2)/2)*V71*Y71*VLOOKUP('Données projet'!$B$9,Paramètres!$A$1:$I$89,3,0)*0.475*44/12</f>
        <v>0.63134954598139881</v>
      </c>
      <c r="AC71" s="22">
        <f t="shared" si="57"/>
        <v>160.72422316515215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 t="e">
        <f>AI71*VLOOKUP('Données projet'!$B$10,Paramètres!$A$1:$I$89,3,0)*VLOOKUP('Données projet'!$B$10,Paramètres!$A$1:$I$89,5,0)</f>
        <v>#N/A</v>
      </c>
      <c r="AK71" s="13" t="e">
        <f t="shared" si="89"/>
        <v>#N/A</v>
      </c>
      <c r="AL71" s="20" t="e">
        <f t="shared" si="58"/>
        <v>#N/A</v>
      </c>
      <c r="AM71" s="59" t="e">
        <f t="shared" si="59"/>
        <v>#N/A</v>
      </c>
      <c r="AN71" s="59" t="e">
        <f ca="1">AVERAGE(OFFSET($AM$3,0,0,'Données projet'!$E$10+1,1))-AVERAGE(OFFSET($H$3,0,0,'Données projet'!$E$10+1,1))</f>
        <v>#N/A</v>
      </c>
      <c r="AO71" s="59" t="e">
        <f t="shared" si="90"/>
        <v>#N/A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 t="e">
        <f>EXP(-LN(2)/35)*AU70+(1-EXP(-LN(2)/35))/(LN(2)/35)*AQ71*AR71*VLOOKUP('Données projet'!$B$10,Paramètres!$A$1:$I$89,3,0)*0.475*44/12</f>
        <v>#N/A</v>
      </c>
      <c r="AV71" s="21" t="e">
        <f>EXP(-LN(2)/25)*AV70+(1-EXP(-LN(2)/25))/(LN(2)/25)*Calculateur!AQ71*Calculateur!AS71*VLOOKUP('Données projet'!$B$10,Paramètres!$A$1:$I$89,3,0)*0.475*44/12</f>
        <v>#N/A</v>
      </c>
      <c r="AW71" s="21" t="e">
        <f>EXP(-LN(2)/2)*AW70+(1-EXP(-LN(2)/2))/(LN(2)/2)*AQ71*AT71*VLOOKUP('Données projet'!$B$10,Paramètres!$A$1:$I$89,3,0)*0.475*44/12</f>
        <v>#N/A</v>
      </c>
      <c r="AX71" s="21" t="e">
        <f t="shared" si="60"/>
        <v>#N/A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86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67">
        <f t="shared" si="56"/>
        <v>256.66666666666669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-1.7053025658242404E-13</v>
      </c>
      <c r="O72" s="13">
        <f>N72*VLOOKUP('Données projet'!$B$9,Paramètres!$A$1:$I$89,3,0)*VLOOKUP('Données projet'!$B$9,Paramètres!$A$1:$I$89,5,0)</f>
        <v>-1.0197709343628959E-13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323.17232038705157</v>
      </c>
      <c r="T72" s="59">
        <f t="shared" si="88"/>
        <v>402.34685738619197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125.884162662789</v>
      </c>
      <c r="AA72" s="21">
        <f>EXP(-LN(2)/25)*AA71+(1-EXP(-LN(2)/25))/(LN(2)/25)*Calculateur!V72*Calculateur!X72*VLOOKUP('Données projet'!$B$9,Paramètres!$A$1:$I$89,3,0)*0.475*44/12</f>
        <v>30.824237823510419</v>
      </c>
      <c r="AB72" s="21">
        <f>EXP(-LN(2)/2)*AB71+(1-EXP(-LN(2)/2))/(LN(2)/2)*V72*Y72*VLOOKUP('Données projet'!$B$9,Paramètres!$A$1:$I$89,3,0)*0.475*44/12</f>
        <v>0.44643154526249512</v>
      </c>
      <c r="AC72" s="22">
        <f t="shared" si="57"/>
        <v>157.15483203156191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 t="e">
        <f>AI72*VLOOKUP('Données projet'!$B$10,Paramètres!$A$1:$I$89,3,0)*VLOOKUP('Données projet'!$B$10,Paramètres!$A$1:$I$89,5,0)</f>
        <v>#N/A</v>
      </c>
      <c r="AK72" s="13" t="e">
        <f t="shared" si="89"/>
        <v>#N/A</v>
      </c>
      <c r="AL72" s="20" t="e">
        <f t="shared" si="58"/>
        <v>#N/A</v>
      </c>
      <c r="AM72" s="59" t="e">
        <f t="shared" si="59"/>
        <v>#N/A</v>
      </c>
      <c r="AN72" s="59" t="e">
        <f ca="1">AVERAGE(OFFSET($AM$3,0,0,'Données projet'!$E$10+1,1))-AVERAGE(OFFSET($H$3,0,0,'Données projet'!$E$10+1,1))</f>
        <v>#N/A</v>
      </c>
      <c r="AO72" s="59" t="e">
        <f t="shared" si="90"/>
        <v>#N/A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 t="e">
        <f>EXP(-LN(2)/35)*AU71+(1-EXP(-LN(2)/35))/(LN(2)/35)*AQ72*AR72*VLOOKUP('Données projet'!$B$10,Paramètres!$A$1:$I$89,3,0)*0.475*44/12</f>
        <v>#N/A</v>
      </c>
      <c r="AV72" s="21" t="e">
        <f>EXP(-LN(2)/25)*AV71+(1-EXP(-LN(2)/25))/(LN(2)/25)*Calculateur!AQ72*Calculateur!AS72*VLOOKUP('Données projet'!$B$10,Paramètres!$A$1:$I$89,3,0)*0.475*44/12</f>
        <v>#N/A</v>
      </c>
      <c r="AW72" s="21" t="e">
        <f>EXP(-LN(2)/2)*AW71+(1-EXP(-LN(2)/2))/(LN(2)/2)*AQ72*AT72*VLOOKUP('Données projet'!$B$10,Paramètres!$A$1:$I$89,3,0)*0.475*44/12</f>
        <v>#N/A</v>
      </c>
      <c r="AX72" s="21" t="e">
        <f t="shared" si="60"/>
        <v>#N/A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86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67">
        <f t="shared" si="56"/>
        <v>256.66666666666669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-1.7053025658242404E-13</v>
      </c>
      <c r="O73" s="13">
        <f>N73*VLOOKUP('Données projet'!$B$9,Paramètres!$A$1:$I$89,3,0)*VLOOKUP('Données projet'!$B$9,Paramètres!$A$1:$I$89,5,0)</f>
        <v>-1.0197709343628959E-13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323.17232038705157</v>
      </c>
      <c r="T73" s="59">
        <f t="shared" si="88"/>
        <v>402.34685738619197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123.41565101472936</v>
      </c>
      <c r="AA73" s="21">
        <f>EXP(-LN(2)/25)*AA72+(1-EXP(-LN(2)/25))/(LN(2)/25)*Calculateur!V73*Calculateur!X73*VLOOKUP('Données projet'!$B$9,Paramètres!$A$1:$I$89,3,0)*0.475*44/12</f>
        <v>29.981347419250309</v>
      </c>
      <c r="AB73" s="21">
        <f>EXP(-LN(2)/2)*AB72+(1-EXP(-LN(2)/2))/(LN(2)/2)*V73*Y73*VLOOKUP('Données projet'!$B$9,Paramètres!$A$1:$I$89,3,0)*0.475*44/12</f>
        <v>0.31567477299069946</v>
      </c>
      <c r="AC73" s="22">
        <f t="shared" si="57"/>
        <v>153.71267320697035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 t="e">
        <f>AI73*VLOOKUP('Données projet'!$B$10,Paramètres!$A$1:$I$89,3,0)*VLOOKUP('Données projet'!$B$10,Paramètres!$A$1:$I$89,5,0)</f>
        <v>#N/A</v>
      </c>
      <c r="AK73" s="13" t="e">
        <f t="shared" si="89"/>
        <v>#N/A</v>
      </c>
      <c r="AL73" s="20" t="e">
        <f t="shared" si="58"/>
        <v>#N/A</v>
      </c>
      <c r="AM73" s="59" t="e">
        <f t="shared" si="59"/>
        <v>#N/A</v>
      </c>
      <c r="AN73" s="59" t="e">
        <f ca="1">AVERAGE(OFFSET($AM$3,0,0,'Données projet'!$E$10+1,1))-AVERAGE(OFFSET($H$3,0,0,'Données projet'!$E$10+1,1))</f>
        <v>#N/A</v>
      </c>
      <c r="AO73" s="59" t="e">
        <f t="shared" si="90"/>
        <v>#N/A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 t="e">
        <f>EXP(-LN(2)/35)*AU72+(1-EXP(-LN(2)/35))/(LN(2)/35)*AQ73*AR73*VLOOKUP('Données projet'!$B$10,Paramètres!$A$1:$I$89,3,0)*0.475*44/12</f>
        <v>#N/A</v>
      </c>
      <c r="AV73" s="21" t="e">
        <f>EXP(-LN(2)/25)*AV72+(1-EXP(-LN(2)/25))/(LN(2)/25)*Calculateur!AQ73*Calculateur!AS73*VLOOKUP('Données projet'!$B$10,Paramètres!$A$1:$I$89,3,0)*0.475*44/12</f>
        <v>#N/A</v>
      </c>
      <c r="AW73" s="21" t="e">
        <f>EXP(-LN(2)/2)*AW72+(1-EXP(-LN(2)/2))/(LN(2)/2)*AQ73*AT73*VLOOKUP('Données projet'!$B$10,Paramètres!$A$1:$I$89,3,0)*0.475*44/12</f>
        <v>#N/A</v>
      </c>
      <c r="AX73" s="21" t="e">
        <f t="shared" si="60"/>
        <v>#N/A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86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67">
        <f t="shared" si="56"/>
        <v>256.66666666666669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-1.7053025658242404E-13</v>
      </c>
      <c r="O74" s="13">
        <f>N74*VLOOKUP('Données projet'!$B$9,Paramètres!$A$1:$I$89,3,0)*VLOOKUP('Données projet'!$B$9,Paramètres!$A$1:$I$89,5,0)</f>
        <v>-1.0197709343628959E-13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323.17232038705157</v>
      </c>
      <c r="T74" s="59">
        <f t="shared" si="88"/>
        <v>402.34685738619197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120.99554537444475</v>
      </c>
      <c r="AA74" s="21">
        <f>EXP(-LN(2)/25)*AA73+(1-EXP(-LN(2)/25))/(LN(2)/25)*Calculateur!V74*Calculateur!X74*VLOOKUP('Données projet'!$B$9,Paramètres!$A$1:$I$89,3,0)*0.475*44/12</f>
        <v>29.161505897420373</v>
      </c>
      <c r="AB74" s="21">
        <f>EXP(-LN(2)/2)*AB73+(1-EXP(-LN(2)/2))/(LN(2)/2)*V74*Y74*VLOOKUP('Données projet'!$B$9,Paramètres!$A$1:$I$89,3,0)*0.475*44/12</f>
        <v>0.22321577263124759</v>
      </c>
      <c r="AC74" s="22">
        <f t="shared" si="57"/>
        <v>150.38026704449638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 t="e">
        <f>AI74*VLOOKUP('Données projet'!$B$10,Paramètres!$A$1:$I$89,3,0)*VLOOKUP('Données projet'!$B$10,Paramètres!$A$1:$I$89,5,0)</f>
        <v>#N/A</v>
      </c>
      <c r="AK74" s="13" t="e">
        <f t="shared" si="89"/>
        <v>#N/A</v>
      </c>
      <c r="AL74" s="20" t="e">
        <f t="shared" si="58"/>
        <v>#N/A</v>
      </c>
      <c r="AM74" s="59" t="e">
        <f t="shared" si="59"/>
        <v>#N/A</v>
      </c>
      <c r="AN74" s="59" t="e">
        <f ca="1">AVERAGE(OFFSET($AM$3,0,0,'Données projet'!$E$10+1,1))-AVERAGE(OFFSET($H$3,0,0,'Données projet'!$E$10+1,1))</f>
        <v>#N/A</v>
      </c>
      <c r="AO74" s="59" t="e">
        <f t="shared" si="90"/>
        <v>#N/A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 t="e">
        <f>EXP(-LN(2)/35)*AU73+(1-EXP(-LN(2)/35))/(LN(2)/35)*AQ74*AR74*VLOOKUP('Données projet'!$B$10,Paramètres!$A$1:$I$89,3,0)*0.475*44/12</f>
        <v>#N/A</v>
      </c>
      <c r="AV74" s="21" t="e">
        <f>EXP(-LN(2)/25)*AV73+(1-EXP(-LN(2)/25))/(LN(2)/25)*Calculateur!AQ74*Calculateur!AS74*VLOOKUP('Données projet'!$B$10,Paramètres!$A$1:$I$89,3,0)*0.475*44/12</f>
        <v>#N/A</v>
      </c>
      <c r="AW74" s="21" t="e">
        <f>EXP(-LN(2)/2)*AW73+(1-EXP(-LN(2)/2))/(LN(2)/2)*AQ74*AT74*VLOOKUP('Données projet'!$B$10,Paramètres!$A$1:$I$89,3,0)*0.475*44/12</f>
        <v>#N/A</v>
      </c>
      <c r="AX74" s="21" t="e">
        <f t="shared" si="60"/>
        <v>#N/A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86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67">
        <f t="shared" si="56"/>
        <v>256.66666666666669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-1.7053025658242404E-13</v>
      </c>
      <c r="O75" s="13">
        <f>N75*VLOOKUP('Données projet'!$B$9,Paramètres!$A$1:$I$89,3,0)*VLOOKUP('Données projet'!$B$9,Paramètres!$A$1:$I$89,5,0)</f>
        <v>-1.0197709343628959E-13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323.17232038705157</v>
      </c>
      <c r="T75" s="59">
        <f t="shared" si="88"/>
        <v>402.34685738619197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118.62289652964742</v>
      </c>
      <c r="AA75" s="21">
        <f>EXP(-LN(2)/25)*AA74+(1-EXP(-LN(2)/25))/(LN(2)/25)*Calculateur!V75*Calculateur!X75*VLOOKUP('Données projet'!$B$9,Paramètres!$A$1:$I$89,3,0)*0.475*44/12</f>
        <v>28.364082985118468</v>
      </c>
      <c r="AB75" s="21">
        <f>EXP(-LN(2)/2)*AB74+(1-EXP(-LN(2)/2))/(LN(2)/2)*V75*Y75*VLOOKUP('Données projet'!$B$9,Paramètres!$A$1:$I$89,3,0)*0.475*44/12</f>
        <v>0.15783738649534973</v>
      </c>
      <c r="AC75" s="22">
        <f t="shared" si="57"/>
        <v>147.14481690126124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 t="e">
        <f>AI75*VLOOKUP('Données projet'!$B$10,Paramètres!$A$1:$I$89,3,0)*VLOOKUP('Données projet'!$B$10,Paramètres!$A$1:$I$89,5,0)</f>
        <v>#N/A</v>
      </c>
      <c r="AK75" s="13" t="e">
        <f t="shared" si="89"/>
        <v>#N/A</v>
      </c>
      <c r="AL75" s="20" t="e">
        <f t="shared" si="58"/>
        <v>#N/A</v>
      </c>
      <c r="AM75" s="59" t="e">
        <f t="shared" si="59"/>
        <v>#N/A</v>
      </c>
      <c r="AN75" s="59" t="e">
        <f ca="1">AVERAGE(OFFSET($AM$3,0,0,'Données projet'!$E$10+1,1))-AVERAGE(OFFSET($H$3,0,0,'Données projet'!$E$10+1,1))</f>
        <v>#N/A</v>
      </c>
      <c r="AO75" s="59" t="e">
        <f t="shared" si="90"/>
        <v>#N/A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 t="e">
        <f>EXP(-LN(2)/35)*AU74+(1-EXP(-LN(2)/35))/(LN(2)/35)*AQ75*AR75*VLOOKUP('Données projet'!$B$10,Paramètres!$A$1:$I$89,3,0)*0.475*44/12</f>
        <v>#N/A</v>
      </c>
      <c r="AV75" s="21" t="e">
        <f>EXP(-LN(2)/25)*AV74+(1-EXP(-LN(2)/25))/(LN(2)/25)*Calculateur!AQ75*Calculateur!AS75*VLOOKUP('Données projet'!$B$10,Paramètres!$A$1:$I$89,3,0)*0.475*44/12</f>
        <v>#N/A</v>
      </c>
      <c r="AW75" s="21" t="e">
        <f>EXP(-LN(2)/2)*AW74+(1-EXP(-LN(2)/2))/(LN(2)/2)*AQ75*AT75*VLOOKUP('Données projet'!$B$10,Paramètres!$A$1:$I$89,3,0)*0.475*44/12</f>
        <v>#N/A</v>
      </c>
      <c r="AX75" s="21" t="e">
        <f t="shared" si="60"/>
        <v>#N/A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86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67">
        <f t="shared" si="56"/>
        <v>256.66666666666669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-1.7053025658242404E-13</v>
      </c>
      <c r="O76" s="13">
        <f>N76*VLOOKUP('Données projet'!$B$9,Paramètres!$A$1:$I$89,3,0)*VLOOKUP('Données projet'!$B$9,Paramètres!$A$1:$I$89,5,0)</f>
        <v>-1.0197709343628959E-13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323.17232038705157</v>
      </c>
      <c r="T76" s="59">
        <f t="shared" si="88"/>
        <v>402.34685738619197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116.29677388152366</v>
      </c>
      <c r="AA76" s="21">
        <f>EXP(-LN(2)/25)*AA75+(1-EXP(-LN(2)/25))/(LN(2)/25)*Calculateur!V76*Calculateur!X76*VLOOKUP('Données projet'!$B$9,Paramètres!$A$1:$I$89,3,0)*0.475*44/12</f>
        <v>27.588465644288107</v>
      </c>
      <c r="AB76" s="21">
        <f>EXP(-LN(2)/2)*AB75+(1-EXP(-LN(2)/2))/(LN(2)/2)*V76*Y76*VLOOKUP('Données projet'!$B$9,Paramètres!$A$1:$I$89,3,0)*0.475*44/12</f>
        <v>0.11160788631562379</v>
      </c>
      <c r="AC76" s="22">
        <f t="shared" si="57"/>
        <v>143.99684741212738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 t="e">
        <f>AI76*VLOOKUP('Données projet'!$B$10,Paramètres!$A$1:$I$89,3,0)*VLOOKUP('Données projet'!$B$10,Paramètres!$A$1:$I$89,5,0)</f>
        <v>#N/A</v>
      </c>
      <c r="AK76" s="13" t="e">
        <f t="shared" si="89"/>
        <v>#N/A</v>
      </c>
      <c r="AL76" s="20" t="e">
        <f t="shared" si="58"/>
        <v>#N/A</v>
      </c>
      <c r="AM76" s="59" t="e">
        <f t="shared" si="59"/>
        <v>#N/A</v>
      </c>
      <c r="AN76" s="59" t="e">
        <f ca="1">AVERAGE(OFFSET($AM$3,0,0,'Données projet'!$E$10+1,1))-AVERAGE(OFFSET($H$3,0,0,'Données projet'!$E$10+1,1))</f>
        <v>#N/A</v>
      </c>
      <c r="AO76" s="59" t="e">
        <f t="shared" si="90"/>
        <v>#N/A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 t="e">
        <f>EXP(-LN(2)/35)*AU75+(1-EXP(-LN(2)/35))/(LN(2)/35)*AQ76*AR76*VLOOKUP('Données projet'!$B$10,Paramètres!$A$1:$I$89,3,0)*0.475*44/12</f>
        <v>#N/A</v>
      </c>
      <c r="AV76" s="21" t="e">
        <f>EXP(-LN(2)/25)*AV75+(1-EXP(-LN(2)/25))/(LN(2)/25)*Calculateur!AQ76*Calculateur!AS76*VLOOKUP('Données projet'!$B$10,Paramètres!$A$1:$I$89,3,0)*0.475*44/12</f>
        <v>#N/A</v>
      </c>
      <c r="AW76" s="21" t="e">
        <f>EXP(-LN(2)/2)*AW75+(1-EXP(-LN(2)/2))/(LN(2)/2)*AQ76*AT76*VLOOKUP('Données projet'!$B$10,Paramètres!$A$1:$I$89,3,0)*0.475*44/12</f>
        <v>#N/A</v>
      </c>
      <c r="AX76" s="21" t="e">
        <f t="shared" si="60"/>
        <v>#N/A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86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67">
        <f t="shared" si="56"/>
        <v>256.66666666666669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-1.7053025658242404E-13</v>
      </c>
      <c r="O77" s="13">
        <f>N77*VLOOKUP('Données projet'!$B$9,Paramètres!$A$1:$I$89,3,0)*VLOOKUP('Données projet'!$B$9,Paramètres!$A$1:$I$89,5,0)</f>
        <v>-1.0197709343628959E-13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323.17232038705157</v>
      </c>
      <c r="T77" s="59">
        <f t="shared" si="88"/>
        <v>402.34685738619197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114.01626507973489</v>
      </c>
      <c r="AA77" s="21">
        <f>EXP(-LN(2)/25)*AA76+(1-EXP(-LN(2)/25))/(LN(2)/25)*Calculateur!V77*Calculateur!X77*VLOOKUP('Données projet'!$B$9,Paramètres!$A$1:$I$89,3,0)*0.475*44/12</f>
        <v>26.834057600430693</v>
      </c>
      <c r="AB77" s="21">
        <f>EXP(-LN(2)/2)*AB76+(1-EXP(-LN(2)/2))/(LN(2)/2)*V77*Y77*VLOOKUP('Données projet'!$B$9,Paramètres!$A$1:$I$89,3,0)*0.475*44/12</f>
        <v>7.8918693247674865E-2</v>
      </c>
      <c r="AC77" s="22">
        <f t="shared" si="57"/>
        <v>140.92924137341328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 t="e">
        <f>AI77*VLOOKUP('Données projet'!$B$10,Paramètres!$A$1:$I$89,3,0)*VLOOKUP('Données projet'!$B$10,Paramètres!$A$1:$I$89,5,0)</f>
        <v>#N/A</v>
      </c>
      <c r="AK77" s="13" t="e">
        <f t="shared" si="89"/>
        <v>#N/A</v>
      </c>
      <c r="AL77" s="20" t="e">
        <f t="shared" si="58"/>
        <v>#N/A</v>
      </c>
      <c r="AM77" s="59" t="e">
        <f t="shared" si="59"/>
        <v>#N/A</v>
      </c>
      <c r="AN77" s="59" t="e">
        <f ca="1">AVERAGE(OFFSET($AM$3,0,0,'Données projet'!$E$10+1,1))-AVERAGE(OFFSET($H$3,0,0,'Données projet'!$E$10+1,1))</f>
        <v>#N/A</v>
      </c>
      <c r="AO77" s="59" t="e">
        <f t="shared" si="90"/>
        <v>#N/A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 t="e">
        <f>EXP(-LN(2)/35)*AU76+(1-EXP(-LN(2)/35))/(LN(2)/35)*AQ77*AR77*VLOOKUP('Données projet'!$B$10,Paramètres!$A$1:$I$89,3,0)*0.475*44/12</f>
        <v>#N/A</v>
      </c>
      <c r="AV77" s="21" t="e">
        <f>EXP(-LN(2)/25)*AV76+(1-EXP(-LN(2)/25))/(LN(2)/25)*Calculateur!AQ77*Calculateur!AS77*VLOOKUP('Données projet'!$B$10,Paramètres!$A$1:$I$89,3,0)*0.475*44/12</f>
        <v>#N/A</v>
      </c>
      <c r="AW77" s="21" t="e">
        <f>EXP(-LN(2)/2)*AW76+(1-EXP(-LN(2)/2))/(LN(2)/2)*AQ77*AT77*VLOOKUP('Données projet'!$B$10,Paramètres!$A$1:$I$89,3,0)*0.475*44/12</f>
        <v>#N/A</v>
      </c>
      <c r="AX77" s="21" t="e">
        <f t="shared" si="60"/>
        <v>#N/A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86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67">
        <f t="shared" si="56"/>
        <v>256.66666666666669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-1.7053025658242404E-13</v>
      </c>
      <c r="O78" s="13">
        <f>N78*VLOOKUP('Données projet'!$B$9,Paramètres!$A$1:$I$89,3,0)*VLOOKUP('Données projet'!$B$9,Paramètres!$A$1:$I$89,5,0)</f>
        <v>-1.0197709343628959E-13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323.17232038705157</v>
      </c>
      <c r="T78" s="59">
        <f t="shared" si="88"/>
        <v>402.34685738619197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111.78047566457619</v>
      </c>
      <c r="AA78" s="21">
        <f>EXP(-LN(2)/25)*AA77+(1-EXP(-LN(2)/25))/(LN(2)/25)*Calculateur!V78*Calculateur!X78*VLOOKUP('Données projet'!$B$9,Paramètres!$A$1:$I$89,3,0)*0.475*44/12</f>
        <v>26.100278884205157</v>
      </c>
      <c r="AB78" s="21">
        <f>EXP(-LN(2)/2)*AB77+(1-EXP(-LN(2)/2))/(LN(2)/2)*V78*Y78*VLOOKUP('Données projet'!$B$9,Paramètres!$A$1:$I$89,3,0)*0.475*44/12</f>
        <v>5.5803943157811897E-2</v>
      </c>
      <c r="AC78" s="22">
        <f t="shared" si="57"/>
        <v>137.93655849193914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 t="e">
        <f>AI78*VLOOKUP('Données projet'!$B$10,Paramètres!$A$1:$I$89,3,0)*VLOOKUP('Données projet'!$B$10,Paramètres!$A$1:$I$89,5,0)</f>
        <v>#N/A</v>
      </c>
      <c r="AK78" s="13" t="e">
        <f t="shared" si="89"/>
        <v>#N/A</v>
      </c>
      <c r="AL78" s="20" t="e">
        <f t="shared" si="58"/>
        <v>#N/A</v>
      </c>
      <c r="AM78" s="59" t="e">
        <f t="shared" si="59"/>
        <v>#N/A</v>
      </c>
      <c r="AN78" s="59" t="e">
        <f ca="1">AVERAGE(OFFSET($AM$3,0,0,'Données projet'!$E$10+1,1))-AVERAGE(OFFSET($H$3,0,0,'Données projet'!$E$10+1,1))</f>
        <v>#N/A</v>
      </c>
      <c r="AO78" s="59" t="e">
        <f t="shared" si="90"/>
        <v>#N/A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 t="e">
        <f>EXP(-LN(2)/35)*AU77+(1-EXP(-LN(2)/35))/(LN(2)/35)*AQ78*AR78*VLOOKUP('Données projet'!$B$10,Paramètres!$A$1:$I$89,3,0)*0.475*44/12</f>
        <v>#N/A</v>
      </c>
      <c r="AV78" s="21" t="e">
        <f>EXP(-LN(2)/25)*AV77+(1-EXP(-LN(2)/25))/(LN(2)/25)*Calculateur!AQ78*Calculateur!AS78*VLOOKUP('Données projet'!$B$10,Paramètres!$A$1:$I$89,3,0)*0.475*44/12</f>
        <v>#N/A</v>
      </c>
      <c r="AW78" s="21" t="e">
        <f>EXP(-LN(2)/2)*AW77+(1-EXP(-LN(2)/2))/(LN(2)/2)*AQ78*AT78*VLOOKUP('Données projet'!$B$10,Paramètres!$A$1:$I$89,3,0)*0.475*44/12</f>
        <v>#N/A</v>
      </c>
      <c r="AX78" s="21" t="e">
        <f t="shared" si="60"/>
        <v>#N/A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86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67">
        <f t="shared" si="56"/>
        <v>256.66666666666669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-1.7053025658242404E-13</v>
      </c>
      <c r="O79" s="13">
        <f>N79*VLOOKUP('Données projet'!$B$9,Paramètres!$A$1:$I$89,3,0)*VLOOKUP('Données projet'!$B$9,Paramètres!$A$1:$I$89,5,0)</f>
        <v>-1.0197709343628959E-13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323.17232038705157</v>
      </c>
      <c r="T79" s="59">
        <f t="shared" si="88"/>
        <v>402.34685738619197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109.58852871615186</v>
      </c>
      <c r="AA79" s="21">
        <f>EXP(-LN(2)/25)*AA78+(1-EXP(-LN(2)/25))/(LN(2)/25)*Calculateur!V79*Calculateur!X79*VLOOKUP('Données projet'!$B$9,Paramètres!$A$1:$I$89,3,0)*0.475*44/12</f>
        <v>25.386565385562552</v>
      </c>
      <c r="AB79" s="21">
        <f>EXP(-LN(2)/2)*AB78+(1-EXP(-LN(2)/2))/(LN(2)/2)*V79*Y79*VLOOKUP('Données projet'!$B$9,Paramètres!$A$1:$I$89,3,0)*0.475*44/12</f>
        <v>3.9459346623837432E-2</v>
      </c>
      <c r="AC79" s="22">
        <f t="shared" si="57"/>
        <v>135.01455344833823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 t="e">
        <f>AI79*VLOOKUP('Données projet'!$B$10,Paramètres!$A$1:$I$89,3,0)*VLOOKUP('Données projet'!$B$10,Paramètres!$A$1:$I$89,5,0)</f>
        <v>#N/A</v>
      </c>
      <c r="AK79" s="13" t="e">
        <f t="shared" si="89"/>
        <v>#N/A</v>
      </c>
      <c r="AL79" s="20" t="e">
        <f t="shared" si="58"/>
        <v>#N/A</v>
      </c>
      <c r="AM79" s="59" t="e">
        <f t="shared" si="59"/>
        <v>#N/A</v>
      </c>
      <c r="AN79" s="59" t="e">
        <f ca="1">AVERAGE(OFFSET($AM$3,0,0,'Données projet'!$E$10+1,1))-AVERAGE(OFFSET($H$3,0,0,'Données projet'!$E$10+1,1))</f>
        <v>#N/A</v>
      </c>
      <c r="AO79" s="59" t="e">
        <f t="shared" si="90"/>
        <v>#N/A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 t="e">
        <f>EXP(-LN(2)/35)*AU78+(1-EXP(-LN(2)/35))/(LN(2)/35)*AQ79*AR79*VLOOKUP('Données projet'!$B$10,Paramètres!$A$1:$I$89,3,0)*0.475*44/12</f>
        <v>#N/A</v>
      </c>
      <c r="AV79" s="21" t="e">
        <f>EXP(-LN(2)/25)*AV78+(1-EXP(-LN(2)/25))/(LN(2)/25)*Calculateur!AQ79*Calculateur!AS79*VLOOKUP('Données projet'!$B$10,Paramètres!$A$1:$I$89,3,0)*0.475*44/12</f>
        <v>#N/A</v>
      </c>
      <c r="AW79" s="21" t="e">
        <f>EXP(-LN(2)/2)*AW78+(1-EXP(-LN(2)/2))/(LN(2)/2)*AQ79*AT79*VLOOKUP('Données projet'!$B$10,Paramètres!$A$1:$I$89,3,0)*0.475*44/12</f>
        <v>#N/A</v>
      </c>
      <c r="AX79" s="21" t="e">
        <f t="shared" si="60"/>
        <v>#N/A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86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67">
        <f t="shared" si="56"/>
        <v>256.66666666666669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-1.7053025658242404E-13</v>
      </c>
      <c r="O80" s="13">
        <f>N80*VLOOKUP('Données projet'!$B$9,Paramètres!$A$1:$I$89,3,0)*VLOOKUP('Données projet'!$B$9,Paramètres!$A$1:$I$89,5,0)</f>
        <v>-1.0197709343628959E-13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323.17232038705157</v>
      </c>
      <c r="T80" s="59">
        <f t="shared" si="88"/>
        <v>402.34685738619197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107.4395645104305</v>
      </c>
      <c r="AA80" s="21">
        <f>EXP(-LN(2)/25)*AA79+(1-EXP(-LN(2)/25))/(LN(2)/25)*Calculateur!V80*Calculateur!X80*VLOOKUP('Données projet'!$B$9,Paramètres!$A$1:$I$89,3,0)*0.475*44/12</f>
        <v>24.692368420072892</v>
      </c>
      <c r="AB80" s="21">
        <f>EXP(-LN(2)/2)*AB79+(1-EXP(-LN(2)/2))/(LN(2)/2)*V80*Y80*VLOOKUP('Données projet'!$B$9,Paramètres!$A$1:$I$89,3,0)*0.475*44/12</f>
        <v>2.7901971578905949E-2</v>
      </c>
      <c r="AC80" s="22">
        <f t="shared" si="57"/>
        <v>132.15983490208228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 t="e">
        <f>AI80*VLOOKUP('Données projet'!$B$10,Paramètres!$A$1:$I$89,3,0)*VLOOKUP('Données projet'!$B$10,Paramètres!$A$1:$I$89,5,0)</f>
        <v>#N/A</v>
      </c>
      <c r="AK80" s="13" t="e">
        <f t="shared" si="89"/>
        <v>#N/A</v>
      </c>
      <c r="AL80" s="20" t="e">
        <f t="shared" si="58"/>
        <v>#N/A</v>
      </c>
      <c r="AM80" s="59" t="e">
        <f t="shared" si="59"/>
        <v>#N/A</v>
      </c>
      <c r="AN80" s="59" t="e">
        <f ca="1">AVERAGE(OFFSET($AM$3,0,0,'Données projet'!$E$10+1,1))-AVERAGE(OFFSET($H$3,0,0,'Données projet'!$E$10+1,1))</f>
        <v>#N/A</v>
      </c>
      <c r="AO80" s="59" t="e">
        <f t="shared" si="90"/>
        <v>#N/A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 t="e">
        <f>EXP(-LN(2)/35)*AU79+(1-EXP(-LN(2)/35))/(LN(2)/35)*AQ80*AR80*VLOOKUP('Données projet'!$B$10,Paramètres!$A$1:$I$89,3,0)*0.475*44/12</f>
        <v>#N/A</v>
      </c>
      <c r="AV80" s="21" t="e">
        <f>EXP(-LN(2)/25)*AV79+(1-EXP(-LN(2)/25))/(LN(2)/25)*Calculateur!AQ80*Calculateur!AS80*VLOOKUP('Données projet'!$B$10,Paramètres!$A$1:$I$89,3,0)*0.475*44/12</f>
        <v>#N/A</v>
      </c>
      <c r="AW80" s="21" t="e">
        <f>EXP(-LN(2)/2)*AW79+(1-EXP(-LN(2)/2))/(LN(2)/2)*AQ80*AT80*VLOOKUP('Données projet'!$B$10,Paramètres!$A$1:$I$89,3,0)*0.475*44/12</f>
        <v>#N/A</v>
      </c>
      <c r="AX80" s="21" t="e">
        <f t="shared" si="60"/>
        <v>#N/A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86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67">
        <f t="shared" si="56"/>
        <v>256.66666666666669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-1.7053025658242404E-13</v>
      </c>
      <c r="O81" s="13">
        <f>N81*VLOOKUP('Données projet'!$B$9,Paramètres!$A$1:$I$89,3,0)*VLOOKUP('Données projet'!$B$9,Paramètres!$A$1:$I$89,5,0)</f>
        <v>-1.0197709343628959E-13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323.17232038705157</v>
      </c>
      <c r="T81" s="59">
        <f t="shared" si="88"/>
        <v>402.34685738619197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105.33274018204459</v>
      </c>
      <c r="AA81" s="21">
        <f>EXP(-LN(2)/25)*AA80+(1-EXP(-LN(2)/25))/(LN(2)/25)*Calculateur!V81*Calculateur!X81*VLOOKUP('Données projet'!$B$9,Paramètres!$A$1:$I$89,3,0)*0.475*44/12</f>
        <v>24.017154307110779</v>
      </c>
      <c r="AB81" s="21">
        <f>EXP(-LN(2)/2)*AB80+(1-EXP(-LN(2)/2))/(LN(2)/2)*V81*Y81*VLOOKUP('Données projet'!$B$9,Paramètres!$A$1:$I$89,3,0)*0.475*44/12</f>
        <v>1.9729673311918716E-2</v>
      </c>
      <c r="AC81" s="22">
        <f t="shared" si="57"/>
        <v>129.36962416246729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 t="e">
        <f>AI81*VLOOKUP('Données projet'!$B$10,Paramètres!$A$1:$I$89,3,0)*VLOOKUP('Données projet'!$B$10,Paramètres!$A$1:$I$89,5,0)</f>
        <v>#N/A</v>
      </c>
      <c r="AK81" s="13" t="e">
        <f t="shared" si="89"/>
        <v>#N/A</v>
      </c>
      <c r="AL81" s="20" t="e">
        <f t="shared" si="58"/>
        <v>#N/A</v>
      </c>
      <c r="AM81" s="59" t="e">
        <f t="shared" si="59"/>
        <v>#N/A</v>
      </c>
      <c r="AN81" s="59" t="e">
        <f ca="1">AVERAGE(OFFSET($AM$3,0,0,'Données projet'!$E$10+1,1))-AVERAGE(OFFSET($H$3,0,0,'Données projet'!$E$10+1,1))</f>
        <v>#N/A</v>
      </c>
      <c r="AO81" s="59" t="e">
        <f t="shared" si="90"/>
        <v>#N/A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 t="e">
        <f>EXP(-LN(2)/35)*AU80+(1-EXP(-LN(2)/35))/(LN(2)/35)*AQ81*AR81*VLOOKUP('Données projet'!$B$10,Paramètres!$A$1:$I$89,3,0)*0.475*44/12</f>
        <v>#N/A</v>
      </c>
      <c r="AV81" s="21" t="e">
        <f>EXP(-LN(2)/25)*AV80+(1-EXP(-LN(2)/25))/(LN(2)/25)*Calculateur!AQ81*Calculateur!AS81*VLOOKUP('Données projet'!$B$10,Paramètres!$A$1:$I$89,3,0)*0.475*44/12</f>
        <v>#N/A</v>
      </c>
      <c r="AW81" s="21" t="e">
        <f>EXP(-LN(2)/2)*AW80+(1-EXP(-LN(2)/2))/(LN(2)/2)*AQ81*AT81*VLOOKUP('Données projet'!$B$10,Paramètres!$A$1:$I$89,3,0)*0.475*44/12</f>
        <v>#N/A</v>
      </c>
      <c r="AX81" s="21" t="e">
        <f t="shared" si="60"/>
        <v>#N/A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86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67">
        <f t="shared" si="56"/>
        <v>256.66666666666669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-1.7053025658242404E-13</v>
      </c>
      <c r="O82" s="13">
        <f>N82*VLOOKUP('Données projet'!$B$9,Paramètres!$A$1:$I$89,3,0)*VLOOKUP('Données projet'!$B$9,Paramètres!$A$1:$I$89,5,0)</f>
        <v>-1.0197709343628959E-13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323.17232038705157</v>
      </c>
      <c r="T82" s="59">
        <f t="shared" si="88"/>
        <v>402.34685738619197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103.26722939370238</v>
      </c>
      <c r="AA82" s="21">
        <f>EXP(-LN(2)/25)*AA81+(1-EXP(-LN(2)/25))/(LN(2)/25)*Calculateur!V82*Calculateur!X82*VLOOKUP('Données projet'!$B$9,Paramètres!$A$1:$I$89,3,0)*0.475*44/12</f>
        <v>23.360403959575581</v>
      </c>
      <c r="AB82" s="21">
        <f>EXP(-LN(2)/2)*AB81+(1-EXP(-LN(2)/2))/(LN(2)/2)*V82*Y82*VLOOKUP('Données projet'!$B$9,Paramètres!$A$1:$I$89,3,0)*0.475*44/12</f>
        <v>1.3950985789452974E-2</v>
      </c>
      <c r="AC82" s="22">
        <f t="shared" si="57"/>
        <v>126.64158433906741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 t="e">
        <f>AI82*VLOOKUP('Données projet'!$B$10,Paramètres!$A$1:$I$89,3,0)*VLOOKUP('Données projet'!$B$10,Paramètres!$A$1:$I$89,5,0)</f>
        <v>#N/A</v>
      </c>
      <c r="AK82" s="13" t="e">
        <f t="shared" si="89"/>
        <v>#N/A</v>
      </c>
      <c r="AL82" s="20" t="e">
        <f t="shared" si="58"/>
        <v>#N/A</v>
      </c>
      <c r="AM82" s="59" t="e">
        <f t="shared" si="59"/>
        <v>#N/A</v>
      </c>
      <c r="AN82" s="59" t="e">
        <f ca="1">AVERAGE(OFFSET($AM$3,0,0,'Données projet'!$E$10+1,1))-AVERAGE(OFFSET($H$3,0,0,'Données projet'!$E$10+1,1))</f>
        <v>#N/A</v>
      </c>
      <c r="AO82" s="59" t="e">
        <f t="shared" si="90"/>
        <v>#N/A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 t="e">
        <f>EXP(-LN(2)/35)*AU81+(1-EXP(-LN(2)/35))/(LN(2)/35)*AQ82*AR82*VLOOKUP('Données projet'!$B$10,Paramètres!$A$1:$I$89,3,0)*0.475*44/12</f>
        <v>#N/A</v>
      </c>
      <c r="AV82" s="21" t="e">
        <f>EXP(-LN(2)/25)*AV81+(1-EXP(-LN(2)/25))/(LN(2)/25)*Calculateur!AQ82*Calculateur!AS82*VLOOKUP('Données projet'!$B$10,Paramètres!$A$1:$I$89,3,0)*0.475*44/12</f>
        <v>#N/A</v>
      </c>
      <c r="AW82" s="21" t="e">
        <f>EXP(-LN(2)/2)*AW81+(1-EXP(-LN(2)/2))/(LN(2)/2)*AQ82*AT82*VLOOKUP('Données projet'!$B$10,Paramètres!$A$1:$I$89,3,0)*0.475*44/12</f>
        <v>#N/A</v>
      </c>
      <c r="AX82" s="21" t="e">
        <f t="shared" si="60"/>
        <v>#N/A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86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67">
        <f t="shared" si="56"/>
        <v>256.66666666666669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-1.7053025658242404E-13</v>
      </c>
      <c r="O83" s="13">
        <f>N83*VLOOKUP('Données projet'!$B$9,Paramètres!$A$1:$I$89,3,0)*VLOOKUP('Données projet'!$B$9,Paramètres!$A$1:$I$89,5,0)</f>
        <v>-1.0197709343628959E-13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323.17232038705157</v>
      </c>
      <c r="T83" s="59">
        <f t="shared" si="88"/>
        <v>402.34685738619197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101.24222201208238</v>
      </c>
      <c r="AA83" s="21">
        <f>EXP(-LN(2)/25)*AA82+(1-EXP(-LN(2)/25))/(LN(2)/25)*Calculateur!V83*Calculateur!X83*VLOOKUP('Données projet'!$B$9,Paramètres!$A$1:$I$89,3,0)*0.475*44/12</f>
        <v>22.721612484830732</v>
      </c>
      <c r="AB83" s="21">
        <f>EXP(-LN(2)/2)*AB82+(1-EXP(-LN(2)/2))/(LN(2)/2)*V83*Y83*VLOOKUP('Données projet'!$B$9,Paramètres!$A$1:$I$89,3,0)*0.475*44/12</f>
        <v>9.8648366559593581E-3</v>
      </c>
      <c r="AC83" s="22">
        <f t="shared" si="57"/>
        <v>123.97369933356907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 t="e">
        <f>AI83*VLOOKUP('Données projet'!$B$10,Paramètres!$A$1:$I$89,3,0)*VLOOKUP('Données projet'!$B$10,Paramètres!$A$1:$I$89,5,0)</f>
        <v>#N/A</v>
      </c>
      <c r="AK83" s="13" t="e">
        <f t="shared" si="89"/>
        <v>#N/A</v>
      </c>
      <c r="AL83" s="20" t="e">
        <f t="shared" si="58"/>
        <v>#N/A</v>
      </c>
      <c r="AM83" s="59" t="e">
        <f t="shared" si="59"/>
        <v>#N/A</v>
      </c>
      <c r="AN83" s="59" t="e">
        <f ca="1">AVERAGE(OFFSET($AM$3,0,0,'Données projet'!$E$10+1,1))-AVERAGE(OFFSET($H$3,0,0,'Données projet'!$E$10+1,1))</f>
        <v>#N/A</v>
      </c>
      <c r="AO83" s="59" t="e">
        <f t="shared" si="90"/>
        <v>#N/A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 t="e">
        <f>EXP(-LN(2)/35)*AU82+(1-EXP(-LN(2)/35))/(LN(2)/35)*AQ83*AR83*VLOOKUP('Données projet'!$B$10,Paramètres!$A$1:$I$89,3,0)*0.475*44/12</f>
        <v>#N/A</v>
      </c>
      <c r="AV83" s="21" t="e">
        <f>EXP(-LN(2)/25)*AV82+(1-EXP(-LN(2)/25))/(LN(2)/25)*Calculateur!AQ83*Calculateur!AS83*VLOOKUP('Données projet'!$B$10,Paramètres!$A$1:$I$89,3,0)*0.475*44/12</f>
        <v>#N/A</v>
      </c>
      <c r="AW83" s="21" t="e">
        <f>EXP(-LN(2)/2)*AW82+(1-EXP(-LN(2)/2))/(LN(2)/2)*AQ83*AT83*VLOOKUP('Données projet'!$B$10,Paramètres!$A$1:$I$89,3,0)*0.475*44/12</f>
        <v>#N/A</v>
      </c>
      <c r="AX83" s="21" t="e">
        <f t="shared" si="60"/>
        <v>#N/A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86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67">
        <f t="shared" si="56"/>
        <v>256.66666666666669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-1.7053025658242404E-13</v>
      </c>
      <c r="O84" s="13">
        <f>N84*VLOOKUP('Données projet'!$B$9,Paramètres!$A$1:$I$89,3,0)*VLOOKUP('Données projet'!$B$9,Paramètres!$A$1:$I$89,5,0)</f>
        <v>-1.0197709343628959E-13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323.17232038705157</v>
      </c>
      <c r="T84" s="59">
        <f t="shared" si="88"/>
        <v>402.34685738619197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99.256923790083405</v>
      </c>
      <c r="AA84" s="21">
        <f>EXP(-LN(2)/25)*AA83+(1-EXP(-LN(2)/25))/(LN(2)/25)*Calculateur!V84*Calculateur!X84*VLOOKUP('Données projet'!$B$9,Paramètres!$A$1:$I$89,3,0)*0.475*44/12</f>
        <v>22.100288796555365</v>
      </c>
      <c r="AB84" s="21">
        <f>EXP(-LN(2)/2)*AB83+(1-EXP(-LN(2)/2))/(LN(2)/2)*V84*Y84*VLOOKUP('Données projet'!$B$9,Paramètres!$A$1:$I$89,3,0)*0.475*44/12</f>
        <v>6.9754928947264871E-3</v>
      </c>
      <c r="AC84" s="22">
        <f t="shared" si="57"/>
        <v>121.36418807953349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 t="e">
        <f>AI84*VLOOKUP('Données projet'!$B$10,Paramètres!$A$1:$I$89,3,0)*VLOOKUP('Données projet'!$B$10,Paramètres!$A$1:$I$89,5,0)</f>
        <v>#N/A</v>
      </c>
      <c r="AK84" s="13" t="e">
        <f t="shared" si="89"/>
        <v>#N/A</v>
      </c>
      <c r="AL84" s="20" t="e">
        <f t="shared" si="58"/>
        <v>#N/A</v>
      </c>
      <c r="AM84" s="59" t="e">
        <f t="shared" si="59"/>
        <v>#N/A</v>
      </c>
      <c r="AN84" s="59" t="e">
        <f ca="1">AVERAGE(OFFSET($AM$3,0,0,'Données projet'!$E$10+1,1))-AVERAGE(OFFSET($H$3,0,0,'Données projet'!$E$10+1,1))</f>
        <v>#N/A</v>
      </c>
      <c r="AO84" s="59" t="e">
        <f t="shared" si="90"/>
        <v>#N/A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 t="e">
        <f>EXP(-LN(2)/35)*AU83+(1-EXP(-LN(2)/35))/(LN(2)/35)*AQ84*AR84*VLOOKUP('Données projet'!$B$10,Paramètres!$A$1:$I$89,3,0)*0.475*44/12</f>
        <v>#N/A</v>
      </c>
      <c r="AV84" s="21" t="e">
        <f>EXP(-LN(2)/25)*AV83+(1-EXP(-LN(2)/25))/(LN(2)/25)*Calculateur!AQ84*Calculateur!AS84*VLOOKUP('Données projet'!$B$10,Paramètres!$A$1:$I$89,3,0)*0.475*44/12</f>
        <v>#N/A</v>
      </c>
      <c r="AW84" s="21" t="e">
        <f>EXP(-LN(2)/2)*AW83+(1-EXP(-LN(2)/2))/(LN(2)/2)*AQ84*AT84*VLOOKUP('Données projet'!$B$10,Paramètres!$A$1:$I$89,3,0)*0.475*44/12</f>
        <v>#N/A</v>
      </c>
      <c r="AX84" s="21" t="e">
        <f t="shared" si="60"/>
        <v>#N/A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86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67">
        <f t="shared" si="56"/>
        <v>256.66666666666669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-1.7053025658242404E-13</v>
      </c>
      <c r="O85" s="13">
        <f>N85*VLOOKUP('Données projet'!$B$9,Paramètres!$A$1:$I$89,3,0)*VLOOKUP('Données projet'!$B$9,Paramètres!$A$1:$I$89,5,0)</f>
        <v>-1.0197709343628959E-13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323.17232038705157</v>
      </c>
      <c r="T85" s="59">
        <f t="shared" si="88"/>
        <v>402.34685738619197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97.310556055305483</v>
      </c>
      <c r="AA85" s="21">
        <f>EXP(-LN(2)/25)*AA84+(1-EXP(-LN(2)/25))/(LN(2)/25)*Calculateur!V85*Calculateur!X85*VLOOKUP('Données projet'!$B$9,Paramètres!$A$1:$I$89,3,0)*0.475*44/12</f>
        <v>21.495955237209881</v>
      </c>
      <c r="AB85" s="21">
        <f>EXP(-LN(2)/2)*AB84+(1-EXP(-LN(2)/2))/(LN(2)/2)*V85*Y85*VLOOKUP('Données projet'!$B$9,Paramètres!$A$1:$I$89,3,0)*0.475*44/12</f>
        <v>4.9324183279796791E-3</v>
      </c>
      <c r="AC85" s="22">
        <f t="shared" si="57"/>
        <v>118.81144371084335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 t="e">
        <f>AI85*VLOOKUP('Données projet'!$B$10,Paramètres!$A$1:$I$89,3,0)*VLOOKUP('Données projet'!$B$10,Paramètres!$A$1:$I$89,5,0)</f>
        <v>#N/A</v>
      </c>
      <c r="AK85" s="13" t="e">
        <f t="shared" si="89"/>
        <v>#N/A</v>
      </c>
      <c r="AL85" s="20" t="e">
        <f t="shared" si="58"/>
        <v>#N/A</v>
      </c>
      <c r="AM85" s="59" t="e">
        <f t="shared" si="59"/>
        <v>#N/A</v>
      </c>
      <c r="AN85" s="59" t="e">
        <f ca="1">AVERAGE(OFFSET($AM$3,0,0,'Données projet'!$E$10+1,1))-AVERAGE(OFFSET($H$3,0,0,'Données projet'!$E$10+1,1))</f>
        <v>#N/A</v>
      </c>
      <c r="AO85" s="59" t="e">
        <f t="shared" si="90"/>
        <v>#N/A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 t="e">
        <f>EXP(-LN(2)/35)*AU84+(1-EXP(-LN(2)/35))/(LN(2)/35)*AQ85*AR85*VLOOKUP('Données projet'!$B$10,Paramètres!$A$1:$I$89,3,0)*0.475*44/12</f>
        <v>#N/A</v>
      </c>
      <c r="AV85" s="21" t="e">
        <f>EXP(-LN(2)/25)*AV84+(1-EXP(-LN(2)/25))/(LN(2)/25)*Calculateur!AQ85*Calculateur!AS85*VLOOKUP('Données projet'!$B$10,Paramètres!$A$1:$I$89,3,0)*0.475*44/12</f>
        <v>#N/A</v>
      </c>
      <c r="AW85" s="21" t="e">
        <f>EXP(-LN(2)/2)*AW84+(1-EXP(-LN(2)/2))/(LN(2)/2)*AQ85*AT85*VLOOKUP('Données projet'!$B$10,Paramètres!$A$1:$I$89,3,0)*0.475*44/12</f>
        <v>#N/A</v>
      </c>
      <c r="AX85" s="21" t="e">
        <f t="shared" si="60"/>
        <v>#N/A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86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67">
        <f t="shared" si="56"/>
        <v>256.66666666666669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-1.7053025658242404E-13</v>
      </c>
      <c r="O86" s="13">
        <f>N86*VLOOKUP('Données projet'!$B$9,Paramètres!$A$1:$I$89,3,0)*VLOOKUP('Données projet'!$B$9,Paramètres!$A$1:$I$89,5,0)</f>
        <v>-1.0197709343628959E-13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323.17232038705157</v>
      </c>
      <c r="T86" s="59">
        <f t="shared" si="88"/>
        <v>402.34685738619197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95.402355404639451</v>
      </c>
      <c r="AA86" s="21">
        <f>EXP(-LN(2)/25)*AA85+(1-EXP(-LN(2)/25))/(LN(2)/25)*Calculateur!V86*Calculateur!X86*VLOOKUP('Données projet'!$B$9,Paramètres!$A$1:$I$89,3,0)*0.475*44/12</f>
        <v>20.90814721082522</v>
      </c>
      <c r="AB86" s="21">
        <f>EXP(-LN(2)/2)*AB85+(1-EXP(-LN(2)/2))/(LN(2)/2)*V86*Y86*VLOOKUP('Données projet'!$B$9,Paramètres!$A$1:$I$89,3,0)*0.475*44/12</f>
        <v>3.4877464473632436E-3</v>
      </c>
      <c r="AC86" s="22">
        <f t="shared" si="57"/>
        <v>116.31399036191203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 t="e">
        <f>AI86*VLOOKUP('Données projet'!$B$10,Paramètres!$A$1:$I$89,3,0)*VLOOKUP('Données projet'!$B$10,Paramètres!$A$1:$I$89,5,0)</f>
        <v>#N/A</v>
      </c>
      <c r="AK86" s="13" t="e">
        <f t="shared" si="89"/>
        <v>#N/A</v>
      </c>
      <c r="AL86" s="20" t="e">
        <f t="shared" si="58"/>
        <v>#N/A</v>
      </c>
      <c r="AM86" s="59" t="e">
        <f t="shared" si="59"/>
        <v>#N/A</v>
      </c>
      <c r="AN86" s="59" t="e">
        <f ca="1">AVERAGE(OFFSET($AM$3,0,0,'Données projet'!$E$10+1,1))-AVERAGE(OFFSET($H$3,0,0,'Données projet'!$E$10+1,1))</f>
        <v>#N/A</v>
      </c>
      <c r="AO86" s="59" t="e">
        <f t="shared" si="90"/>
        <v>#N/A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 t="e">
        <f>EXP(-LN(2)/35)*AU85+(1-EXP(-LN(2)/35))/(LN(2)/35)*AQ86*AR86*VLOOKUP('Données projet'!$B$10,Paramètres!$A$1:$I$89,3,0)*0.475*44/12</f>
        <v>#N/A</v>
      </c>
      <c r="AV86" s="21" t="e">
        <f>EXP(-LN(2)/25)*AV85+(1-EXP(-LN(2)/25))/(LN(2)/25)*Calculateur!AQ86*Calculateur!AS86*VLOOKUP('Données projet'!$B$10,Paramètres!$A$1:$I$89,3,0)*0.475*44/12</f>
        <v>#N/A</v>
      </c>
      <c r="AW86" s="21" t="e">
        <f>EXP(-LN(2)/2)*AW85+(1-EXP(-LN(2)/2))/(LN(2)/2)*AQ86*AT86*VLOOKUP('Données projet'!$B$10,Paramètres!$A$1:$I$89,3,0)*0.475*44/12</f>
        <v>#N/A</v>
      </c>
      <c r="AX86" s="21" t="e">
        <f t="shared" si="60"/>
        <v>#N/A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86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67">
        <f t="shared" si="56"/>
        <v>256.66666666666669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-1.7053025658242404E-13</v>
      </c>
      <c r="O87" s="13">
        <f>N87*VLOOKUP('Données projet'!$B$9,Paramètres!$A$1:$I$89,3,0)*VLOOKUP('Données projet'!$B$9,Paramètres!$A$1:$I$89,5,0)</f>
        <v>-1.0197709343628959E-13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323.17232038705157</v>
      </c>
      <c r="T87" s="59">
        <f t="shared" si="88"/>
        <v>402.34685738619197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93.531573404845517</v>
      </c>
      <c r="AA87" s="21">
        <f>EXP(-LN(2)/25)*AA86+(1-EXP(-LN(2)/25))/(LN(2)/25)*Calculateur!V87*Calculateur!X87*VLOOKUP('Données projet'!$B$9,Paramètres!$A$1:$I$89,3,0)*0.475*44/12</f>
        <v>20.336412825833527</v>
      </c>
      <c r="AB87" s="21">
        <f>EXP(-LN(2)/2)*AB86+(1-EXP(-LN(2)/2))/(LN(2)/2)*V87*Y87*VLOOKUP('Données projet'!$B$9,Paramètres!$A$1:$I$89,3,0)*0.475*44/12</f>
        <v>2.4662091639898395E-3</v>
      </c>
      <c r="AC87" s="22">
        <f t="shared" si="57"/>
        <v>113.87045243984302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 t="e">
        <f>AI87*VLOOKUP('Données projet'!$B$10,Paramètres!$A$1:$I$89,3,0)*VLOOKUP('Données projet'!$B$10,Paramètres!$A$1:$I$89,5,0)</f>
        <v>#N/A</v>
      </c>
      <c r="AK87" s="13" t="e">
        <f t="shared" si="89"/>
        <v>#N/A</v>
      </c>
      <c r="AL87" s="20" t="e">
        <f t="shared" si="58"/>
        <v>#N/A</v>
      </c>
      <c r="AM87" s="59" t="e">
        <f t="shared" si="59"/>
        <v>#N/A</v>
      </c>
      <c r="AN87" s="59" t="e">
        <f ca="1">AVERAGE(OFFSET($AM$3,0,0,'Données projet'!$E$10+1,1))-AVERAGE(OFFSET($H$3,0,0,'Données projet'!$E$10+1,1))</f>
        <v>#N/A</v>
      </c>
      <c r="AO87" s="59" t="e">
        <f t="shared" si="90"/>
        <v>#N/A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 t="e">
        <f>EXP(-LN(2)/35)*AU86+(1-EXP(-LN(2)/35))/(LN(2)/35)*AQ87*AR87*VLOOKUP('Données projet'!$B$10,Paramètres!$A$1:$I$89,3,0)*0.475*44/12</f>
        <v>#N/A</v>
      </c>
      <c r="AV87" s="21" t="e">
        <f>EXP(-LN(2)/25)*AV86+(1-EXP(-LN(2)/25))/(LN(2)/25)*Calculateur!AQ87*Calculateur!AS87*VLOOKUP('Données projet'!$B$10,Paramètres!$A$1:$I$89,3,0)*0.475*44/12</f>
        <v>#N/A</v>
      </c>
      <c r="AW87" s="21" t="e">
        <f>EXP(-LN(2)/2)*AW86+(1-EXP(-LN(2)/2))/(LN(2)/2)*AQ87*AT87*VLOOKUP('Données projet'!$B$10,Paramètres!$A$1:$I$89,3,0)*0.475*44/12</f>
        <v>#N/A</v>
      </c>
      <c r="AX87" s="21" t="e">
        <f t="shared" si="60"/>
        <v>#N/A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86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67">
        <f t="shared" si="56"/>
        <v>256.66666666666669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-1.7053025658242404E-13</v>
      </c>
      <c r="O88" s="13">
        <f>N88*VLOOKUP('Données projet'!$B$9,Paramètres!$A$1:$I$89,3,0)*VLOOKUP('Données projet'!$B$9,Paramètres!$A$1:$I$89,5,0)</f>
        <v>-1.0197709343628959E-13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323.17232038705157</v>
      </c>
      <c r="T88" s="59">
        <f t="shared" si="88"/>
        <v>402.34685738619197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91.697476299003185</v>
      </c>
      <c r="AA88" s="21">
        <f>EXP(-LN(2)/25)*AA87+(1-EXP(-LN(2)/25))/(LN(2)/25)*Calculateur!V88*Calculateur!X88*VLOOKUP('Données projet'!$B$9,Paramètres!$A$1:$I$89,3,0)*0.475*44/12</f>
        <v>19.780312547665638</v>
      </c>
      <c r="AB88" s="21">
        <f>EXP(-LN(2)/2)*AB87+(1-EXP(-LN(2)/2))/(LN(2)/2)*V88*Y88*VLOOKUP('Données projet'!$B$9,Paramètres!$A$1:$I$89,3,0)*0.475*44/12</f>
        <v>1.7438732236816218E-3</v>
      </c>
      <c r="AC88" s="22">
        <f t="shared" si="57"/>
        <v>111.47953271989252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 t="e">
        <f>AI88*VLOOKUP('Données projet'!$B$10,Paramètres!$A$1:$I$89,3,0)*VLOOKUP('Données projet'!$B$10,Paramètres!$A$1:$I$89,5,0)</f>
        <v>#N/A</v>
      </c>
      <c r="AK88" s="13" t="e">
        <f t="shared" si="89"/>
        <v>#N/A</v>
      </c>
      <c r="AL88" s="20" t="e">
        <f t="shared" si="58"/>
        <v>#N/A</v>
      </c>
      <c r="AM88" s="59" t="e">
        <f t="shared" si="59"/>
        <v>#N/A</v>
      </c>
      <c r="AN88" s="59" t="e">
        <f ca="1">AVERAGE(OFFSET($AM$3,0,0,'Données projet'!$E$10+1,1))-AVERAGE(OFFSET($H$3,0,0,'Données projet'!$E$10+1,1))</f>
        <v>#N/A</v>
      </c>
      <c r="AO88" s="59" t="e">
        <f t="shared" si="90"/>
        <v>#N/A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 t="e">
        <f>EXP(-LN(2)/35)*AU87+(1-EXP(-LN(2)/35))/(LN(2)/35)*AQ88*AR88*VLOOKUP('Données projet'!$B$10,Paramètres!$A$1:$I$89,3,0)*0.475*44/12</f>
        <v>#N/A</v>
      </c>
      <c r="AV88" s="21" t="e">
        <f>EXP(-LN(2)/25)*AV87+(1-EXP(-LN(2)/25))/(LN(2)/25)*Calculateur!AQ88*Calculateur!AS88*VLOOKUP('Données projet'!$B$10,Paramètres!$A$1:$I$89,3,0)*0.475*44/12</f>
        <v>#N/A</v>
      </c>
      <c r="AW88" s="21" t="e">
        <f>EXP(-LN(2)/2)*AW87+(1-EXP(-LN(2)/2))/(LN(2)/2)*AQ88*AT88*VLOOKUP('Données projet'!$B$10,Paramètres!$A$1:$I$89,3,0)*0.475*44/12</f>
        <v>#N/A</v>
      </c>
      <c r="AX88" s="21" t="e">
        <f t="shared" si="60"/>
        <v>#N/A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86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67">
        <f t="shared" si="56"/>
        <v>256.66666666666669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-1.7053025658242404E-13</v>
      </c>
      <c r="O89" s="13">
        <f>N89*VLOOKUP('Données projet'!$B$9,Paramètres!$A$1:$I$89,3,0)*VLOOKUP('Données projet'!$B$9,Paramètres!$A$1:$I$89,5,0)</f>
        <v>-1.0197709343628959E-13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323.17232038705157</v>
      </c>
      <c r="T89" s="59">
        <f t="shared" si="88"/>
        <v>402.34685738619197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89.899344718717657</v>
      </c>
      <c r="AA89" s="21">
        <f>EXP(-LN(2)/25)*AA88+(1-EXP(-LN(2)/25))/(LN(2)/25)*Calculateur!V89*Calculateur!X89*VLOOKUP('Données projet'!$B$9,Paramètres!$A$1:$I$89,3,0)*0.475*44/12</f>
        <v>19.239418860848293</v>
      </c>
      <c r="AB89" s="21">
        <f>EXP(-LN(2)/2)*AB88+(1-EXP(-LN(2)/2))/(LN(2)/2)*V89*Y89*VLOOKUP('Données projet'!$B$9,Paramètres!$A$1:$I$89,3,0)*0.475*44/12</f>
        <v>1.2331045819949198E-3</v>
      </c>
      <c r="AC89" s="22">
        <f t="shared" si="57"/>
        <v>109.13999668414795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 t="e">
        <f>AI89*VLOOKUP('Données projet'!$B$10,Paramètres!$A$1:$I$89,3,0)*VLOOKUP('Données projet'!$B$10,Paramètres!$A$1:$I$89,5,0)</f>
        <v>#N/A</v>
      </c>
      <c r="AK89" s="13" t="e">
        <f t="shared" si="89"/>
        <v>#N/A</v>
      </c>
      <c r="AL89" s="20" t="e">
        <f t="shared" si="58"/>
        <v>#N/A</v>
      </c>
      <c r="AM89" s="59" t="e">
        <f t="shared" si="59"/>
        <v>#N/A</v>
      </c>
      <c r="AN89" s="59" t="e">
        <f ca="1">AVERAGE(OFFSET($AM$3,0,0,'Données projet'!$E$10+1,1))-AVERAGE(OFFSET($H$3,0,0,'Données projet'!$E$10+1,1))</f>
        <v>#N/A</v>
      </c>
      <c r="AO89" s="59" t="e">
        <f t="shared" si="90"/>
        <v>#N/A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 t="e">
        <f>EXP(-LN(2)/35)*AU88+(1-EXP(-LN(2)/35))/(LN(2)/35)*AQ89*AR89*VLOOKUP('Données projet'!$B$10,Paramètres!$A$1:$I$89,3,0)*0.475*44/12</f>
        <v>#N/A</v>
      </c>
      <c r="AV89" s="21" t="e">
        <f>EXP(-LN(2)/25)*AV88+(1-EXP(-LN(2)/25))/(LN(2)/25)*Calculateur!AQ89*Calculateur!AS89*VLOOKUP('Données projet'!$B$10,Paramètres!$A$1:$I$89,3,0)*0.475*44/12</f>
        <v>#N/A</v>
      </c>
      <c r="AW89" s="21" t="e">
        <f>EXP(-LN(2)/2)*AW88+(1-EXP(-LN(2)/2))/(LN(2)/2)*AQ89*AT89*VLOOKUP('Données projet'!$B$10,Paramètres!$A$1:$I$89,3,0)*0.475*44/12</f>
        <v>#N/A</v>
      </c>
      <c r="AX89" s="21" t="e">
        <f t="shared" si="60"/>
        <v>#N/A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86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67">
        <f t="shared" si="56"/>
        <v>256.66666666666669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-1.7053025658242404E-13</v>
      </c>
      <c r="O90" s="13">
        <f>N90*VLOOKUP('Données projet'!$B$9,Paramètres!$A$1:$I$89,3,0)*VLOOKUP('Données projet'!$B$9,Paramètres!$A$1:$I$89,5,0)</f>
        <v>-1.0197709343628959E-13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323.17232038705157</v>
      </c>
      <c r="T90" s="59">
        <f t="shared" si="88"/>
        <v>402.34685738619197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88.136473401969553</v>
      </c>
      <c r="AA90" s="21">
        <f>EXP(-LN(2)/25)*AA89+(1-EXP(-LN(2)/25))/(LN(2)/25)*Calculateur!V90*Calculateur!X90*VLOOKUP('Données projet'!$B$9,Paramètres!$A$1:$I$89,3,0)*0.475*44/12</f>
        <v>18.713315940341332</v>
      </c>
      <c r="AB90" s="21">
        <f>EXP(-LN(2)/2)*AB89+(1-EXP(-LN(2)/2))/(LN(2)/2)*V90*Y90*VLOOKUP('Données projet'!$B$9,Paramètres!$A$1:$I$89,3,0)*0.475*44/12</f>
        <v>8.7193661184081089E-4</v>
      </c>
      <c r="AC90" s="22">
        <f t="shared" si="57"/>
        <v>106.85066127892273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 t="e">
        <f>AI90*VLOOKUP('Données projet'!$B$10,Paramètres!$A$1:$I$89,3,0)*VLOOKUP('Données projet'!$B$10,Paramètres!$A$1:$I$89,5,0)</f>
        <v>#N/A</v>
      </c>
      <c r="AK90" s="13" t="e">
        <f t="shared" si="89"/>
        <v>#N/A</v>
      </c>
      <c r="AL90" s="20" t="e">
        <f t="shared" si="58"/>
        <v>#N/A</v>
      </c>
      <c r="AM90" s="59" t="e">
        <f t="shared" si="59"/>
        <v>#N/A</v>
      </c>
      <c r="AN90" s="59" t="e">
        <f ca="1">AVERAGE(OFFSET($AM$3,0,0,'Données projet'!$E$10+1,1))-AVERAGE(OFFSET($H$3,0,0,'Données projet'!$E$10+1,1))</f>
        <v>#N/A</v>
      </c>
      <c r="AO90" s="59" t="e">
        <f t="shared" si="90"/>
        <v>#N/A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 t="e">
        <f>EXP(-LN(2)/35)*AU89+(1-EXP(-LN(2)/35))/(LN(2)/35)*AQ90*AR90*VLOOKUP('Données projet'!$B$10,Paramètres!$A$1:$I$89,3,0)*0.475*44/12</f>
        <v>#N/A</v>
      </c>
      <c r="AV90" s="21" t="e">
        <f>EXP(-LN(2)/25)*AV89+(1-EXP(-LN(2)/25))/(LN(2)/25)*Calculateur!AQ90*Calculateur!AS90*VLOOKUP('Données projet'!$B$10,Paramètres!$A$1:$I$89,3,0)*0.475*44/12</f>
        <v>#N/A</v>
      </c>
      <c r="AW90" s="21" t="e">
        <f>EXP(-LN(2)/2)*AW89+(1-EXP(-LN(2)/2))/(LN(2)/2)*AQ90*AT90*VLOOKUP('Données projet'!$B$10,Paramètres!$A$1:$I$89,3,0)*0.475*44/12</f>
        <v>#N/A</v>
      </c>
      <c r="AX90" s="21" t="e">
        <f t="shared" si="60"/>
        <v>#N/A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86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67">
        <f t="shared" si="56"/>
        <v>256.66666666666669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-1.7053025658242404E-13</v>
      </c>
      <c r="O91" s="13">
        <f>N91*VLOOKUP('Données projet'!$B$9,Paramètres!$A$1:$I$89,3,0)*VLOOKUP('Données projet'!$B$9,Paramètres!$A$1:$I$89,5,0)</f>
        <v>-1.0197709343628959E-13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323.17232038705157</v>
      </c>
      <c r="T91" s="59">
        <f t="shared" si="88"/>
        <v>402.34685738619197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86.408170916497554</v>
      </c>
      <c r="AA91" s="21">
        <f>EXP(-LN(2)/25)*AA90+(1-EXP(-LN(2)/25))/(LN(2)/25)*Calculateur!V91*Calculateur!X91*VLOOKUP('Données projet'!$B$9,Paramètres!$A$1:$I$89,3,0)*0.475*44/12</f>
        <v>18.201599331862184</v>
      </c>
      <c r="AB91" s="21">
        <f>EXP(-LN(2)/2)*AB90+(1-EXP(-LN(2)/2))/(LN(2)/2)*V91*Y91*VLOOKUP('Données projet'!$B$9,Paramètres!$A$1:$I$89,3,0)*0.475*44/12</f>
        <v>6.1655229099745988E-4</v>
      </c>
      <c r="AC91" s="22">
        <f t="shared" si="57"/>
        <v>104.61038680065073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 t="e">
        <f>AI91*VLOOKUP('Données projet'!$B$10,Paramètres!$A$1:$I$89,3,0)*VLOOKUP('Données projet'!$B$10,Paramètres!$A$1:$I$89,5,0)</f>
        <v>#N/A</v>
      </c>
      <c r="AK91" s="13" t="e">
        <f t="shared" si="89"/>
        <v>#N/A</v>
      </c>
      <c r="AL91" s="20" t="e">
        <f t="shared" si="58"/>
        <v>#N/A</v>
      </c>
      <c r="AM91" s="59" t="e">
        <f t="shared" si="59"/>
        <v>#N/A</v>
      </c>
      <c r="AN91" s="59" t="e">
        <f ca="1">AVERAGE(OFFSET($AM$3,0,0,'Données projet'!$E$10+1,1))-AVERAGE(OFFSET($H$3,0,0,'Données projet'!$E$10+1,1))</f>
        <v>#N/A</v>
      </c>
      <c r="AO91" s="59" t="e">
        <f t="shared" si="90"/>
        <v>#N/A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 t="e">
        <f>EXP(-LN(2)/35)*AU90+(1-EXP(-LN(2)/35))/(LN(2)/35)*AQ91*AR91*VLOOKUP('Données projet'!$B$10,Paramètres!$A$1:$I$89,3,0)*0.475*44/12</f>
        <v>#N/A</v>
      </c>
      <c r="AV91" s="21" t="e">
        <f>EXP(-LN(2)/25)*AV90+(1-EXP(-LN(2)/25))/(LN(2)/25)*Calculateur!AQ91*Calculateur!AS91*VLOOKUP('Données projet'!$B$10,Paramètres!$A$1:$I$89,3,0)*0.475*44/12</f>
        <v>#N/A</v>
      </c>
      <c r="AW91" s="21" t="e">
        <f>EXP(-LN(2)/2)*AW90+(1-EXP(-LN(2)/2))/(LN(2)/2)*AQ91*AT91*VLOOKUP('Données projet'!$B$10,Paramètres!$A$1:$I$89,3,0)*0.475*44/12</f>
        <v>#N/A</v>
      </c>
      <c r="AX91" s="21" t="e">
        <f t="shared" si="60"/>
        <v>#N/A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86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67">
        <f t="shared" si="56"/>
        <v>256.66666666666669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-1.7053025658242404E-13</v>
      </c>
      <c r="O92" s="13">
        <f>N92*VLOOKUP('Données projet'!$B$9,Paramètres!$A$1:$I$89,3,0)*VLOOKUP('Données projet'!$B$9,Paramètres!$A$1:$I$89,5,0)</f>
        <v>-1.0197709343628959E-13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323.17232038705157</v>
      </c>
      <c r="T92" s="59">
        <f t="shared" si="88"/>
        <v>402.34685738619197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84.713759388605226</v>
      </c>
      <c r="AA92" s="21">
        <f>EXP(-LN(2)/25)*AA91+(1-EXP(-LN(2)/25))/(LN(2)/25)*Calculateur!V92*Calculateur!X92*VLOOKUP('Données projet'!$B$9,Paramètres!$A$1:$I$89,3,0)*0.475*44/12</f>
        <v>17.703875640951903</v>
      </c>
      <c r="AB92" s="21">
        <f>EXP(-LN(2)/2)*AB91+(1-EXP(-LN(2)/2))/(LN(2)/2)*V92*Y92*VLOOKUP('Données projet'!$B$9,Paramètres!$A$1:$I$89,3,0)*0.475*44/12</f>
        <v>4.3596830592040545E-4</v>
      </c>
      <c r="AC92" s="22">
        <f t="shared" si="57"/>
        <v>102.41807099786305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 t="e">
        <f>AI92*VLOOKUP('Données projet'!$B$10,Paramètres!$A$1:$I$89,3,0)*VLOOKUP('Données projet'!$B$10,Paramètres!$A$1:$I$89,5,0)</f>
        <v>#N/A</v>
      </c>
      <c r="AK92" s="13" t="e">
        <f t="shared" si="89"/>
        <v>#N/A</v>
      </c>
      <c r="AL92" s="20" t="e">
        <f t="shared" si="58"/>
        <v>#N/A</v>
      </c>
      <c r="AM92" s="59" t="e">
        <f t="shared" si="59"/>
        <v>#N/A</v>
      </c>
      <c r="AN92" s="59" t="e">
        <f ca="1">AVERAGE(OFFSET($AM$3,0,0,'Données projet'!$E$10+1,1))-AVERAGE(OFFSET($H$3,0,0,'Données projet'!$E$10+1,1))</f>
        <v>#N/A</v>
      </c>
      <c r="AO92" s="59" t="e">
        <f t="shared" si="90"/>
        <v>#N/A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 t="e">
        <f>EXP(-LN(2)/35)*AU91+(1-EXP(-LN(2)/35))/(LN(2)/35)*AQ92*AR92*VLOOKUP('Données projet'!$B$10,Paramètres!$A$1:$I$89,3,0)*0.475*44/12</f>
        <v>#N/A</v>
      </c>
      <c r="AV92" s="21" t="e">
        <f>EXP(-LN(2)/25)*AV91+(1-EXP(-LN(2)/25))/(LN(2)/25)*Calculateur!AQ92*Calculateur!AS92*VLOOKUP('Données projet'!$B$10,Paramètres!$A$1:$I$89,3,0)*0.475*44/12</f>
        <v>#N/A</v>
      </c>
      <c r="AW92" s="21" t="e">
        <f>EXP(-LN(2)/2)*AW91+(1-EXP(-LN(2)/2))/(LN(2)/2)*AQ92*AT92*VLOOKUP('Données projet'!$B$10,Paramètres!$A$1:$I$89,3,0)*0.475*44/12</f>
        <v>#N/A</v>
      </c>
      <c r="AX92" s="21" t="e">
        <f t="shared" si="60"/>
        <v>#N/A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86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67">
        <f t="shared" si="56"/>
        <v>256.66666666666669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-1.7053025658242404E-13</v>
      </c>
      <c r="O93" s="13">
        <f>N93*VLOOKUP('Données projet'!$B$9,Paramètres!$A$1:$I$89,3,0)*VLOOKUP('Données projet'!$B$9,Paramètres!$A$1:$I$89,5,0)</f>
        <v>-1.0197709343628959E-13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323.17232038705157</v>
      </c>
      <c r="T93" s="59">
        <f t="shared" si="88"/>
        <v>402.34685738619197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83.052574237285882</v>
      </c>
      <c r="AA93" s="21">
        <f>EXP(-LN(2)/25)*AA92+(1-EXP(-LN(2)/25))/(LN(2)/25)*Calculateur!V93*Calculateur!X93*VLOOKUP('Données projet'!$B$9,Paramètres!$A$1:$I$89,3,0)*0.475*44/12</f>
        <v>17.219762230543715</v>
      </c>
      <c r="AB93" s="21">
        <f>EXP(-LN(2)/2)*AB92+(1-EXP(-LN(2)/2))/(LN(2)/2)*V93*Y93*VLOOKUP('Données projet'!$B$9,Paramètres!$A$1:$I$89,3,0)*0.475*44/12</f>
        <v>3.0827614549872994E-4</v>
      </c>
      <c r="AC93" s="22">
        <f t="shared" si="57"/>
        <v>100.27264474397511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 t="e">
        <f>AI93*VLOOKUP('Données projet'!$B$10,Paramètres!$A$1:$I$89,3,0)*VLOOKUP('Données projet'!$B$10,Paramètres!$A$1:$I$89,5,0)</f>
        <v>#N/A</v>
      </c>
      <c r="AK93" s="13" t="e">
        <f t="shared" si="89"/>
        <v>#N/A</v>
      </c>
      <c r="AL93" s="20" t="e">
        <f t="shared" si="58"/>
        <v>#N/A</v>
      </c>
      <c r="AM93" s="59" t="e">
        <f t="shared" si="59"/>
        <v>#N/A</v>
      </c>
      <c r="AN93" s="59" t="e">
        <f ca="1">AVERAGE(OFFSET($AM$3,0,0,'Données projet'!$E$10+1,1))-AVERAGE(OFFSET($H$3,0,0,'Données projet'!$E$10+1,1))</f>
        <v>#N/A</v>
      </c>
      <c r="AO93" s="59" t="e">
        <f t="shared" si="90"/>
        <v>#N/A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 t="e">
        <f>EXP(-LN(2)/35)*AU92+(1-EXP(-LN(2)/35))/(LN(2)/35)*AQ93*AR93*VLOOKUP('Données projet'!$B$10,Paramètres!$A$1:$I$89,3,0)*0.475*44/12</f>
        <v>#N/A</v>
      </c>
      <c r="AV93" s="21" t="e">
        <f>EXP(-LN(2)/25)*AV92+(1-EXP(-LN(2)/25))/(LN(2)/25)*Calculateur!AQ93*Calculateur!AS93*VLOOKUP('Données projet'!$B$10,Paramètres!$A$1:$I$89,3,0)*0.475*44/12</f>
        <v>#N/A</v>
      </c>
      <c r="AW93" s="21" t="e">
        <f>EXP(-LN(2)/2)*AW92+(1-EXP(-LN(2)/2))/(LN(2)/2)*AQ93*AT93*VLOOKUP('Données projet'!$B$10,Paramètres!$A$1:$I$89,3,0)*0.475*44/12</f>
        <v>#N/A</v>
      </c>
      <c r="AX93" s="21" t="e">
        <f t="shared" si="60"/>
        <v>#N/A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86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67">
        <f t="shared" si="56"/>
        <v>256.66666666666669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-1.7053025658242404E-13</v>
      </c>
      <c r="O94" s="13">
        <f>N94*VLOOKUP('Données projet'!$B$9,Paramètres!$A$1:$I$89,3,0)*VLOOKUP('Données projet'!$B$9,Paramètres!$A$1:$I$89,5,0)</f>
        <v>-1.0197709343628959E-13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323.17232038705157</v>
      </c>
      <c r="T94" s="59">
        <f t="shared" si="88"/>
        <v>402.34685738619197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81.423963913561025</v>
      </c>
      <c r="AA94" s="21">
        <f>EXP(-LN(2)/25)*AA93+(1-EXP(-LN(2)/25))/(LN(2)/25)*Calculateur!V94*Calculateur!X94*VLOOKUP('Données projet'!$B$9,Paramètres!$A$1:$I$89,3,0)*0.475*44/12</f>
        <v>16.748886926801557</v>
      </c>
      <c r="AB94" s="21">
        <f>EXP(-LN(2)/2)*AB93+(1-EXP(-LN(2)/2))/(LN(2)/2)*V94*Y94*VLOOKUP('Données projet'!$B$9,Paramètres!$A$1:$I$89,3,0)*0.475*44/12</f>
        <v>2.1798415296020272E-4</v>
      </c>
      <c r="AC94" s="22">
        <f t="shared" si="57"/>
        <v>98.173068824515539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 t="e">
        <f>AI94*VLOOKUP('Données projet'!$B$10,Paramètres!$A$1:$I$89,3,0)*VLOOKUP('Données projet'!$B$10,Paramètres!$A$1:$I$89,5,0)</f>
        <v>#N/A</v>
      </c>
      <c r="AK94" s="13" t="e">
        <f t="shared" si="89"/>
        <v>#N/A</v>
      </c>
      <c r="AL94" s="20" t="e">
        <f t="shared" si="58"/>
        <v>#N/A</v>
      </c>
      <c r="AM94" s="59" t="e">
        <f t="shared" si="59"/>
        <v>#N/A</v>
      </c>
      <c r="AN94" s="59" t="e">
        <f ca="1">AVERAGE(OFFSET($AM$3,0,0,'Données projet'!$E$10+1,1))-AVERAGE(OFFSET($H$3,0,0,'Données projet'!$E$10+1,1))</f>
        <v>#N/A</v>
      </c>
      <c r="AO94" s="59" t="e">
        <f t="shared" si="90"/>
        <v>#N/A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 t="e">
        <f>EXP(-LN(2)/35)*AU93+(1-EXP(-LN(2)/35))/(LN(2)/35)*AQ94*AR94*VLOOKUP('Données projet'!$B$10,Paramètres!$A$1:$I$89,3,0)*0.475*44/12</f>
        <v>#N/A</v>
      </c>
      <c r="AV94" s="21" t="e">
        <f>EXP(-LN(2)/25)*AV93+(1-EXP(-LN(2)/25))/(LN(2)/25)*Calculateur!AQ94*Calculateur!AS94*VLOOKUP('Données projet'!$B$10,Paramètres!$A$1:$I$89,3,0)*0.475*44/12</f>
        <v>#N/A</v>
      </c>
      <c r="AW94" s="21" t="e">
        <f>EXP(-LN(2)/2)*AW93+(1-EXP(-LN(2)/2))/(LN(2)/2)*AQ94*AT94*VLOOKUP('Données projet'!$B$10,Paramètres!$A$1:$I$89,3,0)*0.475*44/12</f>
        <v>#N/A</v>
      </c>
      <c r="AX94" s="21" t="e">
        <f t="shared" si="60"/>
        <v>#N/A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86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67">
        <f t="shared" si="56"/>
        <v>256.66666666666669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-1.7053025658242404E-13</v>
      </c>
      <c r="O95" s="13">
        <f>N95*VLOOKUP('Données projet'!$B$9,Paramètres!$A$1:$I$89,3,0)*VLOOKUP('Données projet'!$B$9,Paramètres!$A$1:$I$89,5,0)</f>
        <v>-1.0197709343628959E-13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323.17232038705157</v>
      </c>
      <c r="T95" s="59">
        <f t="shared" si="88"/>
        <v>402.34685738619197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79.82728964493019</v>
      </c>
      <c r="AA95" s="21">
        <f>EXP(-LN(2)/25)*AA94+(1-EXP(-LN(2)/25))/(LN(2)/25)*Calculateur!V95*Calculateur!X95*VLOOKUP('Données projet'!$B$9,Paramètres!$A$1:$I$89,3,0)*0.475*44/12</f>
        <v>16.290887733002485</v>
      </c>
      <c r="AB95" s="21">
        <f>EXP(-LN(2)/2)*AB94+(1-EXP(-LN(2)/2))/(LN(2)/2)*V95*Y95*VLOOKUP('Données projet'!$B$9,Paramètres!$A$1:$I$89,3,0)*0.475*44/12</f>
        <v>1.5413807274936497E-4</v>
      </c>
      <c r="AC95" s="22">
        <f t="shared" si="57"/>
        <v>96.118331516005426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 t="e">
        <f>AI95*VLOOKUP('Données projet'!$B$10,Paramètres!$A$1:$I$89,3,0)*VLOOKUP('Données projet'!$B$10,Paramètres!$A$1:$I$89,5,0)</f>
        <v>#N/A</v>
      </c>
      <c r="AK95" s="13" t="e">
        <f t="shared" si="89"/>
        <v>#N/A</v>
      </c>
      <c r="AL95" s="20" t="e">
        <f t="shared" si="58"/>
        <v>#N/A</v>
      </c>
      <c r="AM95" s="59" t="e">
        <f t="shared" si="59"/>
        <v>#N/A</v>
      </c>
      <c r="AN95" s="59" t="e">
        <f ca="1">AVERAGE(OFFSET($AM$3,0,0,'Données projet'!$E$10+1,1))-AVERAGE(OFFSET($H$3,0,0,'Données projet'!$E$10+1,1))</f>
        <v>#N/A</v>
      </c>
      <c r="AO95" s="59" t="e">
        <f t="shared" si="90"/>
        <v>#N/A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 t="e">
        <f>EXP(-LN(2)/35)*AU94+(1-EXP(-LN(2)/35))/(LN(2)/35)*AQ95*AR95*VLOOKUP('Données projet'!$B$10,Paramètres!$A$1:$I$89,3,0)*0.475*44/12</f>
        <v>#N/A</v>
      </c>
      <c r="AV95" s="21" t="e">
        <f>EXP(-LN(2)/25)*AV94+(1-EXP(-LN(2)/25))/(LN(2)/25)*Calculateur!AQ95*Calculateur!AS95*VLOOKUP('Données projet'!$B$10,Paramètres!$A$1:$I$89,3,0)*0.475*44/12</f>
        <v>#N/A</v>
      </c>
      <c r="AW95" s="21" t="e">
        <f>EXP(-LN(2)/2)*AW94+(1-EXP(-LN(2)/2))/(LN(2)/2)*AQ95*AT95*VLOOKUP('Données projet'!$B$10,Paramètres!$A$1:$I$89,3,0)*0.475*44/12</f>
        <v>#N/A</v>
      </c>
      <c r="AX95" s="21" t="e">
        <f t="shared" si="60"/>
        <v>#N/A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86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67">
        <f t="shared" si="56"/>
        <v>256.66666666666669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-1.7053025658242404E-13</v>
      </c>
      <c r="O96" s="13">
        <f>N96*VLOOKUP('Données projet'!$B$9,Paramètres!$A$1:$I$89,3,0)*VLOOKUP('Données projet'!$B$9,Paramètres!$A$1:$I$89,5,0)</f>
        <v>-1.0197709343628959E-13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323.17232038705157</v>
      </c>
      <c r="T96" s="59">
        <f t="shared" si="88"/>
        <v>402.34685738619197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78.261925184832066</v>
      </c>
      <c r="AA96" s="21">
        <f>EXP(-LN(2)/25)*AA95+(1-EXP(-LN(2)/25))/(LN(2)/25)*Calculateur!V96*Calculateur!X96*VLOOKUP('Données projet'!$B$9,Paramètres!$A$1:$I$89,3,0)*0.475*44/12</f>
        <v>15.84541255124298</v>
      </c>
      <c r="AB96" s="21">
        <f>EXP(-LN(2)/2)*AB95+(1-EXP(-LN(2)/2))/(LN(2)/2)*V96*Y96*VLOOKUP('Données projet'!$B$9,Paramètres!$A$1:$I$89,3,0)*0.475*44/12</f>
        <v>1.0899207648010136E-4</v>
      </c>
      <c r="AC96" s="22">
        <f t="shared" si="57"/>
        <v>94.107446728151515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 t="e">
        <f>AI96*VLOOKUP('Données projet'!$B$10,Paramètres!$A$1:$I$89,3,0)*VLOOKUP('Données projet'!$B$10,Paramètres!$A$1:$I$89,5,0)</f>
        <v>#N/A</v>
      </c>
      <c r="AK96" s="13" t="e">
        <f t="shared" si="89"/>
        <v>#N/A</v>
      </c>
      <c r="AL96" s="20" t="e">
        <f t="shared" si="58"/>
        <v>#N/A</v>
      </c>
      <c r="AM96" s="59" t="e">
        <f t="shared" si="59"/>
        <v>#N/A</v>
      </c>
      <c r="AN96" s="59" t="e">
        <f ca="1">AVERAGE(OFFSET($AM$3,0,0,'Données projet'!$E$10+1,1))-AVERAGE(OFFSET($H$3,0,0,'Données projet'!$E$10+1,1))</f>
        <v>#N/A</v>
      </c>
      <c r="AO96" s="59" t="e">
        <f t="shared" si="90"/>
        <v>#N/A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 t="e">
        <f>EXP(-LN(2)/35)*AU95+(1-EXP(-LN(2)/35))/(LN(2)/35)*AQ96*AR96*VLOOKUP('Données projet'!$B$10,Paramètres!$A$1:$I$89,3,0)*0.475*44/12</f>
        <v>#N/A</v>
      </c>
      <c r="AV96" s="21" t="e">
        <f>EXP(-LN(2)/25)*AV95+(1-EXP(-LN(2)/25))/(LN(2)/25)*Calculateur!AQ96*Calculateur!AS96*VLOOKUP('Données projet'!$B$10,Paramètres!$A$1:$I$89,3,0)*0.475*44/12</f>
        <v>#N/A</v>
      </c>
      <c r="AW96" s="21" t="e">
        <f>EXP(-LN(2)/2)*AW95+(1-EXP(-LN(2)/2))/(LN(2)/2)*AQ96*AT96*VLOOKUP('Données projet'!$B$10,Paramètres!$A$1:$I$89,3,0)*0.475*44/12</f>
        <v>#N/A</v>
      </c>
      <c r="AX96" s="21" t="e">
        <f t="shared" si="60"/>
        <v>#N/A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86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67">
        <f t="shared" si="56"/>
        <v>256.66666666666669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-1.7053025658242404E-13</v>
      </c>
      <c r="O97" s="13">
        <f>N97*VLOOKUP('Données projet'!$B$9,Paramètres!$A$1:$I$89,3,0)*VLOOKUP('Données projet'!$B$9,Paramètres!$A$1:$I$89,5,0)</f>
        <v>-1.0197709343628959E-13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323.17232038705157</v>
      </c>
      <c r="T97" s="59">
        <f t="shared" si="88"/>
        <v>402.34685738619197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76.727256567018429</v>
      </c>
      <c r="AA97" s="21">
        <f>EXP(-LN(2)/25)*AA96+(1-EXP(-LN(2)/25))/(LN(2)/25)*Calculateur!V97*Calculateur!X97*VLOOKUP('Données projet'!$B$9,Paramètres!$A$1:$I$89,3,0)*0.475*44/12</f>
        <v>15.41211891175521</v>
      </c>
      <c r="AB97" s="21">
        <f>EXP(-LN(2)/2)*AB96+(1-EXP(-LN(2)/2))/(LN(2)/2)*V97*Y97*VLOOKUP('Données projet'!$B$9,Paramètres!$A$1:$I$89,3,0)*0.475*44/12</f>
        <v>7.7069036374682485E-5</v>
      </c>
      <c r="AC97" s="22">
        <f t="shared" si="57"/>
        <v>92.139452547810023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 t="e">
        <f>AI97*VLOOKUP('Données projet'!$B$10,Paramètres!$A$1:$I$89,3,0)*VLOOKUP('Données projet'!$B$10,Paramètres!$A$1:$I$89,5,0)</f>
        <v>#N/A</v>
      </c>
      <c r="AK97" s="13" t="e">
        <f t="shared" si="89"/>
        <v>#N/A</v>
      </c>
      <c r="AL97" s="20" t="e">
        <f t="shared" si="58"/>
        <v>#N/A</v>
      </c>
      <c r="AM97" s="59" t="e">
        <f t="shared" si="59"/>
        <v>#N/A</v>
      </c>
      <c r="AN97" s="59" t="e">
        <f ca="1">AVERAGE(OFFSET($AM$3,0,0,'Données projet'!$E$10+1,1))-AVERAGE(OFFSET($H$3,0,0,'Données projet'!$E$10+1,1))</f>
        <v>#N/A</v>
      </c>
      <c r="AO97" s="59" t="e">
        <f t="shared" si="90"/>
        <v>#N/A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 t="e">
        <f>EXP(-LN(2)/35)*AU96+(1-EXP(-LN(2)/35))/(LN(2)/35)*AQ97*AR97*VLOOKUP('Données projet'!$B$10,Paramètres!$A$1:$I$89,3,0)*0.475*44/12</f>
        <v>#N/A</v>
      </c>
      <c r="AV97" s="21" t="e">
        <f>EXP(-LN(2)/25)*AV96+(1-EXP(-LN(2)/25))/(LN(2)/25)*Calculateur!AQ97*Calculateur!AS97*VLOOKUP('Données projet'!$B$10,Paramètres!$A$1:$I$89,3,0)*0.475*44/12</f>
        <v>#N/A</v>
      </c>
      <c r="AW97" s="21" t="e">
        <f>EXP(-LN(2)/2)*AW96+(1-EXP(-LN(2)/2))/(LN(2)/2)*AQ97*AT97*VLOOKUP('Données projet'!$B$10,Paramètres!$A$1:$I$89,3,0)*0.475*44/12</f>
        <v>#N/A</v>
      </c>
      <c r="AX97" s="21" t="e">
        <f t="shared" si="60"/>
        <v>#N/A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86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67">
        <f t="shared" si="56"/>
        <v>256.66666666666669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-1.7053025658242404E-13</v>
      </c>
      <c r="O98" s="13">
        <f>N98*VLOOKUP('Données projet'!$B$9,Paramètres!$A$1:$I$89,3,0)*VLOOKUP('Données projet'!$B$9,Paramètres!$A$1:$I$89,5,0)</f>
        <v>-1.0197709343628959E-13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323.17232038705157</v>
      </c>
      <c r="T98" s="59">
        <f t="shared" si="88"/>
        <v>402.34685738619197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75.222681864744686</v>
      </c>
      <c r="AA98" s="21">
        <f>EXP(-LN(2)/25)*AA97+(1-EXP(-LN(2)/25))/(LN(2)/25)*Calculateur!V98*Calculateur!X98*VLOOKUP('Données projet'!$B$9,Paramètres!$A$1:$I$89,3,0)*0.475*44/12</f>
        <v>14.990673709625154</v>
      </c>
      <c r="AB98" s="21">
        <f>EXP(-LN(2)/2)*AB97+(1-EXP(-LN(2)/2))/(LN(2)/2)*V98*Y98*VLOOKUP('Données projet'!$B$9,Paramètres!$A$1:$I$89,3,0)*0.475*44/12</f>
        <v>5.4496038240050681E-5</v>
      </c>
      <c r="AC98" s="22">
        <f t="shared" si="57"/>
        <v>90.213410070408088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 t="e">
        <f>AI98*VLOOKUP('Données projet'!$B$10,Paramètres!$A$1:$I$89,3,0)*VLOOKUP('Données projet'!$B$10,Paramètres!$A$1:$I$89,5,0)</f>
        <v>#N/A</v>
      </c>
      <c r="AK98" s="13" t="e">
        <f t="shared" si="89"/>
        <v>#N/A</v>
      </c>
      <c r="AL98" s="20" t="e">
        <f t="shared" si="58"/>
        <v>#N/A</v>
      </c>
      <c r="AM98" s="59" t="e">
        <f t="shared" si="59"/>
        <v>#N/A</v>
      </c>
      <c r="AN98" s="59" t="e">
        <f ca="1">AVERAGE(OFFSET($AM$3,0,0,'Données projet'!$E$10+1,1))-AVERAGE(OFFSET($H$3,0,0,'Données projet'!$E$10+1,1))</f>
        <v>#N/A</v>
      </c>
      <c r="AO98" s="59" t="e">
        <f t="shared" si="90"/>
        <v>#N/A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 t="e">
        <f>EXP(-LN(2)/35)*AU97+(1-EXP(-LN(2)/35))/(LN(2)/35)*AQ98*AR98*VLOOKUP('Données projet'!$B$10,Paramètres!$A$1:$I$89,3,0)*0.475*44/12</f>
        <v>#N/A</v>
      </c>
      <c r="AV98" s="21" t="e">
        <f>EXP(-LN(2)/25)*AV97+(1-EXP(-LN(2)/25))/(LN(2)/25)*Calculateur!AQ98*Calculateur!AS98*VLOOKUP('Données projet'!$B$10,Paramètres!$A$1:$I$89,3,0)*0.475*44/12</f>
        <v>#N/A</v>
      </c>
      <c r="AW98" s="21" t="e">
        <f>EXP(-LN(2)/2)*AW97+(1-EXP(-LN(2)/2))/(LN(2)/2)*AQ98*AT98*VLOOKUP('Données projet'!$B$10,Paramètres!$A$1:$I$89,3,0)*0.475*44/12</f>
        <v>#N/A</v>
      </c>
      <c r="AX98" s="21" t="e">
        <f t="shared" si="60"/>
        <v>#N/A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86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67">
        <f t="shared" si="56"/>
        <v>256.66666666666669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-1.7053025658242404E-13</v>
      </c>
      <c r="O99" s="13">
        <f>N99*VLOOKUP('Données projet'!$B$9,Paramètres!$A$1:$I$89,3,0)*VLOOKUP('Données projet'!$B$9,Paramètres!$A$1:$I$89,5,0)</f>
        <v>-1.0197709343628959E-13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323.17232038705157</v>
      </c>
      <c r="T99" s="59">
        <f t="shared" si="88"/>
        <v>402.34685738619197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73.747610954682571</v>
      </c>
      <c r="AA99" s="21">
        <f>EXP(-LN(2)/25)*AA98+(1-EXP(-LN(2)/25))/(LN(2)/25)*Calculateur!V99*Calculateur!X99*VLOOKUP('Données projet'!$B$9,Paramètres!$A$1:$I$89,3,0)*0.475*44/12</f>
        <v>14.580752948710186</v>
      </c>
      <c r="AB99" s="21">
        <f>EXP(-LN(2)/2)*AB98+(1-EXP(-LN(2)/2))/(LN(2)/2)*V99*Y99*VLOOKUP('Données projet'!$B$9,Paramètres!$A$1:$I$89,3,0)*0.475*44/12</f>
        <v>3.8534518187341243E-5</v>
      </c>
      <c r="AC99" s="22">
        <f t="shared" si="57"/>
        <v>88.328402437910938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 t="e">
        <f>AI99*VLOOKUP('Données projet'!$B$10,Paramètres!$A$1:$I$89,3,0)*VLOOKUP('Données projet'!$B$10,Paramètres!$A$1:$I$89,5,0)</f>
        <v>#N/A</v>
      </c>
      <c r="AK99" s="13" t="e">
        <f t="shared" si="89"/>
        <v>#N/A</v>
      </c>
      <c r="AL99" s="20" t="e">
        <f t="shared" si="58"/>
        <v>#N/A</v>
      </c>
      <c r="AM99" s="59" t="e">
        <f t="shared" si="59"/>
        <v>#N/A</v>
      </c>
      <c r="AN99" s="59" t="e">
        <f ca="1">AVERAGE(OFFSET($AM$3,0,0,'Données projet'!$E$10+1,1))-AVERAGE(OFFSET($H$3,0,0,'Données projet'!$E$10+1,1))</f>
        <v>#N/A</v>
      </c>
      <c r="AO99" s="59" t="e">
        <f t="shared" si="90"/>
        <v>#N/A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 t="e">
        <f>EXP(-LN(2)/35)*AU98+(1-EXP(-LN(2)/35))/(LN(2)/35)*AQ99*AR99*VLOOKUP('Données projet'!$B$10,Paramètres!$A$1:$I$89,3,0)*0.475*44/12</f>
        <v>#N/A</v>
      </c>
      <c r="AV99" s="21" t="e">
        <f>EXP(-LN(2)/25)*AV98+(1-EXP(-LN(2)/25))/(LN(2)/25)*Calculateur!AQ99*Calculateur!AS99*VLOOKUP('Données projet'!$B$10,Paramètres!$A$1:$I$89,3,0)*0.475*44/12</f>
        <v>#N/A</v>
      </c>
      <c r="AW99" s="21" t="e">
        <f>EXP(-LN(2)/2)*AW98+(1-EXP(-LN(2)/2))/(LN(2)/2)*AQ99*AT99*VLOOKUP('Données projet'!$B$10,Paramètres!$A$1:$I$89,3,0)*0.475*44/12</f>
        <v>#N/A</v>
      </c>
      <c r="AX99" s="21" t="e">
        <f t="shared" si="60"/>
        <v>#N/A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86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67">
        <f t="shared" si="56"/>
        <v>256.66666666666669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-1.7053025658242404E-13</v>
      </c>
      <c r="O100" s="13">
        <f>N100*VLOOKUP('Données projet'!$B$9,Paramètres!$A$1:$I$89,3,0)*VLOOKUP('Données projet'!$B$9,Paramètres!$A$1:$I$89,5,0)</f>
        <v>-1.0197709343628959E-13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323.17232038705157</v>
      </c>
      <c r="T100" s="59">
        <f t="shared" si="88"/>
        <v>402.34685738619197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72.301465285462371</v>
      </c>
      <c r="AA100" s="21">
        <f>EXP(-LN(2)/25)*AA99+(1-EXP(-LN(2)/25))/(LN(2)/25)*Calculateur!V100*Calculateur!X100*VLOOKUP('Données projet'!$B$9,Paramètres!$A$1:$I$89,3,0)*0.475*44/12</f>
        <v>14.182041492559234</v>
      </c>
      <c r="AB100" s="21">
        <f>EXP(-LN(2)/2)*AB99+(1-EXP(-LN(2)/2))/(LN(2)/2)*V100*Y100*VLOOKUP('Données projet'!$B$9,Paramètres!$A$1:$I$89,3,0)*0.475*44/12</f>
        <v>2.724801912002534E-5</v>
      </c>
      <c r="AC100" s="22">
        <f t="shared" si="57"/>
        <v>86.483534026040729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 t="e">
        <f>AI100*VLOOKUP('Données projet'!$B$10,Paramètres!$A$1:$I$89,3,0)*VLOOKUP('Données projet'!$B$10,Paramètres!$A$1:$I$89,5,0)</f>
        <v>#N/A</v>
      </c>
      <c r="AK100" s="13" t="e">
        <f t="shared" si="89"/>
        <v>#N/A</v>
      </c>
      <c r="AL100" s="20" t="e">
        <f t="shared" si="58"/>
        <v>#N/A</v>
      </c>
      <c r="AM100" s="59" t="e">
        <f t="shared" si="59"/>
        <v>#N/A</v>
      </c>
      <c r="AN100" s="59" t="e">
        <f ca="1">AVERAGE(OFFSET($AM$3,0,0,'Données projet'!$E$10+1,1))-AVERAGE(OFFSET($H$3,0,0,'Données projet'!$E$10+1,1))</f>
        <v>#N/A</v>
      </c>
      <c r="AO100" s="59" t="e">
        <f t="shared" si="90"/>
        <v>#N/A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 t="e">
        <f>EXP(-LN(2)/35)*AU99+(1-EXP(-LN(2)/35))/(LN(2)/35)*AQ100*AR100*VLOOKUP('Données projet'!$B$10,Paramètres!$A$1:$I$89,3,0)*0.475*44/12</f>
        <v>#N/A</v>
      </c>
      <c r="AV100" s="21" t="e">
        <f>EXP(-LN(2)/25)*AV99+(1-EXP(-LN(2)/25))/(LN(2)/25)*Calculateur!AQ100*Calculateur!AS100*VLOOKUP('Données projet'!$B$10,Paramètres!$A$1:$I$89,3,0)*0.475*44/12</f>
        <v>#N/A</v>
      </c>
      <c r="AW100" s="21" t="e">
        <f>EXP(-LN(2)/2)*AW99+(1-EXP(-LN(2)/2))/(LN(2)/2)*AQ100*AT100*VLOOKUP('Données projet'!$B$10,Paramètres!$A$1:$I$89,3,0)*0.475*44/12</f>
        <v>#N/A</v>
      </c>
      <c r="AX100" s="21" t="e">
        <f t="shared" si="60"/>
        <v>#N/A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86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67">
        <f t="shared" si="56"/>
        <v>256.66666666666669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-1.7053025658242404E-13</v>
      </c>
      <c r="O101" s="13">
        <f>N101*VLOOKUP('Données projet'!$B$9,Paramètres!$A$1:$I$89,3,0)*VLOOKUP('Données projet'!$B$9,Paramètres!$A$1:$I$89,5,0)</f>
        <v>-1.0197709343628959E-13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323.17232038705157</v>
      </c>
      <c r="T101" s="59">
        <f t="shared" si="88"/>
        <v>402.34685738619197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70.88367765075381</v>
      </c>
      <c r="AA101" s="21">
        <f>EXP(-LN(2)/25)*AA100+(1-EXP(-LN(2)/25))/(LN(2)/25)*Calculateur!V101*Calculateur!X101*VLOOKUP('Données projet'!$B$9,Paramètres!$A$1:$I$89,3,0)*0.475*44/12</f>
        <v>13.794232822144053</v>
      </c>
      <c r="AB101" s="21">
        <f>EXP(-LN(2)/2)*AB100+(1-EXP(-LN(2)/2))/(LN(2)/2)*V101*Y101*VLOOKUP('Données projet'!$B$9,Paramètres!$A$1:$I$89,3,0)*0.475*44/12</f>
        <v>1.9267259093670621E-5</v>
      </c>
      <c r="AC101" s="22">
        <f t="shared" si="57"/>
        <v>84.677929740156955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 t="e">
        <f>AI101*VLOOKUP('Données projet'!$B$10,Paramètres!$A$1:$I$89,3,0)*VLOOKUP('Données projet'!$B$10,Paramètres!$A$1:$I$89,5,0)</f>
        <v>#N/A</v>
      </c>
      <c r="AK101" s="13" t="e">
        <f t="shared" si="89"/>
        <v>#N/A</v>
      </c>
      <c r="AL101" s="20" t="e">
        <f t="shared" si="58"/>
        <v>#N/A</v>
      </c>
      <c r="AM101" s="59" t="e">
        <f t="shared" si="59"/>
        <v>#N/A</v>
      </c>
      <c r="AN101" s="59" t="e">
        <f ca="1">AVERAGE(OFFSET($AM$3,0,0,'Données projet'!$E$10+1,1))-AVERAGE(OFFSET($H$3,0,0,'Données projet'!$E$10+1,1))</f>
        <v>#N/A</v>
      </c>
      <c r="AO101" s="59" t="e">
        <f t="shared" si="90"/>
        <v>#N/A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 t="e">
        <f>EXP(-LN(2)/35)*AU100+(1-EXP(-LN(2)/35))/(LN(2)/35)*AQ101*AR101*VLOOKUP('Données projet'!$B$10,Paramètres!$A$1:$I$89,3,0)*0.475*44/12</f>
        <v>#N/A</v>
      </c>
      <c r="AV101" s="21" t="e">
        <f>EXP(-LN(2)/25)*AV100+(1-EXP(-LN(2)/25))/(LN(2)/25)*Calculateur!AQ101*Calculateur!AS101*VLOOKUP('Données projet'!$B$10,Paramètres!$A$1:$I$89,3,0)*0.475*44/12</f>
        <v>#N/A</v>
      </c>
      <c r="AW101" s="21" t="e">
        <f>EXP(-LN(2)/2)*AW100+(1-EXP(-LN(2)/2))/(LN(2)/2)*AQ101*AT101*VLOOKUP('Données projet'!$B$10,Paramètres!$A$1:$I$89,3,0)*0.475*44/12</f>
        <v>#N/A</v>
      </c>
      <c r="AX101" s="21" t="e">
        <f t="shared" si="60"/>
        <v>#N/A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86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67">
        <f t="shared" si="56"/>
        <v>256.66666666666669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-1.7053025658242404E-13</v>
      </c>
      <c r="O102" s="13">
        <f>N102*VLOOKUP('Données projet'!$B$9,Paramètres!$A$1:$I$89,3,0)*VLOOKUP('Données projet'!$B$9,Paramètres!$A$1:$I$89,5,0)</f>
        <v>-1.0197709343628959E-13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323.17232038705157</v>
      </c>
      <c r="T102" s="59">
        <f t="shared" si="88"/>
        <v>402.34685738619197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69.493691966796817</v>
      </c>
      <c r="AA102" s="21">
        <f>EXP(-LN(2)/25)*AA101+(1-EXP(-LN(2)/25))/(LN(2)/25)*Calculateur!V102*Calculateur!X102*VLOOKUP('Données projet'!$B$9,Paramètres!$A$1:$I$89,3,0)*0.475*44/12</f>
        <v>13.417028800215347</v>
      </c>
      <c r="AB102" s="21">
        <f>EXP(-LN(2)/2)*AB101+(1-EXP(-LN(2)/2))/(LN(2)/2)*V102*Y102*VLOOKUP('Données projet'!$B$9,Paramètres!$A$1:$I$89,3,0)*0.475*44/12</f>
        <v>1.362400956001267E-5</v>
      </c>
      <c r="AC102" s="22">
        <f t="shared" si="57"/>
        <v>82.91073439102172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 t="e">
        <f>AI102*VLOOKUP('Données projet'!$B$10,Paramètres!$A$1:$I$89,3,0)*VLOOKUP('Données projet'!$B$10,Paramètres!$A$1:$I$89,5,0)</f>
        <v>#N/A</v>
      </c>
      <c r="AK102" s="13" t="e">
        <f t="shared" si="89"/>
        <v>#N/A</v>
      </c>
      <c r="AL102" s="20" t="e">
        <f t="shared" si="58"/>
        <v>#N/A</v>
      </c>
      <c r="AM102" s="59" t="e">
        <f t="shared" si="59"/>
        <v>#N/A</v>
      </c>
      <c r="AN102" s="59" t="e">
        <f ca="1">AVERAGE(OFFSET($AM$3,0,0,'Données projet'!$E$10+1,1))-AVERAGE(OFFSET($H$3,0,0,'Données projet'!$E$10+1,1))</f>
        <v>#N/A</v>
      </c>
      <c r="AO102" s="59" t="e">
        <f t="shared" si="90"/>
        <v>#N/A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 t="e">
        <f>EXP(-LN(2)/35)*AU101+(1-EXP(-LN(2)/35))/(LN(2)/35)*AQ102*AR102*VLOOKUP('Données projet'!$B$10,Paramètres!$A$1:$I$89,3,0)*0.475*44/12</f>
        <v>#N/A</v>
      </c>
      <c r="AV102" s="21" t="e">
        <f>EXP(-LN(2)/25)*AV101+(1-EXP(-LN(2)/25))/(LN(2)/25)*Calculateur!AQ102*Calculateur!AS102*VLOOKUP('Données projet'!$B$10,Paramètres!$A$1:$I$89,3,0)*0.475*44/12</f>
        <v>#N/A</v>
      </c>
      <c r="AW102" s="21" t="e">
        <f>EXP(-LN(2)/2)*AW101+(1-EXP(-LN(2)/2))/(LN(2)/2)*AQ102*AT102*VLOOKUP('Données projet'!$B$10,Paramètres!$A$1:$I$89,3,0)*0.475*44/12</f>
        <v>#N/A</v>
      </c>
      <c r="AX102" s="21" t="e">
        <f t="shared" si="60"/>
        <v>#N/A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86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67">
        <f t="shared" si="56"/>
        <v>256.66666666666669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-1.7053025658242404E-13</v>
      </c>
      <c r="O103" s="13">
        <f>N103*VLOOKUP('Données projet'!$B$9,Paramètres!$A$1:$I$89,3,0)*VLOOKUP('Données projet'!$B$9,Paramètres!$A$1:$I$89,5,0)</f>
        <v>-1.0197709343628959E-13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323.17232038705157</v>
      </c>
      <c r="T103" s="59">
        <f t="shared" si="88"/>
        <v>402.34685738619197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68.130963054294668</v>
      </c>
      <c r="AA103" s="21">
        <f>EXP(-LN(2)/25)*AA102+(1-EXP(-LN(2)/25))/(LN(2)/25)*Calculateur!V103*Calculateur!X103*VLOOKUP('Données projet'!$B$9,Paramètres!$A$1:$I$89,3,0)*0.475*44/12</f>
        <v>13.050139442102578</v>
      </c>
      <c r="AB103" s="21">
        <f>EXP(-LN(2)/2)*AB102+(1-EXP(-LN(2)/2))/(LN(2)/2)*V103*Y103*VLOOKUP('Données projet'!$B$9,Paramètres!$A$1:$I$89,3,0)*0.475*44/12</f>
        <v>9.6336295468353106E-6</v>
      </c>
      <c r="AC103" s="22">
        <f t="shared" si="57"/>
        <v>81.18111213002679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 t="e">
        <f>AI103*VLOOKUP('Données projet'!$B$10,Paramètres!$A$1:$I$89,3,0)*VLOOKUP('Données projet'!$B$10,Paramètres!$A$1:$I$89,5,0)</f>
        <v>#N/A</v>
      </c>
      <c r="AK103" s="13" t="e">
        <f t="shared" si="89"/>
        <v>#N/A</v>
      </c>
      <c r="AL103" s="20" t="e">
        <f t="shared" si="58"/>
        <v>#N/A</v>
      </c>
      <c r="AM103" s="59" t="e">
        <f t="shared" si="59"/>
        <v>#N/A</v>
      </c>
      <c r="AN103" s="59" t="e">
        <f ca="1">AVERAGE(OFFSET($AM$3,0,0,'Données projet'!$E$10+1,1))-AVERAGE(OFFSET($H$3,0,0,'Données projet'!$E$10+1,1))</f>
        <v>#N/A</v>
      </c>
      <c r="AO103" s="59" t="e">
        <f t="shared" si="90"/>
        <v>#N/A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 t="e">
        <f>EXP(-LN(2)/35)*AU102+(1-EXP(-LN(2)/35))/(LN(2)/35)*AQ103*AR103*VLOOKUP('Données projet'!$B$10,Paramètres!$A$1:$I$89,3,0)*0.475*44/12</f>
        <v>#N/A</v>
      </c>
      <c r="AV103" s="21" t="e">
        <f>EXP(-LN(2)/25)*AV102+(1-EXP(-LN(2)/25))/(LN(2)/25)*Calculateur!AQ103*Calculateur!AS103*VLOOKUP('Données projet'!$B$10,Paramètres!$A$1:$I$89,3,0)*0.475*44/12</f>
        <v>#N/A</v>
      </c>
      <c r="AW103" s="21" t="e">
        <f>EXP(-LN(2)/2)*AW102+(1-EXP(-LN(2)/2))/(LN(2)/2)*AQ103*AT103*VLOOKUP('Données projet'!$B$10,Paramètres!$A$1:$I$89,3,0)*0.475*44/12</f>
        <v>#N/A</v>
      </c>
      <c r="AX103" s="21" t="e">
        <f t="shared" si="60"/>
        <v>#N/A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86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67">
        <f t="shared" si="56"/>
        <v>256.66666666666669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-1.7053025658242404E-13</v>
      </c>
      <c r="O104" s="13">
        <f>N104*VLOOKUP('Données projet'!$B$9,Paramètres!$A$1:$I$89,3,0)*VLOOKUP('Données projet'!$B$9,Paramètres!$A$1:$I$89,5,0)</f>
        <v>-1.0197709343628959E-13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323.17232038705157</v>
      </c>
      <c r="T104" s="59">
        <f t="shared" si="88"/>
        <v>402.34685738619197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66.794956424584115</v>
      </c>
      <c r="AA104" s="21">
        <f>EXP(-LN(2)/25)*AA103+(1-EXP(-LN(2)/25))/(LN(2)/25)*Calculateur!V104*Calculateur!X104*VLOOKUP('Données projet'!$B$9,Paramètres!$A$1:$I$89,3,0)*0.475*44/12</f>
        <v>12.693282692781276</v>
      </c>
      <c r="AB104" s="21">
        <f>EXP(-LN(2)/2)*AB103+(1-EXP(-LN(2)/2))/(LN(2)/2)*V104*Y104*VLOOKUP('Données projet'!$B$9,Paramètres!$A$1:$I$89,3,0)*0.475*44/12</f>
        <v>6.8120047800063351E-6</v>
      </c>
      <c r="AC104" s="22">
        <f t="shared" si="57"/>
        <v>79.48824592937018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 t="e">
        <f>AI104*VLOOKUP('Données projet'!$B$10,Paramètres!$A$1:$I$89,3,0)*VLOOKUP('Données projet'!$B$10,Paramètres!$A$1:$I$89,5,0)</f>
        <v>#N/A</v>
      </c>
      <c r="AK104" s="13" t="e">
        <f t="shared" si="89"/>
        <v>#N/A</v>
      </c>
      <c r="AL104" s="20" t="e">
        <f t="shared" si="58"/>
        <v>#N/A</v>
      </c>
      <c r="AM104" s="59" t="e">
        <f t="shared" si="59"/>
        <v>#N/A</v>
      </c>
      <c r="AN104" s="59" t="e">
        <f ca="1">AVERAGE(OFFSET($AM$3,0,0,'Données projet'!$E$10+1,1))-AVERAGE(OFFSET($H$3,0,0,'Données projet'!$E$10+1,1))</f>
        <v>#N/A</v>
      </c>
      <c r="AO104" s="59" t="e">
        <f t="shared" si="90"/>
        <v>#N/A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 t="e">
        <f>EXP(-LN(2)/35)*AU103+(1-EXP(-LN(2)/35))/(LN(2)/35)*AQ104*AR104*VLOOKUP('Données projet'!$B$10,Paramètres!$A$1:$I$89,3,0)*0.475*44/12</f>
        <v>#N/A</v>
      </c>
      <c r="AV104" s="21" t="e">
        <f>EXP(-LN(2)/25)*AV103+(1-EXP(-LN(2)/25))/(LN(2)/25)*Calculateur!AQ104*Calculateur!AS104*VLOOKUP('Données projet'!$B$10,Paramètres!$A$1:$I$89,3,0)*0.475*44/12</f>
        <v>#N/A</v>
      </c>
      <c r="AW104" s="21" t="e">
        <f>EXP(-LN(2)/2)*AW103+(1-EXP(-LN(2)/2))/(LN(2)/2)*AQ104*AT104*VLOOKUP('Données projet'!$B$10,Paramètres!$A$1:$I$89,3,0)*0.475*44/12</f>
        <v>#N/A</v>
      </c>
      <c r="AX104" s="21" t="e">
        <f t="shared" si="60"/>
        <v>#N/A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86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67">
        <f t="shared" si="56"/>
        <v>256.66666666666669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-1.7053025658242404E-13</v>
      </c>
      <c r="O105" s="13">
        <f>N105*VLOOKUP('Données projet'!$B$9,Paramètres!$A$1:$I$89,3,0)*VLOOKUP('Données projet'!$B$9,Paramètres!$A$1:$I$89,5,0)</f>
        <v>-1.0197709343628959E-13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323.17232038705157</v>
      </c>
      <c r="T105" s="59">
        <f t="shared" si="88"/>
        <v>402.34685738619197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65.485148069998615</v>
      </c>
      <c r="AA105" s="21">
        <f>EXP(-LN(2)/25)*AA104+(1-EXP(-LN(2)/25))/(LN(2)/25)*Calculateur!V105*Calculateur!X105*VLOOKUP('Données projet'!$B$9,Paramètres!$A$1:$I$89,3,0)*0.475*44/12</f>
        <v>12.346184210036446</v>
      </c>
      <c r="AB105" s="21">
        <f>EXP(-LN(2)/2)*AB104+(1-EXP(-LN(2)/2))/(LN(2)/2)*V105*Y105*VLOOKUP('Données projet'!$B$9,Paramètres!$A$1:$I$89,3,0)*0.475*44/12</f>
        <v>4.8168147734176553E-6</v>
      </c>
      <c r="AC105" s="22">
        <f t="shared" si="57"/>
        <v>77.831337096849836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 t="e">
        <f>AI105*VLOOKUP('Données projet'!$B$10,Paramètres!$A$1:$I$89,3,0)*VLOOKUP('Données projet'!$B$10,Paramètres!$A$1:$I$89,5,0)</f>
        <v>#N/A</v>
      </c>
      <c r="AK105" s="13" t="e">
        <f t="shared" si="89"/>
        <v>#N/A</v>
      </c>
      <c r="AL105" s="20" t="e">
        <f t="shared" si="58"/>
        <v>#N/A</v>
      </c>
      <c r="AM105" s="59" t="e">
        <f t="shared" si="59"/>
        <v>#N/A</v>
      </c>
      <c r="AN105" s="59" t="e">
        <f ca="1">AVERAGE(OFFSET($AM$3,0,0,'Données projet'!$E$10+1,1))-AVERAGE(OFFSET($H$3,0,0,'Données projet'!$E$10+1,1))</f>
        <v>#N/A</v>
      </c>
      <c r="AO105" s="59" t="e">
        <f t="shared" si="90"/>
        <v>#N/A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 t="e">
        <f>EXP(-LN(2)/35)*AU104+(1-EXP(-LN(2)/35))/(LN(2)/35)*AQ105*AR105*VLOOKUP('Données projet'!$B$10,Paramètres!$A$1:$I$89,3,0)*0.475*44/12</f>
        <v>#N/A</v>
      </c>
      <c r="AV105" s="21" t="e">
        <f>EXP(-LN(2)/25)*AV104+(1-EXP(-LN(2)/25))/(LN(2)/25)*Calculateur!AQ105*Calculateur!AS105*VLOOKUP('Données projet'!$B$10,Paramètres!$A$1:$I$89,3,0)*0.475*44/12</f>
        <v>#N/A</v>
      </c>
      <c r="AW105" s="21" t="e">
        <f>EXP(-LN(2)/2)*AW104+(1-EXP(-LN(2)/2))/(LN(2)/2)*AQ105*AT105*VLOOKUP('Données projet'!$B$10,Paramètres!$A$1:$I$89,3,0)*0.475*44/12</f>
        <v>#N/A</v>
      </c>
      <c r="AX105" s="21" t="e">
        <f t="shared" si="60"/>
        <v>#N/A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86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67">
        <f t="shared" si="56"/>
        <v>256.66666666666669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-1.7053025658242404E-13</v>
      </c>
      <c r="O106" s="13">
        <f>N106*VLOOKUP('Données projet'!$B$9,Paramètres!$A$1:$I$89,3,0)*VLOOKUP('Données projet'!$B$9,Paramètres!$A$1:$I$89,5,0)</f>
        <v>-1.0197709343628959E-13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323.17232038705157</v>
      </c>
      <c r="T106" s="59">
        <f t="shared" si="88"/>
        <v>402.34685738619197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64.201024258342315</v>
      </c>
      <c r="AA106" s="21">
        <f>EXP(-LN(2)/25)*AA105+(1-EXP(-LN(2)/25))/(LN(2)/25)*Calculateur!V106*Calculateur!X106*VLOOKUP('Données projet'!$B$9,Paramètres!$A$1:$I$89,3,0)*0.475*44/12</f>
        <v>12.00857715355539</v>
      </c>
      <c r="AB106" s="21">
        <f>EXP(-LN(2)/2)*AB105+(1-EXP(-LN(2)/2))/(LN(2)/2)*V106*Y106*VLOOKUP('Données projet'!$B$9,Paramètres!$A$1:$I$89,3,0)*0.475*44/12</f>
        <v>3.4060023900031676E-6</v>
      </c>
      <c r="AC106" s="22">
        <f t="shared" si="57"/>
        <v>76.2096048179001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 t="e">
        <f>AI106*VLOOKUP('Données projet'!$B$10,Paramètres!$A$1:$I$89,3,0)*VLOOKUP('Données projet'!$B$10,Paramètres!$A$1:$I$89,5,0)</f>
        <v>#N/A</v>
      </c>
      <c r="AK106" s="13" t="e">
        <f t="shared" si="89"/>
        <v>#N/A</v>
      </c>
      <c r="AL106" s="20" t="e">
        <f t="shared" si="58"/>
        <v>#N/A</v>
      </c>
      <c r="AM106" s="59" t="e">
        <f t="shared" si="59"/>
        <v>#N/A</v>
      </c>
      <c r="AN106" s="59" t="e">
        <f ca="1">AVERAGE(OFFSET($AM$3,0,0,'Données projet'!$E$10+1,1))-AVERAGE(OFFSET($H$3,0,0,'Données projet'!$E$10+1,1))</f>
        <v>#N/A</v>
      </c>
      <c r="AO106" s="59" t="e">
        <f t="shared" si="90"/>
        <v>#N/A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 t="e">
        <f>EXP(-LN(2)/35)*AU105+(1-EXP(-LN(2)/35))/(LN(2)/35)*AQ106*AR106*VLOOKUP('Données projet'!$B$10,Paramètres!$A$1:$I$89,3,0)*0.475*44/12</f>
        <v>#N/A</v>
      </c>
      <c r="AV106" s="21" t="e">
        <f>EXP(-LN(2)/25)*AV105+(1-EXP(-LN(2)/25))/(LN(2)/25)*Calculateur!AQ106*Calculateur!AS106*VLOOKUP('Données projet'!$B$10,Paramètres!$A$1:$I$89,3,0)*0.475*44/12</f>
        <v>#N/A</v>
      </c>
      <c r="AW106" s="21" t="e">
        <f>EXP(-LN(2)/2)*AW105+(1-EXP(-LN(2)/2))/(LN(2)/2)*AQ106*AT106*VLOOKUP('Données projet'!$B$10,Paramètres!$A$1:$I$89,3,0)*0.475*44/12</f>
        <v>#N/A</v>
      </c>
      <c r="AX106" s="21" t="e">
        <f t="shared" si="60"/>
        <v>#N/A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86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67">
        <f t="shared" si="56"/>
        <v>256.66666666666669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-1.7053025658242404E-13</v>
      </c>
      <c r="O107" s="13">
        <f>N107*VLOOKUP('Données projet'!$B$9,Paramètres!$A$1:$I$89,3,0)*VLOOKUP('Données projet'!$B$9,Paramètres!$A$1:$I$89,5,0)</f>
        <v>-1.0197709343628959E-13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323.17232038705157</v>
      </c>
      <c r="T107" s="59">
        <f t="shared" si="88"/>
        <v>402.34685738619197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62.942081331394412</v>
      </c>
      <c r="AA107" s="21">
        <f>EXP(-LN(2)/25)*AA106+(1-EXP(-LN(2)/25))/(LN(2)/25)*Calculateur!V107*Calculateur!X107*VLOOKUP('Données projet'!$B$9,Paramètres!$A$1:$I$89,3,0)*0.475*44/12</f>
        <v>11.680201979787791</v>
      </c>
      <c r="AB107" s="21">
        <f>EXP(-LN(2)/2)*AB106+(1-EXP(-LN(2)/2))/(LN(2)/2)*V107*Y107*VLOOKUP('Données projet'!$B$9,Paramètres!$A$1:$I$89,3,0)*0.475*44/12</f>
        <v>2.4084073867088277E-6</v>
      </c>
      <c r="AC107" s="22">
        <f t="shared" si="57"/>
        <v>74.622285719589584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 t="e">
        <f>AI107*VLOOKUP('Données projet'!$B$10,Paramètres!$A$1:$I$89,3,0)*VLOOKUP('Données projet'!$B$10,Paramètres!$A$1:$I$89,5,0)</f>
        <v>#N/A</v>
      </c>
      <c r="AK107" s="13" t="e">
        <f t="shared" si="89"/>
        <v>#N/A</v>
      </c>
      <c r="AL107" s="20" t="e">
        <f t="shared" si="58"/>
        <v>#N/A</v>
      </c>
      <c r="AM107" s="59" t="e">
        <f t="shared" si="59"/>
        <v>#N/A</v>
      </c>
      <c r="AN107" s="59" t="e">
        <f ca="1">AVERAGE(OFFSET($AM$3,0,0,'Données projet'!$E$10+1,1))-AVERAGE(OFFSET($H$3,0,0,'Données projet'!$E$10+1,1))</f>
        <v>#N/A</v>
      </c>
      <c r="AO107" s="59" t="e">
        <f t="shared" si="90"/>
        <v>#N/A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 t="e">
        <f>EXP(-LN(2)/35)*AU106+(1-EXP(-LN(2)/35))/(LN(2)/35)*AQ107*AR107*VLOOKUP('Données projet'!$B$10,Paramètres!$A$1:$I$89,3,0)*0.475*44/12</f>
        <v>#N/A</v>
      </c>
      <c r="AV107" s="21" t="e">
        <f>EXP(-LN(2)/25)*AV106+(1-EXP(-LN(2)/25))/(LN(2)/25)*Calculateur!AQ107*Calculateur!AS107*VLOOKUP('Données projet'!$B$10,Paramètres!$A$1:$I$89,3,0)*0.475*44/12</f>
        <v>#N/A</v>
      </c>
      <c r="AW107" s="21" t="e">
        <f>EXP(-LN(2)/2)*AW106+(1-EXP(-LN(2)/2))/(LN(2)/2)*AQ107*AT107*VLOOKUP('Données projet'!$B$10,Paramètres!$A$1:$I$89,3,0)*0.475*44/12</f>
        <v>#N/A</v>
      </c>
      <c r="AX107" s="21" t="e">
        <f t="shared" si="60"/>
        <v>#N/A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86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67">
        <f t="shared" si="56"/>
        <v>256.66666666666669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-1.7053025658242404E-13</v>
      </c>
      <c r="O108" s="13">
        <f>N108*VLOOKUP('Données projet'!$B$9,Paramètres!$A$1:$I$89,3,0)*VLOOKUP('Données projet'!$B$9,Paramètres!$A$1:$I$89,5,0)</f>
        <v>-1.0197709343628959E-13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323.17232038705157</v>
      </c>
      <c r="T108" s="59">
        <f t="shared" si="88"/>
        <v>402.34685738619197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61.707825507364596</v>
      </c>
      <c r="AA108" s="21">
        <f>EXP(-LN(2)/25)*AA107+(1-EXP(-LN(2)/25))/(LN(2)/25)*Calculateur!V108*Calculateur!X108*VLOOKUP('Données projet'!$B$9,Paramètres!$A$1:$I$89,3,0)*0.475*44/12</f>
        <v>11.360806242415366</v>
      </c>
      <c r="AB108" s="21">
        <f>EXP(-LN(2)/2)*AB107+(1-EXP(-LN(2)/2))/(LN(2)/2)*V108*Y108*VLOOKUP('Données projet'!$B$9,Paramètres!$A$1:$I$89,3,0)*0.475*44/12</f>
        <v>1.7030011950015838E-6</v>
      </c>
      <c r="AC108" s="22">
        <f t="shared" si="57"/>
        <v>73.068633452781157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 t="e">
        <f>AI108*VLOOKUP('Données projet'!$B$10,Paramètres!$A$1:$I$89,3,0)*VLOOKUP('Données projet'!$B$10,Paramètres!$A$1:$I$89,5,0)</f>
        <v>#N/A</v>
      </c>
      <c r="AK108" s="13" t="e">
        <f t="shared" si="89"/>
        <v>#N/A</v>
      </c>
      <c r="AL108" s="20" t="e">
        <f t="shared" si="58"/>
        <v>#N/A</v>
      </c>
      <c r="AM108" s="59" t="e">
        <f t="shared" si="59"/>
        <v>#N/A</v>
      </c>
      <c r="AN108" s="59" t="e">
        <f ca="1">AVERAGE(OFFSET($AM$3,0,0,'Données projet'!$E$10+1,1))-AVERAGE(OFFSET($H$3,0,0,'Données projet'!$E$10+1,1))</f>
        <v>#N/A</v>
      </c>
      <c r="AO108" s="59" t="e">
        <f t="shared" si="90"/>
        <v>#N/A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 t="e">
        <f>EXP(-LN(2)/35)*AU107+(1-EXP(-LN(2)/35))/(LN(2)/35)*AQ108*AR108*VLOOKUP('Données projet'!$B$10,Paramètres!$A$1:$I$89,3,0)*0.475*44/12</f>
        <v>#N/A</v>
      </c>
      <c r="AV108" s="21" t="e">
        <f>EXP(-LN(2)/25)*AV107+(1-EXP(-LN(2)/25))/(LN(2)/25)*Calculateur!AQ108*Calculateur!AS108*VLOOKUP('Données projet'!$B$10,Paramètres!$A$1:$I$89,3,0)*0.475*44/12</f>
        <v>#N/A</v>
      </c>
      <c r="AW108" s="21" t="e">
        <f>EXP(-LN(2)/2)*AW107+(1-EXP(-LN(2)/2))/(LN(2)/2)*AQ108*AT108*VLOOKUP('Données projet'!$B$10,Paramètres!$A$1:$I$89,3,0)*0.475*44/12</f>
        <v>#N/A</v>
      </c>
      <c r="AX108" s="21" t="e">
        <f t="shared" si="60"/>
        <v>#N/A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86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67">
        <f t="shared" si="56"/>
        <v>256.66666666666669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-1.7053025658242404E-13</v>
      </c>
      <c r="O109" s="13">
        <f>N109*VLOOKUP('Données projet'!$B$9,Paramètres!$A$1:$I$89,3,0)*VLOOKUP('Données projet'!$B$9,Paramètres!$A$1:$I$89,5,0)</f>
        <v>-1.0197709343628959E-13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323.17232038705157</v>
      </c>
      <c r="T109" s="59">
        <f t="shared" si="88"/>
        <v>402.34685738619197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60.497772687222287</v>
      </c>
      <c r="AA109" s="21">
        <f>EXP(-LN(2)/25)*AA108+(1-EXP(-LN(2)/25))/(LN(2)/25)*Calculateur!V109*Calculateur!X109*VLOOKUP('Données projet'!$B$9,Paramètres!$A$1:$I$89,3,0)*0.475*44/12</f>
        <v>11.050144398277682</v>
      </c>
      <c r="AB109" s="21">
        <f>EXP(-LN(2)/2)*AB108+(1-EXP(-LN(2)/2))/(LN(2)/2)*V109*Y109*VLOOKUP('Données projet'!$B$9,Paramètres!$A$1:$I$89,3,0)*0.475*44/12</f>
        <v>1.2042036933544138E-6</v>
      </c>
      <c r="AC109" s="22">
        <f t="shared" si="57"/>
        <v>71.547918289703674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 t="e">
        <f>AI109*VLOOKUP('Données projet'!$B$10,Paramètres!$A$1:$I$89,3,0)*VLOOKUP('Données projet'!$B$10,Paramètres!$A$1:$I$89,5,0)</f>
        <v>#N/A</v>
      </c>
      <c r="AK109" s="13" t="e">
        <f t="shared" si="89"/>
        <v>#N/A</v>
      </c>
      <c r="AL109" s="20" t="e">
        <f t="shared" si="58"/>
        <v>#N/A</v>
      </c>
      <c r="AM109" s="59" t="e">
        <f t="shared" si="59"/>
        <v>#N/A</v>
      </c>
      <c r="AN109" s="59" t="e">
        <f ca="1">AVERAGE(OFFSET($AM$3,0,0,'Données projet'!$E$10+1,1))-AVERAGE(OFFSET($H$3,0,0,'Données projet'!$E$10+1,1))</f>
        <v>#N/A</v>
      </c>
      <c r="AO109" s="59" t="e">
        <f t="shared" si="90"/>
        <v>#N/A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 t="e">
        <f>EXP(-LN(2)/35)*AU108+(1-EXP(-LN(2)/35))/(LN(2)/35)*AQ109*AR109*VLOOKUP('Données projet'!$B$10,Paramètres!$A$1:$I$89,3,0)*0.475*44/12</f>
        <v>#N/A</v>
      </c>
      <c r="AV109" s="21" t="e">
        <f>EXP(-LN(2)/25)*AV108+(1-EXP(-LN(2)/25))/(LN(2)/25)*Calculateur!AQ109*Calculateur!AS109*VLOOKUP('Données projet'!$B$10,Paramètres!$A$1:$I$89,3,0)*0.475*44/12</f>
        <v>#N/A</v>
      </c>
      <c r="AW109" s="21" t="e">
        <f>EXP(-LN(2)/2)*AW108+(1-EXP(-LN(2)/2))/(LN(2)/2)*AQ109*AT109*VLOOKUP('Données projet'!$B$10,Paramètres!$A$1:$I$89,3,0)*0.475*44/12</f>
        <v>#N/A</v>
      </c>
      <c r="AX109" s="21" t="e">
        <f t="shared" si="60"/>
        <v>#N/A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86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67">
        <f t="shared" si="56"/>
        <v>256.66666666666669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-1.7053025658242404E-13</v>
      </c>
      <c r="O110" s="13">
        <f>N110*VLOOKUP('Données projet'!$B$9,Paramètres!$A$1:$I$89,3,0)*VLOOKUP('Données projet'!$B$9,Paramètres!$A$1:$I$89,5,0)</f>
        <v>-1.0197709343628959E-13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323.17232038705157</v>
      </c>
      <c r="T110" s="59">
        <f t="shared" si="88"/>
        <v>402.34685738619197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59.311448264823625</v>
      </c>
      <c r="AA110" s="21">
        <f>EXP(-LN(2)/25)*AA109+(1-EXP(-LN(2)/25))/(LN(2)/25)*Calculateur!V110*Calculateur!X110*VLOOKUP('Données projet'!$B$9,Paramètres!$A$1:$I$89,3,0)*0.475*44/12</f>
        <v>10.74797761860494</v>
      </c>
      <c r="AB110" s="21">
        <f>EXP(-LN(2)/2)*AB109+(1-EXP(-LN(2)/2))/(LN(2)/2)*V110*Y110*VLOOKUP('Données projet'!$B$9,Paramètres!$A$1:$I$89,3,0)*0.475*44/12</f>
        <v>8.5150059750079189E-7</v>
      </c>
      <c r="AC110" s="22">
        <f t="shared" si="57"/>
        <v>70.059426734929161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 t="e">
        <f>AI110*VLOOKUP('Données projet'!$B$10,Paramètres!$A$1:$I$89,3,0)*VLOOKUP('Données projet'!$B$10,Paramètres!$A$1:$I$89,5,0)</f>
        <v>#N/A</v>
      </c>
      <c r="AK110" s="13" t="e">
        <f t="shared" si="89"/>
        <v>#N/A</v>
      </c>
      <c r="AL110" s="20" t="e">
        <f t="shared" si="58"/>
        <v>#N/A</v>
      </c>
      <c r="AM110" s="59" t="e">
        <f t="shared" si="59"/>
        <v>#N/A</v>
      </c>
      <c r="AN110" s="59" t="e">
        <f ca="1">AVERAGE(OFFSET($AM$3,0,0,'Données projet'!$E$10+1,1))-AVERAGE(OFFSET($H$3,0,0,'Données projet'!$E$10+1,1))</f>
        <v>#N/A</v>
      </c>
      <c r="AO110" s="59" t="e">
        <f t="shared" si="90"/>
        <v>#N/A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 t="e">
        <f>EXP(-LN(2)/35)*AU109+(1-EXP(-LN(2)/35))/(LN(2)/35)*AQ110*AR110*VLOOKUP('Données projet'!$B$10,Paramètres!$A$1:$I$89,3,0)*0.475*44/12</f>
        <v>#N/A</v>
      </c>
      <c r="AV110" s="21" t="e">
        <f>EXP(-LN(2)/25)*AV109+(1-EXP(-LN(2)/25))/(LN(2)/25)*Calculateur!AQ110*Calculateur!AS110*VLOOKUP('Données projet'!$B$10,Paramètres!$A$1:$I$89,3,0)*0.475*44/12</f>
        <v>#N/A</v>
      </c>
      <c r="AW110" s="21" t="e">
        <f>EXP(-LN(2)/2)*AW109+(1-EXP(-LN(2)/2))/(LN(2)/2)*AQ110*AT110*VLOOKUP('Données projet'!$B$10,Paramètres!$A$1:$I$89,3,0)*0.475*44/12</f>
        <v>#N/A</v>
      </c>
      <c r="AX110" s="21" t="e">
        <f t="shared" si="60"/>
        <v>#N/A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86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67">
        <f t="shared" si="56"/>
        <v>256.66666666666669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-1.7053025658242404E-13</v>
      </c>
      <c r="O111" s="13">
        <f>N111*VLOOKUP('Données projet'!$B$9,Paramètres!$A$1:$I$89,3,0)*VLOOKUP('Données projet'!$B$9,Paramètres!$A$1:$I$89,5,0)</f>
        <v>-1.0197709343628959E-13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323.17232038705157</v>
      </c>
      <c r="T111" s="59">
        <f t="shared" si="88"/>
        <v>402.34685738619197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58.148386940761753</v>
      </c>
      <c r="AA111" s="21">
        <f>EXP(-LN(2)/25)*AA110+(1-EXP(-LN(2)/25))/(LN(2)/25)*Calculateur!V111*Calculateur!X111*VLOOKUP('Données projet'!$B$9,Paramètres!$A$1:$I$89,3,0)*0.475*44/12</f>
        <v>10.45407360541261</v>
      </c>
      <c r="AB111" s="21">
        <f>EXP(-LN(2)/2)*AB110+(1-EXP(-LN(2)/2))/(LN(2)/2)*V111*Y111*VLOOKUP('Données projet'!$B$9,Paramètres!$A$1:$I$89,3,0)*0.475*44/12</f>
        <v>6.0210184667720692E-7</v>
      </c>
      <c r="AC111" s="22">
        <f t="shared" si="57"/>
        <v>68.60246114827622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 t="e">
        <f>AI111*VLOOKUP('Données projet'!$B$10,Paramètres!$A$1:$I$89,3,0)*VLOOKUP('Données projet'!$B$10,Paramètres!$A$1:$I$89,5,0)</f>
        <v>#N/A</v>
      </c>
      <c r="AK111" s="13" t="e">
        <f t="shared" si="89"/>
        <v>#N/A</v>
      </c>
      <c r="AL111" s="20" t="e">
        <f t="shared" si="58"/>
        <v>#N/A</v>
      </c>
      <c r="AM111" s="59" t="e">
        <f t="shared" si="59"/>
        <v>#N/A</v>
      </c>
      <c r="AN111" s="59" t="e">
        <f ca="1">AVERAGE(OFFSET($AM$3,0,0,'Données projet'!$E$10+1,1))-AVERAGE(OFFSET($H$3,0,0,'Données projet'!$E$10+1,1))</f>
        <v>#N/A</v>
      </c>
      <c r="AO111" s="59" t="e">
        <f t="shared" si="90"/>
        <v>#N/A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 t="e">
        <f>EXP(-LN(2)/35)*AU110+(1-EXP(-LN(2)/35))/(LN(2)/35)*AQ111*AR111*VLOOKUP('Données projet'!$B$10,Paramètres!$A$1:$I$89,3,0)*0.475*44/12</f>
        <v>#N/A</v>
      </c>
      <c r="AV111" s="21" t="e">
        <f>EXP(-LN(2)/25)*AV110+(1-EXP(-LN(2)/25))/(LN(2)/25)*Calculateur!AQ111*Calculateur!AS111*VLOOKUP('Données projet'!$B$10,Paramètres!$A$1:$I$89,3,0)*0.475*44/12</f>
        <v>#N/A</v>
      </c>
      <c r="AW111" s="21" t="e">
        <f>EXP(-LN(2)/2)*AW110+(1-EXP(-LN(2)/2))/(LN(2)/2)*AQ111*AT111*VLOOKUP('Données projet'!$B$10,Paramètres!$A$1:$I$89,3,0)*0.475*44/12</f>
        <v>#N/A</v>
      </c>
      <c r="AX111" s="21" t="e">
        <f t="shared" si="60"/>
        <v>#N/A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86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67">
        <f t="shared" si="56"/>
        <v>256.66666666666669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-1.7053025658242404E-13</v>
      </c>
      <c r="O112" s="13">
        <f>N112*VLOOKUP('Données projet'!$B$9,Paramètres!$A$1:$I$89,3,0)*VLOOKUP('Données projet'!$B$9,Paramètres!$A$1:$I$89,5,0)</f>
        <v>-1.0197709343628959E-13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323.17232038705157</v>
      </c>
      <c r="T112" s="59">
        <f t="shared" si="88"/>
        <v>402.34685738619197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57.008132539867375</v>
      </c>
      <c r="AA112" s="21">
        <f>EXP(-LN(2)/25)*AA111+(1-EXP(-LN(2)/25))/(LN(2)/25)*Calculateur!V112*Calculateur!X112*VLOOKUP('Données projet'!$B$9,Paramètres!$A$1:$I$89,3,0)*0.475*44/12</f>
        <v>10.168206412916764</v>
      </c>
      <c r="AB112" s="21">
        <f>EXP(-LN(2)/2)*AB111+(1-EXP(-LN(2)/2))/(LN(2)/2)*V112*Y112*VLOOKUP('Données projet'!$B$9,Paramètres!$A$1:$I$89,3,0)*0.475*44/12</f>
        <v>4.2575029875039594E-7</v>
      </c>
      <c r="AC112" s="22">
        <f t="shared" si="57"/>
        <v>67.176339378534436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 t="e">
        <f>AI112*VLOOKUP('Données projet'!$B$10,Paramètres!$A$1:$I$89,3,0)*VLOOKUP('Données projet'!$B$10,Paramètres!$A$1:$I$89,5,0)</f>
        <v>#N/A</v>
      </c>
      <c r="AK112" s="13" t="e">
        <f t="shared" si="89"/>
        <v>#N/A</v>
      </c>
      <c r="AL112" s="20" t="e">
        <f t="shared" si="58"/>
        <v>#N/A</v>
      </c>
      <c r="AM112" s="59" t="e">
        <f t="shared" si="59"/>
        <v>#N/A</v>
      </c>
      <c r="AN112" s="59" t="e">
        <f ca="1">AVERAGE(OFFSET($AM$3,0,0,'Données projet'!$E$10+1,1))-AVERAGE(OFFSET($H$3,0,0,'Données projet'!$E$10+1,1))</f>
        <v>#N/A</v>
      </c>
      <c r="AO112" s="59" t="e">
        <f t="shared" si="90"/>
        <v>#N/A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 t="e">
        <f>EXP(-LN(2)/35)*AU111+(1-EXP(-LN(2)/35))/(LN(2)/35)*AQ112*AR112*VLOOKUP('Données projet'!$B$10,Paramètres!$A$1:$I$89,3,0)*0.475*44/12</f>
        <v>#N/A</v>
      </c>
      <c r="AV112" s="21" t="e">
        <f>EXP(-LN(2)/25)*AV111+(1-EXP(-LN(2)/25))/(LN(2)/25)*Calculateur!AQ112*Calculateur!AS112*VLOOKUP('Données projet'!$B$10,Paramètres!$A$1:$I$89,3,0)*0.475*44/12</f>
        <v>#N/A</v>
      </c>
      <c r="AW112" s="21" t="e">
        <f>EXP(-LN(2)/2)*AW111+(1-EXP(-LN(2)/2))/(LN(2)/2)*AQ112*AT112*VLOOKUP('Données projet'!$B$10,Paramètres!$A$1:$I$89,3,0)*0.475*44/12</f>
        <v>#N/A</v>
      </c>
      <c r="AX112" s="21" t="e">
        <f t="shared" si="60"/>
        <v>#N/A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86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67">
        <f t="shared" si="56"/>
        <v>256.66666666666669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-1.7053025658242404E-13</v>
      </c>
      <c r="O113" s="13">
        <f>N113*VLOOKUP('Données projet'!$B$9,Paramètres!$A$1:$I$89,3,0)*VLOOKUP('Données projet'!$B$9,Paramètres!$A$1:$I$89,5,0)</f>
        <v>-1.0197709343628959E-13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323.17232038705157</v>
      </c>
      <c r="T113" s="59">
        <f t="shared" si="88"/>
        <v>402.34685738619197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55.890237832288022</v>
      </c>
      <c r="AA113" s="21">
        <f>EXP(-LN(2)/25)*AA112+(1-EXP(-LN(2)/25))/(LN(2)/25)*Calculateur!V113*Calculateur!X113*VLOOKUP('Données projet'!$B$9,Paramètres!$A$1:$I$89,3,0)*0.475*44/12</f>
        <v>9.8901562738328188</v>
      </c>
      <c r="AB113" s="21">
        <f>EXP(-LN(2)/2)*AB112+(1-EXP(-LN(2)/2))/(LN(2)/2)*V113*Y113*VLOOKUP('Données projet'!$B$9,Paramètres!$A$1:$I$89,3,0)*0.475*44/12</f>
        <v>3.0105092333860346E-7</v>
      </c>
      <c r="AC113" s="22">
        <f t="shared" si="57"/>
        <v>65.780394407171755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 t="e">
        <f>AI113*VLOOKUP('Données projet'!$B$10,Paramètres!$A$1:$I$89,3,0)*VLOOKUP('Données projet'!$B$10,Paramètres!$A$1:$I$89,5,0)</f>
        <v>#N/A</v>
      </c>
      <c r="AK113" s="13" t="e">
        <f t="shared" si="89"/>
        <v>#N/A</v>
      </c>
      <c r="AL113" s="20" t="e">
        <f t="shared" si="58"/>
        <v>#N/A</v>
      </c>
      <c r="AM113" s="59" t="e">
        <f t="shared" si="59"/>
        <v>#N/A</v>
      </c>
      <c r="AN113" s="59" t="e">
        <f ca="1">AVERAGE(OFFSET($AM$3,0,0,'Données projet'!$E$10+1,1))-AVERAGE(OFFSET($H$3,0,0,'Données projet'!$E$10+1,1))</f>
        <v>#N/A</v>
      </c>
      <c r="AO113" s="59" t="e">
        <f t="shared" si="90"/>
        <v>#N/A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 t="e">
        <f>EXP(-LN(2)/35)*AU112+(1-EXP(-LN(2)/35))/(LN(2)/35)*AQ113*AR113*VLOOKUP('Données projet'!$B$10,Paramètres!$A$1:$I$89,3,0)*0.475*44/12</f>
        <v>#N/A</v>
      </c>
      <c r="AV113" s="21" t="e">
        <f>EXP(-LN(2)/25)*AV112+(1-EXP(-LN(2)/25))/(LN(2)/25)*Calculateur!AQ113*Calculateur!AS113*VLOOKUP('Données projet'!$B$10,Paramètres!$A$1:$I$89,3,0)*0.475*44/12</f>
        <v>#N/A</v>
      </c>
      <c r="AW113" s="21" t="e">
        <f>EXP(-LN(2)/2)*AW112+(1-EXP(-LN(2)/2))/(LN(2)/2)*AQ113*AT113*VLOOKUP('Données projet'!$B$10,Paramètres!$A$1:$I$89,3,0)*0.475*44/12</f>
        <v>#N/A</v>
      </c>
      <c r="AX113" s="21" t="e">
        <f t="shared" si="60"/>
        <v>#N/A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86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67">
        <f t="shared" si="56"/>
        <v>256.66666666666669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-1.7053025658242404E-13</v>
      </c>
      <c r="O114" s="13">
        <f>N114*VLOOKUP('Données projet'!$B$9,Paramètres!$A$1:$I$89,3,0)*VLOOKUP('Données projet'!$B$9,Paramètres!$A$1:$I$89,5,0)</f>
        <v>-1.0197709343628959E-13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323.17232038705157</v>
      </c>
      <c r="T114" s="59">
        <f t="shared" si="88"/>
        <v>402.34685738619197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54.794264358075857</v>
      </c>
      <c r="AA114" s="21">
        <f>EXP(-LN(2)/25)*AA113+(1-EXP(-LN(2)/25))/(LN(2)/25)*Calculateur!V114*Calculateur!X114*VLOOKUP('Données projet'!$B$9,Paramètres!$A$1:$I$89,3,0)*0.475*44/12</f>
        <v>9.6197094304241464</v>
      </c>
      <c r="AB114" s="21">
        <f>EXP(-LN(2)/2)*AB113+(1-EXP(-LN(2)/2))/(LN(2)/2)*V114*Y114*VLOOKUP('Données projet'!$B$9,Paramètres!$A$1:$I$89,3,0)*0.475*44/12</f>
        <v>2.1287514937519797E-7</v>
      </c>
      <c r="AC114" s="22">
        <f t="shared" si="57"/>
        <v>64.413974001375152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 t="e">
        <f>AI114*VLOOKUP('Données projet'!$B$10,Paramètres!$A$1:$I$89,3,0)*VLOOKUP('Données projet'!$B$10,Paramètres!$A$1:$I$89,5,0)</f>
        <v>#N/A</v>
      </c>
      <c r="AK114" s="13" t="e">
        <f t="shared" si="89"/>
        <v>#N/A</v>
      </c>
      <c r="AL114" s="20" t="e">
        <f t="shared" si="58"/>
        <v>#N/A</v>
      </c>
      <c r="AM114" s="59" t="e">
        <f t="shared" si="59"/>
        <v>#N/A</v>
      </c>
      <c r="AN114" s="59" t="e">
        <f ca="1">AVERAGE(OFFSET($AM$3,0,0,'Données projet'!$E$10+1,1))-AVERAGE(OFFSET($H$3,0,0,'Données projet'!$E$10+1,1))</f>
        <v>#N/A</v>
      </c>
      <c r="AO114" s="59" t="e">
        <f t="shared" si="90"/>
        <v>#N/A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 t="e">
        <f>EXP(-LN(2)/35)*AU113+(1-EXP(-LN(2)/35))/(LN(2)/35)*AQ114*AR114*VLOOKUP('Données projet'!$B$10,Paramètres!$A$1:$I$89,3,0)*0.475*44/12</f>
        <v>#N/A</v>
      </c>
      <c r="AV114" s="21" t="e">
        <f>EXP(-LN(2)/25)*AV113+(1-EXP(-LN(2)/25))/(LN(2)/25)*Calculateur!AQ114*Calculateur!AS114*VLOOKUP('Données projet'!$B$10,Paramètres!$A$1:$I$89,3,0)*0.475*44/12</f>
        <v>#N/A</v>
      </c>
      <c r="AW114" s="21" t="e">
        <f>EXP(-LN(2)/2)*AW113+(1-EXP(-LN(2)/2))/(LN(2)/2)*AQ114*AT114*VLOOKUP('Données projet'!$B$10,Paramètres!$A$1:$I$89,3,0)*0.475*44/12</f>
        <v>#N/A</v>
      </c>
      <c r="AX114" s="21" t="e">
        <f t="shared" si="60"/>
        <v>#N/A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86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67">
        <f t="shared" si="56"/>
        <v>256.66666666666669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-1.7053025658242404E-13</v>
      </c>
      <c r="O115" s="13">
        <f>N115*VLOOKUP('Données projet'!$B$9,Paramètres!$A$1:$I$89,3,0)*VLOOKUP('Données projet'!$B$9,Paramètres!$A$1:$I$89,5,0)</f>
        <v>-1.0197709343628959E-13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323.17232038705157</v>
      </c>
      <c r="T115" s="59">
        <f t="shared" si="88"/>
        <v>402.34685738619197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53.719782255215179</v>
      </c>
      <c r="AA115" s="21">
        <f>EXP(-LN(2)/25)*AA114+(1-EXP(-LN(2)/25))/(LN(2)/25)*Calculateur!V115*Calculateur!X115*VLOOKUP('Données projet'!$B$9,Paramètres!$A$1:$I$89,3,0)*0.475*44/12</f>
        <v>9.3566579701706658</v>
      </c>
      <c r="AB115" s="21">
        <f>EXP(-LN(2)/2)*AB114+(1-EXP(-LN(2)/2))/(LN(2)/2)*V115*Y115*VLOOKUP('Données projet'!$B$9,Paramètres!$A$1:$I$89,3,0)*0.475*44/12</f>
        <v>1.5052546166930173E-7</v>
      </c>
      <c r="AC115" s="22">
        <f t="shared" si="57"/>
        <v>63.076440375911304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 t="e">
        <f>AI115*VLOOKUP('Données projet'!$B$10,Paramètres!$A$1:$I$89,3,0)*VLOOKUP('Données projet'!$B$10,Paramètres!$A$1:$I$89,5,0)</f>
        <v>#N/A</v>
      </c>
      <c r="AK115" s="13" t="e">
        <f t="shared" si="89"/>
        <v>#N/A</v>
      </c>
      <c r="AL115" s="20" t="e">
        <f t="shared" si="58"/>
        <v>#N/A</v>
      </c>
      <c r="AM115" s="59" t="e">
        <f t="shared" si="59"/>
        <v>#N/A</v>
      </c>
      <c r="AN115" s="59" t="e">
        <f ca="1">AVERAGE(OFFSET($AM$3,0,0,'Données projet'!$E$10+1,1))-AVERAGE(OFFSET($H$3,0,0,'Données projet'!$E$10+1,1))</f>
        <v>#N/A</v>
      </c>
      <c r="AO115" s="59" t="e">
        <f t="shared" si="90"/>
        <v>#N/A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 t="e">
        <f>EXP(-LN(2)/35)*AU114+(1-EXP(-LN(2)/35))/(LN(2)/35)*AQ115*AR115*VLOOKUP('Données projet'!$B$10,Paramètres!$A$1:$I$89,3,0)*0.475*44/12</f>
        <v>#N/A</v>
      </c>
      <c r="AV115" s="21" t="e">
        <f>EXP(-LN(2)/25)*AV114+(1-EXP(-LN(2)/25))/(LN(2)/25)*Calculateur!AQ115*Calculateur!AS115*VLOOKUP('Données projet'!$B$10,Paramètres!$A$1:$I$89,3,0)*0.475*44/12</f>
        <v>#N/A</v>
      </c>
      <c r="AW115" s="21" t="e">
        <f>EXP(-LN(2)/2)*AW114+(1-EXP(-LN(2)/2))/(LN(2)/2)*AQ115*AT115*VLOOKUP('Données projet'!$B$10,Paramètres!$A$1:$I$89,3,0)*0.475*44/12</f>
        <v>#N/A</v>
      </c>
      <c r="AX115" s="21" t="e">
        <f t="shared" si="60"/>
        <v>#N/A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86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67">
        <f t="shared" si="56"/>
        <v>256.66666666666669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-1.7053025658242404E-13</v>
      </c>
      <c r="O116" s="13">
        <f>N116*VLOOKUP('Données projet'!$B$9,Paramètres!$A$1:$I$89,3,0)*VLOOKUP('Données projet'!$B$9,Paramètres!$A$1:$I$89,5,0)</f>
        <v>-1.0197709343628959E-13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323.17232038705157</v>
      </c>
      <c r="T116" s="59">
        <f t="shared" si="88"/>
        <v>402.34685738619197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52.66637009102223</v>
      </c>
      <c r="AA116" s="21">
        <f>EXP(-LN(2)/25)*AA115+(1-EXP(-LN(2)/25))/(LN(2)/25)*Calculateur!V116*Calculateur!X116*VLOOKUP('Données projet'!$B$9,Paramètres!$A$1:$I$89,3,0)*0.475*44/12</f>
        <v>9.1007996659310919</v>
      </c>
      <c r="AB116" s="21">
        <f>EXP(-LN(2)/2)*AB115+(1-EXP(-LN(2)/2))/(LN(2)/2)*V116*Y116*VLOOKUP('Données projet'!$B$9,Paramètres!$A$1:$I$89,3,0)*0.475*44/12</f>
        <v>1.0643757468759899E-7</v>
      </c>
      <c r="AC116" s="22">
        <f t="shared" si="57"/>
        <v>61.767169863390897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 t="e">
        <f>AI116*VLOOKUP('Données projet'!$B$10,Paramètres!$A$1:$I$89,3,0)*VLOOKUP('Données projet'!$B$10,Paramètres!$A$1:$I$89,5,0)</f>
        <v>#N/A</v>
      </c>
      <c r="AK116" s="13" t="e">
        <f t="shared" si="89"/>
        <v>#N/A</v>
      </c>
      <c r="AL116" s="20" t="e">
        <f t="shared" si="58"/>
        <v>#N/A</v>
      </c>
      <c r="AM116" s="59" t="e">
        <f t="shared" si="59"/>
        <v>#N/A</v>
      </c>
      <c r="AN116" s="59" t="e">
        <f ca="1">AVERAGE(OFFSET($AM$3,0,0,'Données projet'!$E$10+1,1))-AVERAGE(OFFSET($H$3,0,0,'Données projet'!$E$10+1,1))</f>
        <v>#N/A</v>
      </c>
      <c r="AO116" s="59" t="e">
        <f t="shared" si="90"/>
        <v>#N/A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 t="e">
        <f>EXP(-LN(2)/35)*AU115+(1-EXP(-LN(2)/35))/(LN(2)/35)*AQ116*AR116*VLOOKUP('Données projet'!$B$10,Paramètres!$A$1:$I$89,3,0)*0.475*44/12</f>
        <v>#N/A</v>
      </c>
      <c r="AV116" s="21" t="e">
        <f>EXP(-LN(2)/25)*AV115+(1-EXP(-LN(2)/25))/(LN(2)/25)*Calculateur!AQ116*Calculateur!AS116*VLOOKUP('Données projet'!$B$10,Paramètres!$A$1:$I$89,3,0)*0.475*44/12</f>
        <v>#N/A</v>
      </c>
      <c r="AW116" s="21" t="e">
        <f>EXP(-LN(2)/2)*AW115+(1-EXP(-LN(2)/2))/(LN(2)/2)*AQ116*AT116*VLOOKUP('Données projet'!$B$10,Paramètres!$A$1:$I$89,3,0)*0.475*44/12</f>
        <v>#N/A</v>
      </c>
      <c r="AX116" s="21" t="e">
        <f t="shared" si="60"/>
        <v>#N/A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86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67">
        <f t="shared" si="56"/>
        <v>256.66666666666669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-1.7053025658242404E-13</v>
      </c>
      <c r="O117" s="13">
        <f>N117*VLOOKUP('Données projet'!$B$9,Paramètres!$A$1:$I$89,3,0)*VLOOKUP('Données projet'!$B$9,Paramètres!$A$1:$I$89,5,0)</f>
        <v>-1.0197709343628959E-13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323.17232038705157</v>
      </c>
      <c r="T117" s="59">
        <f t="shared" si="88"/>
        <v>402.34685738619197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51.633614696851126</v>
      </c>
      <c r="AA117" s="21">
        <f>EXP(-LN(2)/25)*AA116+(1-EXP(-LN(2)/25))/(LN(2)/25)*Calculateur!V117*Calculateur!X117*VLOOKUP('Données projet'!$B$9,Paramètres!$A$1:$I$89,3,0)*0.475*44/12</f>
        <v>8.8519378204759516</v>
      </c>
      <c r="AB117" s="21">
        <f>EXP(-LN(2)/2)*AB116+(1-EXP(-LN(2)/2))/(LN(2)/2)*V117*Y117*VLOOKUP('Données projet'!$B$9,Paramètres!$A$1:$I$89,3,0)*0.475*44/12</f>
        <v>7.5262730834650864E-8</v>
      </c>
      <c r="AC117" s="22">
        <f t="shared" si="57"/>
        <v>60.485552592589812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 t="e">
        <f>AI117*VLOOKUP('Données projet'!$B$10,Paramètres!$A$1:$I$89,3,0)*VLOOKUP('Données projet'!$B$10,Paramètres!$A$1:$I$89,5,0)</f>
        <v>#N/A</v>
      </c>
      <c r="AK117" s="13" t="e">
        <f t="shared" si="89"/>
        <v>#N/A</v>
      </c>
      <c r="AL117" s="20" t="e">
        <f t="shared" si="58"/>
        <v>#N/A</v>
      </c>
      <c r="AM117" s="59" t="e">
        <f t="shared" si="59"/>
        <v>#N/A</v>
      </c>
      <c r="AN117" s="59" t="e">
        <f ca="1">AVERAGE(OFFSET($AM$3,0,0,'Données projet'!$E$10+1,1))-AVERAGE(OFFSET($H$3,0,0,'Données projet'!$E$10+1,1))</f>
        <v>#N/A</v>
      </c>
      <c r="AO117" s="59" t="e">
        <f t="shared" si="90"/>
        <v>#N/A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 t="e">
        <f>EXP(-LN(2)/35)*AU116+(1-EXP(-LN(2)/35))/(LN(2)/35)*AQ117*AR117*VLOOKUP('Données projet'!$B$10,Paramètres!$A$1:$I$89,3,0)*0.475*44/12</f>
        <v>#N/A</v>
      </c>
      <c r="AV117" s="21" t="e">
        <f>EXP(-LN(2)/25)*AV116+(1-EXP(-LN(2)/25))/(LN(2)/25)*Calculateur!AQ117*Calculateur!AS117*VLOOKUP('Données projet'!$B$10,Paramètres!$A$1:$I$89,3,0)*0.475*44/12</f>
        <v>#N/A</v>
      </c>
      <c r="AW117" s="21" t="e">
        <f>EXP(-LN(2)/2)*AW116+(1-EXP(-LN(2)/2))/(LN(2)/2)*AQ117*AT117*VLOOKUP('Données projet'!$B$10,Paramètres!$A$1:$I$89,3,0)*0.475*44/12</f>
        <v>#N/A</v>
      </c>
      <c r="AX117" s="21" t="e">
        <f t="shared" si="60"/>
        <v>#N/A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86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67">
        <f t="shared" si="56"/>
        <v>256.66666666666669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-1.7053025658242404E-13</v>
      </c>
      <c r="O118" s="13">
        <f>N118*VLOOKUP('Données projet'!$B$9,Paramètres!$A$1:$I$89,3,0)*VLOOKUP('Données projet'!$B$9,Paramètres!$A$1:$I$89,5,0)</f>
        <v>-1.0197709343628959E-13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323.17232038705157</v>
      </c>
      <c r="T118" s="59">
        <f t="shared" si="88"/>
        <v>402.34685738619197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50.621111006041126</v>
      </c>
      <c r="AA118" s="21">
        <f>EXP(-LN(2)/25)*AA117+(1-EXP(-LN(2)/25))/(LN(2)/25)*Calculateur!V118*Calculateur!X118*VLOOKUP('Données projet'!$B$9,Paramètres!$A$1:$I$89,3,0)*0.475*44/12</f>
        <v>8.6098811152718575</v>
      </c>
      <c r="AB118" s="21">
        <f>EXP(-LN(2)/2)*AB117+(1-EXP(-LN(2)/2))/(LN(2)/2)*V118*Y118*VLOOKUP('Données projet'!$B$9,Paramètres!$A$1:$I$89,3,0)*0.475*44/12</f>
        <v>5.3218787343799493E-8</v>
      </c>
      <c r="AC118" s="22">
        <f t="shared" si="57"/>
        <v>59.230992174531764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 t="e">
        <f>AI118*VLOOKUP('Données projet'!$B$10,Paramètres!$A$1:$I$89,3,0)*VLOOKUP('Données projet'!$B$10,Paramètres!$A$1:$I$89,5,0)</f>
        <v>#N/A</v>
      </c>
      <c r="AK118" s="13" t="e">
        <f t="shared" si="89"/>
        <v>#N/A</v>
      </c>
      <c r="AL118" s="20" t="e">
        <f t="shared" si="58"/>
        <v>#N/A</v>
      </c>
      <c r="AM118" s="59" t="e">
        <f t="shared" si="59"/>
        <v>#N/A</v>
      </c>
      <c r="AN118" s="59" t="e">
        <f ca="1">AVERAGE(OFFSET($AM$3,0,0,'Données projet'!$E$10+1,1))-AVERAGE(OFFSET($H$3,0,0,'Données projet'!$E$10+1,1))</f>
        <v>#N/A</v>
      </c>
      <c r="AO118" s="59" t="e">
        <f t="shared" si="90"/>
        <v>#N/A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 t="e">
        <f>EXP(-LN(2)/35)*AU117+(1-EXP(-LN(2)/35))/(LN(2)/35)*AQ118*AR118*VLOOKUP('Données projet'!$B$10,Paramètres!$A$1:$I$89,3,0)*0.475*44/12</f>
        <v>#N/A</v>
      </c>
      <c r="AV118" s="21" t="e">
        <f>EXP(-LN(2)/25)*AV117+(1-EXP(-LN(2)/25))/(LN(2)/25)*Calculateur!AQ118*Calculateur!AS118*VLOOKUP('Données projet'!$B$10,Paramètres!$A$1:$I$89,3,0)*0.475*44/12</f>
        <v>#N/A</v>
      </c>
      <c r="AW118" s="21" t="e">
        <f>EXP(-LN(2)/2)*AW117+(1-EXP(-LN(2)/2))/(LN(2)/2)*AQ118*AT118*VLOOKUP('Données projet'!$B$10,Paramètres!$A$1:$I$89,3,0)*0.475*44/12</f>
        <v>#N/A</v>
      </c>
      <c r="AX118" s="21" t="e">
        <f t="shared" si="60"/>
        <v>#N/A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86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67">
        <f t="shared" si="56"/>
        <v>256.66666666666669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-1.7053025658242404E-13</v>
      </c>
      <c r="O119" s="13">
        <f>N119*VLOOKUP('Données projet'!$B$9,Paramètres!$A$1:$I$89,3,0)*VLOOKUP('Données projet'!$B$9,Paramètres!$A$1:$I$89,5,0)</f>
        <v>-1.0197709343628959E-13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323.17232038705157</v>
      </c>
      <c r="T119" s="59">
        <f t="shared" si="88"/>
        <v>402.34685738619197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49.628461895041639</v>
      </c>
      <c r="AA119" s="21">
        <f>EXP(-LN(2)/25)*AA118+(1-EXP(-LN(2)/25))/(LN(2)/25)*Calculateur!V119*Calculateur!X119*VLOOKUP('Données projet'!$B$9,Paramètres!$A$1:$I$89,3,0)*0.475*44/12</f>
        <v>8.3744434634007785</v>
      </c>
      <c r="AB119" s="21">
        <f>EXP(-LN(2)/2)*AB118+(1-EXP(-LN(2)/2))/(LN(2)/2)*V119*Y119*VLOOKUP('Données projet'!$B$9,Paramètres!$A$1:$I$89,3,0)*0.475*44/12</f>
        <v>3.7631365417325432E-8</v>
      </c>
      <c r="AC119" s="22">
        <f t="shared" si="57"/>
        <v>58.002905396073785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 t="e">
        <f>AI119*VLOOKUP('Données projet'!$B$10,Paramètres!$A$1:$I$89,3,0)*VLOOKUP('Données projet'!$B$10,Paramètres!$A$1:$I$89,5,0)</f>
        <v>#N/A</v>
      </c>
      <c r="AK119" s="13" t="e">
        <f t="shared" si="89"/>
        <v>#N/A</v>
      </c>
      <c r="AL119" s="20" t="e">
        <f t="shared" si="58"/>
        <v>#N/A</v>
      </c>
      <c r="AM119" s="59" t="e">
        <f t="shared" si="59"/>
        <v>#N/A</v>
      </c>
      <c r="AN119" s="59" t="e">
        <f ca="1">AVERAGE(OFFSET($AM$3,0,0,'Données projet'!$E$10+1,1))-AVERAGE(OFFSET($H$3,0,0,'Données projet'!$E$10+1,1))</f>
        <v>#N/A</v>
      </c>
      <c r="AO119" s="59" t="e">
        <f t="shared" si="90"/>
        <v>#N/A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 t="e">
        <f>EXP(-LN(2)/35)*AU118+(1-EXP(-LN(2)/35))/(LN(2)/35)*AQ119*AR119*VLOOKUP('Données projet'!$B$10,Paramètres!$A$1:$I$89,3,0)*0.475*44/12</f>
        <v>#N/A</v>
      </c>
      <c r="AV119" s="21" t="e">
        <f>EXP(-LN(2)/25)*AV118+(1-EXP(-LN(2)/25))/(LN(2)/25)*Calculateur!AQ119*Calculateur!AS119*VLOOKUP('Données projet'!$B$10,Paramètres!$A$1:$I$89,3,0)*0.475*44/12</f>
        <v>#N/A</v>
      </c>
      <c r="AW119" s="21" t="e">
        <f>EXP(-LN(2)/2)*AW118+(1-EXP(-LN(2)/2))/(LN(2)/2)*AQ119*AT119*VLOOKUP('Données projet'!$B$10,Paramètres!$A$1:$I$89,3,0)*0.475*44/12</f>
        <v>#N/A</v>
      </c>
      <c r="AX119" s="21" t="e">
        <f t="shared" si="60"/>
        <v>#N/A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86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67">
        <f t="shared" si="56"/>
        <v>256.66666666666669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-1.7053025658242404E-13</v>
      </c>
      <c r="O120" s="13">
        <f>N120*VLOOKUP('Données projet'!$B$9,Paramètres!$A$1:$I$89,3,0)*VLOOKUP('Données projet'!$B$9,Paramètres!$A$1:$I$89,5,0)</f>
        <v>-1.0197709343628959E-13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323.17232038705157</v>
      </c>
      <c r="T120" s="59">
        <f t="shared" si="88"/>
        <v>402.34685738619197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48.655278027652678</v>
      </c>
      <c r="AA120" s="21">
        <f>EXP(-LN(2)/25)*AA119+(1-EXP(-LN(2)/25))/(LN(2)/25)*Calculateur!V120*Calculateur!X120*VLOOKUP('Données projet'!$B$9,Paramètres!$A$1:$I$89,3,0)*0.475*44/12</f>
        <v>8.1454438665012425</v>
      </c>
      <c r="AB120" s="21">
        <f>EXP(-LN(2)/2)*AB119+(1-EXP(-LN(2)/2))/(LN(2)/2)*V120*Y120*VLOOKUP('Données projet'!$B$9,Paramètres!$A$1:$I$89,3,0)*0.475*44/12</f>
        <v>2.6609393671899747E-8</v>
      </c>
      <c r="AC120" s="22">
        <f t="shared" si="57"/>
        <v>56.800721920763316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 t="e">
        <f>AI120*VLOOKUP('Données projet'!$B$10,Paramètres!$A$1:$I$89,3,0)*VLOOKUP('Données projet'!$B$10,Paramètres!$A$1:$I$89,5,0)</f>
        <v>#N/A</v>
      </c>
      <c r="AK120" s="13" t="e">
        <f t="shared" si="89"/>
        <v>#N/A</v>
      </c>
      <c r="AL120" s="20" t="e">
        <f t="shared" si="58"/>
        <v>#N/A</v>
      </c>
      <c r="AM120" s="59" t="e">
        <f t="shared" si="59"/>
        <v>#N/A</v>
      </c>
      <c r="AN120" s="59" t="e">
        <f ca="1">AVERAGE(OFFSET($AM$3,0,0,'Données projet'!$E$10+1,1))-AVERAGE(OFFSET($H$3,0,0,'Données projet'!$E$10+1,1))</f>
        <v>#N/A</v>
      </c>
      <c r="AO120" s="59" t="e">
        <f t="shared" si="90"/>
        <v>#N/A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 t="e">
        <f>EXP(-LN(2)/35)*AU119+(1-EXP(-LN(2)/35))/(LN(2)/35)*AQ120*AR120*VLOOKUP('Données projet'!$B$10,Paramètres!$A$1:$I$89,3,0)*0.475*44/12</f>
        <v>#N/A</v>
      </c>
      <c r="AV120" s="21" t="e">
        <f>EXP(-LN(2)/25)*AV119+(1-EXP(-LN(2)/25))/(LN(2)/25)*Calculateur!AQ120*Calculateur!AS120*VLOOKUP('Données projet'!$B$10,Paramètres!$A$1:$I$89,3,0)*0.475*44/12</f>
        <v>#N/A</v>
      </c>
      <c r="AW120" s="21" t="e">
        <f>EXP(-LN(2)/2)*AW119+(1-EXP(-LN(2)/2))/(LN(2)/2)*AQ120*AT120*VLOOKUP('Données projet'!$B$10,Paramètres!$A$1:$I$89,3,0)*0.475*44/12</f>
        <v>#N/A</v>
      </c>
      <c r="AX120" s="21" t="e">
        <f t="shared" si="60"/>
        <v>#N/A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86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67">
        <f t="shared" si="56"/>
        <v>256.66666666666669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-1.7053025658242404E-13</v>
      </c>
      <c r="O121" s="13">
        <f>N121*VLOOKUP('Données projet'!$B$9,Paramètres!$A$1:$I$89,3,0)*VLOOKUP('Données projet'!$B$9,Paramètres!$A$1:$I$89,5,0)</f>
        <v>-1.0197709343628959E-13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323.17232038705157</v>
      </c>
      <c r="T121" s="59">
        <f t="shared" si="88"/>
        <v>402.34685738619197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47.701177702319669</v>
      </c>
      <c r="AA121" s="21">
        <f>EXP(-LN(2)/25)*AA120+(1-EXP(-LN(2)/25))/(LN(2)/25)*Calculateur!V121*Calculateur!X121*VLOOKUP('Données projet'!$B$9,Paramètres!$A$1:$I$89,3,0)*0.475*44/12</f>
        <v>7.9227062756214899</v>
      </c>
      <c r="AB121" s="21">
        <f>EXP(-LN(2)/2)*AB120+(1-EXP(-LN(2)/2))/(LN(2)/2)*V121*Y121*VLOOKUP('Données projet'!$B$9,Paramètres!$A$1:$I$89,3,0)*0.475*44/12</f>
        <v>1.8815682708662716E-8</v>
      </c>
      <c r="AC121" s="22">
        <f t="shared" si="57"/>
        <v>55.623883996756845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 t="e">
        <f>AI121*VLOOKUP('Données projet'!$B$10,Paramètres!$A$1:$I$89,3,0)*VLOOKUP('Données projet'!$B$10,Paramètres!$A$1:$I$89,5,0)</f>
        <v>#N/A</v>
      </c>
      <c r="AK121" s="13" t="e">
        <f t="shared" si="89"/>
        <v>#N/A</v>
      </c>
      <c r="AL121" s="20" t="e">
        <f t="shared" si="58"/>
        <v>#N/A</v>
      </c>
      <c r="AM121" s="59" t="e">
        <f t="shared" si="59"/>
        <v>#N/A</v>
      </c>
      <c r="AN121" s="59" t="e">
        <f ca="1">AVERAGE(OFFSET($AM$3,0,0,'Données projet'!$E$10+1,1))-AVERAGE(OFFSET($H$3,0,0,'Données projet'!$E$10+1,1))</f>
        <v>#N/A</v>
      </c>
      <c r="AO121" s="59" t="e">
        <f t="shared" si="90"/>
        <v>#N/A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 t="e">
        <f>EXP(-LN(2)/35)*AU120+(1-EXP(-LN(2)/35))/(LN(2)/35)*AQ121*AR121*VLOOKUP('Données projet'!$B$10,Paramètres!$A$1:$I$89,3,0)*0.475*44/12</f>
        <v>#N/A</v>
      </c>
      <c r="AV121" s="21" t="e">
        <f>EXP(-LN(2)/25)*AV120+(1-EXP(-LN(2)/25))/(LN(2)/25)*Calculateur!AQ121*Calculateur!AS121*VLOOKUP('Données projet'!$B$10,Paramètres!$A$1:$I$89,3,0)*0.475*44/12</f>
        <v>#N/A</v>
      </c>
      <c r="AW121" s="21" t="e">
        <f>EXP(-LN(2)/2)*AW120+(1-EXP(-LN(2)/2))/(LN(2)/2)*AQ121*AT121*VLOOKUP('Données projet'!$B$10,Paramètres!$A$1:$I$89,3,0)*0.475*44/12</f>
        <v>#N/A</v>
      </c>
      <c r="AX121" s="21" t="e">
        <f t="shared" si="60"/>
        <v>#N/A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86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67">
        <f t="shared" si="56"/>
        <v>256.66666666666669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-1.7053025658242404E-13</v>
      </c>
      <c r="O122" s="13">
        <f>N122*VLOOKUP('Données projet'!$B$9,Paramètres!$A$1:$I$89,3,0)*VLOOKUP('Données projet'!$B$9,Paramètres!$A$1:$I$89,5,0)</f>
        <v>-1.0197709343628959E-13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323.17232038705157</v>
      </c>
      <c r="T122" s="59">
        <f t="shared" si="88"/>
        <v>402.34685738619197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46.765786702422702</v>
      </c>
      <c r="AA122" s="21">
        <f>EXP(-LN(2)/25)*AA121+(1-EXP(-LN(2)/25))/(LN(2)/25)*Calculateur!V122*Calculateur!X122*VLOOKUP('Données projet'!$B$9,Paramètres!$A$1:$I$89,3,0)*0.475*44/12</f>
        <v>7.7060594558776048</v>
      </c>
      <c r="AB122" s="21">
        <f>EXP(-LN(2)/2)*AB121+(1-EXP(-LN(2)/2))/(LN(2)/2)*V122*Y122*VLOOKUP('Données projet'!$B$9,Paramètres!$A$1:$I$89,3,0)*0.475*44/12</f>
        <v>1.3304696835949873E-8</v>
      </c>
      <c r="AC122" s="22">
        <f t="shared" si="57"/>
        <v>54.471846171605009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 t="e">
        <f>AI122*VLOOKUP('Données projet'!$B$10,Paramètres!$A$1:$I$89,3,0)*VLOOKUP('Données projet'!$B$10,Paramètres!$A$1:$I$89,5,0)</f>
        <v>#N/A</v>
      </c>
      <c r="AK122" s="13" t="e">
        <f t="shared" si="89"/>
        <v>#N/A</v>
      </c>
      <c r="AL122" s="20" t="e">
        <f t="shared" si="58"/>
        <v>#N/A</v>
      </c>
      <c r="AM122" s="59" t="e">
        <f t="shared" si="59"/>
        <v>#N/A</v>
      </c>
      <c r="AN122" s="59" t="e">
        <f ca="1">AVERAGE(OFFSET($AM$3,0,0,'Données projet'!$E$10+1,1))-AVERAGE(OFFSET($H$3,0,0,'Données projet'!$E$10+1,1))</f>
        <v>#N/A</v>
      </c>
      <c r="AO122" s="59" t="e">
        <f t="shared" si="90"/>
        <v>#N/A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 t="e">
        <f>EXP(-LN(2)/35)*AU121+(1-EXP(-LN(2)/35))/(LN(2)/35)*AQ122*AR122*VLOOKUP('Données projet'!$B$10,Paramètres!$A$1:$I$89,3,0)*0.475*44/12</f>
        <v>#N/A</v>
      </c>
      <c r="AV122" s="21" t="e">
        <f>EXP(-LN(2)/25)*AV121+(1-EXP(-LN(2)/25))/(LN(2)/25)*Calculateur!AQ122*Calculateur!AS122*VLOOKUP('Données projet'!$B$10,Paramètres!$A$1:$I$89,3,0)*0.475*44/12</f>
        <v>#N/A</v>
      </c>
      <c r="AW122" s="21" t="e">
        <f>EXP(-LN(2)/2)*AW121+(1-EXP(-LN(2)/2))/(LN(2)/2)*AQ122*AT122*VLOOKUP('Données projet'!$B$10,Paramètres!$A$1:$I$89,3,0)*0.475*44/12</f>
        <v>#N/A</v>
      </c>
      <c r="AX122" s="21" t="e">
        <f t="shared" si="60"/>
        <v>#N/A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86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67">
        <f t="shared" si="56"/>
        <v>256.66666666666669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-1.7053025658242404E-13</v>
      </c>
      <c r="O123" s="13">
        <f>N123*VLOOKUP('Données projet'!$B$9,Paramètres!$A$1:$I$89,3,0)*VLOOKUP('Données projet'!$B$9,Paramètres!$A$1:$I$89,5,0)</f>
        <v>-1.0197709343628959E-13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323.17232038705157</v>
      </c>
      <c r="T123" s="59">
        <f t="shared" si="88"/>
        <v>402.34685738619197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45.848738149501536</v>
      </c>
      <c r="AA123" s="21">
        <f>EXP(-LN(2)/25)*AA122+(1-EXP(-LN(2)/25))/(LN(2)/25)*Calculateur!V123*Calculateur!X123*VLOOKUP('Données projet'!$B$9,Paramètres!$A$1:$I$89,3,0)*0.475*44/12</f>
        <v>7.4953368548125772</v>
      </c>
      <c r="AB123" s="21">
        <f>EXP(-LN(2)/2)*AB122+(1-EXP(-LN(2)/2))/(LN(2)/2)*V123*Y123*VLOOKUP('Données projet'!$B$9,Paramètres!$A$1:$I$89,3,0)*0.475*44/12</f>
        <v>9.4078413543313581E-9</v>
      </c>
      <c r="AC123" s="22">
        <f t="shared" si="57"/>
        <v>53.344075013721955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 t="e">
        <f>AI123*VLOOKUP('Données projet'!$B$10,Paramètres!$A$1:$I$89,3,0)*VLOOKUP('Données projet'!$B$10,Paramètres!$A$1:$I$89,5,0)</f>
        <v>#N/A</v>
      </c>
      <c r="AK123" s="13" t="e">
        <f t="shared" si="89"/>
        <v>#N/A</v>
      </c>
      <c r="AL123" s="20" t="e">
        <f t="shared" si="58"/>
        <v>#N/A</v>
      </c>
      <c r="AM123" s="59" t="e">
        <f t="shared" si="59"/>
        <v>#N/A</v>
      </c>
      <c r="AN123" s="59" t="e">
        <f ca="1">AVERAGE(OFFSET($AM$3,0,0,'Données projet'!$E$10+1,1))-AVERAGE(OFFSET($H$3,0,0,'Données projet'!$E$10+1,1))</f>
        <v>#N/A</v>
      </c>
      <c r="AO123" s="59" t="e">
        <f t="shared" si="90"/>
        <v>#N/A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 t="e">
        <f>EXP(-LN(2)/35)*AU122+(1-EXP(-LN(2)/35))/(LN(2)/35)*AQ123*AR123*VLOOKUP('Données projet'!$B$10,Paramètres!$A$1:$I$89,3,0)*0.475*44/12</f>
        <v>#N/A</v>
      </c>
      <c r="AV123" s="21" t="e">
        <f>EXP(-LN(2)/25)*AV122+(1-EXP(-LN(2)/25))/(LN(2)/25)*Calculateur!AQ123*Calculateur!AS123*VLOOKUP('Données projet'!$B$10,Paramètres!$A$1:$I$89,3,0)*0.475*44/12</f>
        <v>#N/A</v>
      </c>
      <c r="AW123" s="21" t="e">
        <f>EXP(-LN(2)/2)*AW122+(1-EXP(-LN(2)/2))/(LN(2)/2)*AQ123*AT123*VLOOKUP('Données projet'!$B$10,Paramètres!$A$1:$I$89,3,0)*0.475*44/12</f>
        <v>#N/A</v>
      </c>
      <c r="AX123" s="21" t="e">
        <f t="shared" si="60"/>
        <v>#N/A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86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67">
        <f t="shared" si="56"/>
        <v>256.66666666666669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-1.7053025658242404E-13</v>
      </c>
      <c r="O124" s="13">
        <f>N124*VLOOKUP('Données projet'!$B$9,Paramètres!$A$1:$I$89,3,0)*VLOOKUP('Données projet'!$B$9,Paramètres!$A$1:$I$89,5,0)</f>
        <v>-1.0197709343628959E-13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323.17232038705157</v>
      </c>
      <c r="T124" s="59">
        <f t="shared" si="88"/>
        <v>402.34685738619197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44.949672359358772</v>
      </c>
      <c r="AA124" s="21">
        <f>EXP(-LN(2)/25)*AA123+(1-EXP(-LN(2)/25))/(LN(2)/25)*Calculateur!V124*Calculateur!X124*VLOOKUP('Données projet'!$B$9,Paramètres!$A$1:$I$89,3,0)*0.475*44/12</f>
        <v>7.2903764743550932</v>
      </c>
      <c r="AB124" s="21">
        <f>EXP(-LN(2)/2)*AB123+(1-EXP(-LN(2)/2))/(LN(2)/2)*V124*Y124*VLOOKUP('Données projet'!$B$9,Paramètres!$A$1:$I$89,3,0)*0.475*44/12</f>
        <v>6.6523484179749366E-9</v>
      </c>
      <c r="AC124" s="22">
        <f t="shared" si="57"/>
        <v>52.240048840366214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 t="e">
        <f>AI124*VLOOKUP('Données projet'!$B$10,Paramètres!$A$1:$I$89,3,0)*VLOOKUP('Données projet'!$B$10,Paramètres!$A$1:$I$89,5,0)</f>
        <v>#N/A</v>
      </c>
      <c r="AK124" s="13" t="e">
        <f t="shared" si="89"/>
        <v>#N/A</v>
      </c>
      <c r="AL124" s="20" t="e">
        <f t="shared" si="58"/>
        <v>#N/A</v>
      </c>
      <c r="AM124" s="59" t="e">
        <f t="shared" si="59"/>
        <v>#N/A</v>
      </c>
      <c r="AN124" s="59" t="e">
        <f ca="1">AVERAGE(OFFSET($AM$3,0,0,'Données projet'!$E$10+1,1))-AVERAGE(OFFSET($H$3,0,0,'Données projet'!$E$10+1,1))</f>
        <v>#N/A</v>
      </c>
      <c r="AO124" s="59" t="e">
        <f t="shared" si="90"/>
        <v>#N/A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 t="e">
        <f>EXP(-LN(2)/35)*AU123+(1-EXP(-LN(2)/35))/(LN(2)/35)*AQ124*AR124*VLOOKUP('Données projet'!$B$10,Paramètres!$A$1:$I$89,3,0)*0.475*44/12</f>
        <v>#N/A</v>
      </c>
      <c r="AV124" s="21" t="e">
        <f>EXP(-LN(2)/25)*AV123+(1-EXP(-LN(2)/25))/(LN(2)/25)*Calculateur!AQ124*Calculateur!AS124*VLOOKUP('Données projet'!$B$10,Paramètres!$A$1:$I$89,3,0)*0.475*44/12</f>
        <v>#N/A</v>
      </c>
      <c r="AW124" s="21" t="e">
        <f>EXP(-LN(2)/2)*AW123+(1-EXP(-LN(2)/2))/(LN(2)/2)*AQ124*AT124*VLOOKUP('Données projet'!$B$10,Paramètres!$A$1:$I$89,3,0)*0.475*44/12</f>
        <v>#N/A</v>
      </c>
      <c r="AX124" s="21" t="e">
        <f t="shared" si="60"/>
        <v>#N/A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86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67">
        <f t="shared" si="56"/>
        <v>256.66666666666669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-1.7053025658242404E-13</v>
      </c>
      <c r="O125" s="13">
        <f>N125*VLOOKUP('Données projet'!$B$9,Paramètres!$A$1:$I$89,3,0)*VLOOKUP('Données projet'!$B$9,Paramètres!$A$1:$I$89,5,0)</f>
        <v>-1.0197709343628959E-13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323.17232038705157</v>
      </c>
      <c r="T125" s="59">
        <f t="shared" si="88"/>
        <v>402.34685738619197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44.06823670098472</v>
      </c>
      <c r="AA125" s="21">
        <f>EXP(-LN(2)/25)*AA124+(1-EXP(-LN(2)/25))/(LN(2)/25)*Calculateur!V125*Calculateur!X125*VLOOKUP('Données projet'!$B$9,Paramètres!$A$1:$I$89,3,0)*0.475*44/12</f>
        <v>7.0910207462796171</v>
      </c>
      <c r="AB125" s="21">
        <f>EXP(-LN(2)/2)*AB124+(1-EXP(-LN(2)/2))/(LN(2)/2)*V125*Y125*VLOOKUP('Données projet'!$B$9,Paramètres!$A$1:$I$89,3,0)*0.475*44/12</f>
        <v>4.703920677165679E-9</v>
      </c>
      <c r="AC125" s="22">
        <f t="shared" si="57"/>
        <v>51.159257451968259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 t="e">
        <f>AI125*VLOOKUP('Données projet'!$B$10,Paramètres!$A$1:$I$89,3,0)*VLOOKUP('Données projet'!$B$10,Paramètres!$A$1:$I$89,5,0)</f>
        <v>#N/A</v>
      </c>
      <c r="AK125" s="13" t="e">
        <f t="shared" si="89"/>
        <v>#N/A</v>
      </c>
      <c r="AL125" s="20" t="e">
        <f t="shared" si="58"/>
        <v>#N/A</v>
      </c>
      <c r="AM125" s="59" t="e">
        <f t="shared" si="59"/>
        <v>#N/A</v>
      </c>
      <c r="AN125" s="59" t="e">
        <f ca="1">AVERAGE(OFFSET($AM$3,0,0,'Données projet'!$E$10+1,1))-AVERAGE(OFFSET($H$3,0,0,'Données projet'!$E$10+1,1))</f>
        <v>#N/A</v>
      </c>
      <c r="AO125" s="59" t="e">
        <f t="shared" si="90"/>
        <v>#N/A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 t="e">
        <f>EXP(-LN(2)/35)*AU124+(1-EXP(-LN(2)/35))/(LN(2)/35)*AQ125*AR125*VLOOKUP('Données projet'!$B$10,Paramètres!$A$1:$I$89,3,0)*0.475*44/12</f>
        <v>#N/A</v>
      </c>
      <c r="AV125" s="21" t="e">
        <f>EXP(-LN(2)/25)*AV124+(1-EXP(-LN(2)/25))/(LN(2)/25)*Calculateur!AQ125*Calculateur!AS125*VLOOKUP('Données projet'!$B$10,Paramètres!$A$1:$I$89,3,0)*0.475*44/12</f>
        <v>#N/A</v>
      </c>
      <c r="AW125" s="21" t="e">
        <f>EXP(-LN(2)/2)*AW124+(1-EXP(-LN(2)/2))/(LN(2)/2)*AQ125*AT125*VLOOKUP('Données projet'!$B$10,Paramètres!$A$1:$I$89,3,0)*0.475*44/12</f>
        <v>#N/A</v>
      </c>
      <c r="AX125" s="21" t="e">
        <f t="shared" si="60"/>
        <v>#N/A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86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67">
        <f t="shared" si="56"/>
        <v>256.66666666666669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-1.7053025658242404E-13</v>
      </c>
      <c r="O126" s="13">
        <f>N126*VLOOKUP('Données projet'!$B$9,Paramètres!$A$1:$I$89,3,0)*VLOOKUP('Données projet'!$B$9,Paramètres!$A$1:$I$89,5,0)</f>
        <v>-1.0197709343628959E-13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323.17232038705157</v>
      </c>
      <c r="T126" s="59">
        <f t="shared" si="88"/>
        <v>402.34685738619197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43.20408545824872</v>
      </c>
      <c r="AA126" s="21">
        <f>EXP(-LN(2)/25)*AA125+(1-EXP(-LN(2)/25))/(LN(2)/25)*Calculateur!V126*Calculateur!X126*VLOOKUP('Données projet'!$B$9,Paramètres!$A$1:$I$89,3,0)*0.475*44/12</f>
        <v>6.8971164110720267</v>
      </c>
      <c r="AB126" s="21">
        <f>EXP(-LN(2)/2)*AB125+(1-EXP(-LN(2)/2))/(LN(2)/2)*V126*Y126*VLOOKUP('Données projet'!$B$9,Paramètres!$A$1:$I$89,3,0)*0.475*44/12</f>
        <v>3.3261742089874683E-9</v>
      </c>
      <c r="AC126" s="22">
        <f t="shared" si="57"/>
        <v>50.101201872646918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 t="e">
        <f>AI126*VLOOKUP('Données projet'!$B$10,Paramètres!$A$1:$I$89,3,0)*VLOOKUP('Données projet'!$B$10,Paramètres!$A$1:$I$89,5,0)</f>
        <v>#N/A</v>
      </c>
      <c r="AK126" s="13" t="e">
        <f t="shared" si="89"/>
        <v>#N/A</v>
      </c>
      <c r="AL126" s="20" t="e">
        <f t="shared" si="58"/>
        <v>#N/A</v>
      </c>
      <c r="AM126" s="59" t="e">
        <f t="shared" si="59"/>
        <v>#N/A</v>
      </c>
      <c r="AN126" s="59" t="e">
        <f ca="1">AVERAGE(OFFSET($AM$3,0,0,'Données projet'!$E$10+1,1))-AVERAGE(OFFSET($H$3,0,0,'Données projet'!$E$10+1,1))</f>
        <v>#N/A</v>
      </c>
      <c r="AO126" s="59" t="e">
        <f t="shared" si="90"/>
        <v>#N/A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 t="e">
        <f>EXP(-LN(2)/35)*AU125+(1-EXP(-LN(2)/35))/(LN(2)/35)*AQ126*AR126*VLOOKUP('Données projet'!$B$10,Paramètres!$A$1:$I$89,3,0)*0.475*44/12</f>
        <v>#N/A</v>
      </c>
      <c r="AV126" s="21" t="e">
        <f>EXP(-LN(2)/25)*AV125+(1-EXP(-LN(2)/25))/(LN(2)/25)*Calculateur!AQ126*Calculateur!AS126*VLOOKUP('Données projet'!$B$10,Paramètres!$A$1:$I$89,3,0)*0.475*44/12</f>
        <v>#N/A</v>
      </c>
      <c r="AW126" s="21" t="e">
        <f>EXP(-LN(2)/2)*AW125+(1-EXP(-LN(2)/2))/(LN(2)/2)*AQ126*AT126*VLOOKUP('Données projet'!$B$10,Paramètres!$A$1:$I$89,3,0)*0.475*44/12</f>
        <v>#N/A</v>
      </c>
      <c r="AX126" s="21" t="e">
        <f t="shared" si="60"/>
        <v>#N/A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86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67">
        <f t="shared" si="56"/>
        <v>256.66666666666669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-1.7053025658242404E-13</v>
      </c>
      <c r="O127" s="13">
        <f>N127*VLOOKUP('Données projet'!$B$9,Paramètres!$A$1:$I$89,3,0)*VLOOKUP('Données projet'!$B$9,Paramètres!$A$1:$I$89,5,0)</f>
        <v>-1.0197709343628959E-13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323.17232038705157</v>
      </c>
      <c r="T127" s="59">
        <f t="shared" si="88"/>
        <v>402.34685738619197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42.356879694302556</v>
      </c>
      <c r="AA127" s="21">
        <f>EXP(-LN(2)/25)*AA126+(1-EXP(-LN(2)/25))/(LN(2)/25)*Calculateur!V127*Calculateur!X127*VLOOKUP('Données projet'!$B$9,Paramètres!$A$1:$I$89,3,0)*0.475*44/12</f>
        <v>6.7085144001076733</v>
      </c>
      <c r="AB127" s="21">
        <f>EXP(-LN(2)/2)*AB126+(1-EXP(-LN(2)/2))/(LN(2)/2)*V127*Y127*VLOOKUP('Données projet'!$B$9,Paramètres!$A$1:$I$89,3,0)*0.475*44/12</f>
        <v>2.3519603385828395E-9</v>
      </c>
      <c r="AC127" s="22">
        <f t="shared" si="57"/>
        <v>49.065394096762191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 t="e">
        <f>AI127*VLOOKUP('Données projet'!$B$10,Paramètres!$A$1:$I$89,3,0)*VLOOKUP('Données projet'!$B$10,Paramètres!$A$1:$I$89,5,0)</f>
        <v>#N/A</v>
      </c>
      <c r="AK127" s="13" t="e">
        <f t="shared" si="89"/>
        <v>#N/A</v>
      </c>
      <c r="AL127" s="20" t="e">
        <f t="shared" si="58"/>
        <v>#N/A</v>
      </c>
      <c r="AM127" s="59" t="e">
        <f t="shared" si="59"/>
        <v>#N/A</v>
      </c>
      <c r="AN127" s="59" t="e">
        <f ca="1">AVERAGE(OFFSET($AM$3,0,0,'Données projet'!$E$10+1,1))-AVERAGE(OFFSET($H$3,0,0,'Données projet'!$E$10+1,1))</f>
        <v>#N/A</v>
      </c>
      <c r="AO127" s="59" t="e">
        <f t="shared" si="90"/>
        <v>#N/A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 t="e">
        <f>EXP(-LN(2)/35)*AU126+(1-EXP(-LN(2)/35))/(LN(2)/35)*AQ127*AR127*VLOOKUP('Données projet'!$B$10,Paramètres!$A$1:$I$89,3,0)*0.475*44/12</f>
        <v>#N/A</v>
      </c>
      <c r="AV127" s="21" t="e">
        <f>EXP(-LN(2)/25)*AV126+(1-EXP(-LN(2)/25))/(LN(2)/25)*Calculateur!AQ127*Calculateur!AS127*VLOOKUP('Données projet'!$B$10,Paramètres!$A$1:$I$89,3,0)*0.475*44/12</f>
        <v>#N/A</v>
      </c>
      <c r="AW127" s="21" t="e">
        <f>EXP(-LN(2)/2)*AW126+(1-EXP(-LN(2)/2))/(LN(2)/2)*AQ127*AT127*VLOOKUP('Données projet'!$B$10,Paramètres!$A$1:$I$89,3,0)*0.475*44/12</f>
        <v>#N/A</v>
      </c>
      <c r="AX127" s="21" t="e">
        <f t="shared" si="60"/>
        <v>#N/A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86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67">
        <f t="shared" si="56"/>
        <v>256.66666666666669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-1.7053025658242404E-13</v>
      </c>
      <c r="O128" s="13">
        <f>N128*VLOOKUP('Données projet'!$B$9,Paramètres!$A$1:$I$89,3,0)*VLOOKUP('Données projet'!$B$9,Paramètres!$A$1:$I$89,5,0)</f>
        <v>-1.0197709343628959E-13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323.17232038705157</v>
      </c>
      <c r="T128" s="59">
        <f t="shared" si="88"/>
        <v>402.34685738619197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41.526287118642891</v>
      </c>
      <c r="AA128" s="21">
        <f>EXP(-LN(2)/25)*AA127+(1-EXP(-LN(2)/25))/(LN(2)/25)*Calculateur!V128*Calculateur!X128*VLOOKUP('Données projet'!$B$9,Paramètres!$A$1:$I$89,3,0)*0.475*44/12</f>
        <v>6.5250697210512891</v>
      </c>
      <c r="AB128" s="21">
        <f>EXP(-LN(2)/2)*AB127+(1-EXP(-LN(2)/2))/(LN(2)/2)*V128*Y128*VLOOKUP('Données projet'!$B$9,Paramètres!$A$1:$I$89,3,0)*0.475*44/12</f>
        <v>1.6630871044937342E-9</v>
      </c>
      <c r="AC128" s="22">
        <f t="shared" si="57"/>
        <v>48.051356841357268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 t="e">
        <f>AI128*VLOOKUP('Données projet'!$B$10,Paramètres!$A$1:$I$89,3,0)*VLOOKUP('Données projet'!$B$10,Paramètres!$A$1:$I$89,5,0)</f>
        <v>#N/A</v>
      </c>
      <c r="AK128" s="13" t="e">
        <f t="shared" si="89"/>
        <v>#N/A</v>
      </c>
      <c r="AL128" s="20" t="e">
        <f t="shared" si="58"/>
        <v>#N/A</v>
      </c>
      <c r="AM128" s="59" t="e">
        <f t="shared" si="59"/>
        <v>#N/A</v>
      </c>
      <c r="AN128" s="59" t="e">
        <f ca="1">AVERAGE(OFFSET($AM$3,0,0,'Données projet'!$E$10+1,1))-AVERAGE(OFFSET($H$3,0,0,'Données projet'!$E$10+1,1))</f>
        <v>#N/A</v>
      </c>
      <c r="AO128" s="59" t="e">
        <f t="shared" si="90"/>
        <v>#N/A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 t="e">
        <f>EXP(-LN(2)/35)*AU127+(1-EXP(-LN(2)/35))/(LN(2)/35)*AQ128*AR128*VLOOKUP('Données projet'!$B$10,Paramètres!$A$1:$I$89,3,0)*0.475*44/12</f>
        <v>#N/A</v>
      </c>
      <c r="AV128" s="21" t="e">
        <f>EXP(-LN(2)/25)*AV127+(1-EXP(-LN(2)/25))/(LN(2)/25)*Calculateur!AQ128*Calculateur!AS128*VLOOKUP('Données projet'!$B$10,Paramètres!$A$1:$I$89,3,0)*0.475*44/12</f>
        <v>#N/A</v>
      </c>
      <c r="AW128" s="21" t="e">
        <f>EXP(-LN(2)/2)*AW127+(1-EXP(-LN(2)/2))/(LN(2)/2)*AQ128*AT128*VLOOKUP('Données projet'!$B$10,Paramètres!$A$1:$I$89,3,0)*0.475*44/12</f>
        <v>#N/A</v>
      </c>
      <c r="AX128" s="21" t="e">
        <f t="shared" si="60"/>
        <v>#N/A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86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67">
        <f t="shared" si="56"/>
        <v>256.66666666666669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-1.7053025658242404E-13</v>
      </c>
      <c r="O129" s="13">
        <f>N129*VLOOKUP('Données projet'!$B$9,Paramètres!$A$1:$I$89,3,0)*VLOOKUP('Données projet'!$B$9,Paramètres!$A$1:$I$89,5,0)</f>
        <v>-1.0197709343628959E-13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323.17232038705157</v>
      </c>
      <c r="T129" s="59">
        <f t="shared" si="88"/>
        <v>402.34685738619197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40.711981956780463</v>
      </c>
      <c r="AA129" s="21">
        <f>EXP(-LN(2)/25)*AA128+(1-EXP(-LN(2)/25))/(LN(2)/25)*Calculateur!V129*Calculateur!X129*VLOOKUP('Données projet'!$B$9,Paramètres!$A$1:$I$89,3,0)*0.475*44/12</f>
        <v>6.3466413463906379</v>
      </c>
      <c r="AB129" s="21">
        <f>EXP(-LN(2)/2)*AB128+(1-EXP(-LN(2)/2))/(LN(2)/2)*V129*Y129*VLOOKUP('Données projet'!$B$9,Paramètres!$A$1:$I$89,3,0)*0.475*44/12</f>
        <v>1.1759801692914198E-9</v>
      </c>
      <c r="AC129" s="22">
        <f t="shared" si="57"/>
        <v>47.05862330434708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 t="e">
        <f>AI129*VLOOKUP('Données projet'!$B$10,Paramètres!$A$1:$I$89,3,0)*VLOOKUP('Données projet'!$B$10,Paramètres!$A$1:$I$89,5,0)</f>
        <v>#N/A</v>
      </c>
      <c r="AK129" s="13" t="e">
        <f t="shared" si="89"/>
        <v>#N/A</v>
      </c>
      <c r="AL129" s="20" t="e">
        <f t="shared" si="58"/>
        <v>#N/A</v>
      </c>
      <c r="AM129" s="59" t="e">
        <f t="shared" si="59"/>
        <v>#N/A</v>
      </c>
      <c r="AN129" s="59" t="e">
        <f ca="1">AVERAGE(OFFSET($AM$3,0,0,'Données projet'!$E$10+1,1))-AVERAGE(OFFSET($H$3,0,0,'Données projet'!$E$10+1,1))</f>
        <v>#N/A</v>
      </c>
      <c r="AO129" s="59" t="e">
        <f t="shared" si="90"/>
        <v>#N/A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 t="e">
        <f>EXP(-LN(2)/35)*AU128+(1-EXP(-LN(2)/35))/(LN(2)/35)*AQ129*AR129*VLOOKUP('Données projet'!$B$10,Paramètres!$A$1:$I$89,3,0)*0.475*44/12</f>
        <v>#N/A</v>
      </c>
      <c r="AV129" s="21" t="e">
        <f>EXP(-LN(2)/25)*AV128+(1-EXP(-LN(2)/25))/(LN(2)/25)*Calculateur!AQ129*Calculateur!AS129*VLOOKUP('Données projet'!$B$10,Paramètres!$A$1:$I$89,3,0)*0.475*44/12</f>
        <v>#N/A</v>
      </c>
      <c r="AW129" s="21" t="e">
        <f>EXP(-LN(2)/2)*AW128+(1-EXP(-LN(2)/2))/(LN(2)/2)*AQ129*AT129*VLOOKUP('Données projet'!$B$10,Paramètres!$A$1:$I$89,3,0)*0.475*44/12</f>
        <v>#N/A</v>
      </c>
      <c r="AX129" s="21" t="e">
        <f t="shared" si="60"/>
        <v>#N/A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86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67">
        <f t="shared" si="56"/>
        <v>256.66666666666669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-1.7053025658242404E-13</v>
      </c>
      <c r="O130" s="13">
        <f>N130*VLOOKUP('Données projet'!$B$9,Paramètres!$A$1:$I$89,3,0)*VLOOKUP('Données projet'!$B$9,Paramètres!$A$1:$I$89,5,0)</f>
        <v>-1.0197709343628959E-13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323.17232038705157</v>
      </c>
      <c r="T130" s="59">
        <f t="shared" si="88"/>
        <v>402.34685738619197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39.913644822465052</v>
      </c>
      <c r="AA130" s="21">
        <f>EXP(-LN(2)/25)*AA129+(1-EXP(-LN(2)/25))/(LN(2)/25)*Calculateur!V130*Calculateur!X130*VLOOKUP('Données projet'!$B$9,Paramètres!$A$1:$I$89,3,0)*0.475*44/12</f>
        <v>6.173092105018223</v>
      </c>
      <c r="AB130" s="21">
        <f>EXP(-LN(2)/2)*AB129+(1-EXP(-LN(2)/2))/(LN(2)/2)*V130*Y130*VLOOKUP('Données projet'!$B$9,Paramètres!$A$1:$I$89,3,0)*0.475*44/12</f>
        <v>8.3154355224686708E-10</v>
      </c>
      <c r="AC130" s="22">
        <f t="shared" si="57"/>
        <v>46.086736928314814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 t="e">
        <f>AI130*VLOOKUP('Données projet'!$B$10,Paramètres!$A$1:$I$89,3,0)*VLOOKUP('Données projet'!$B$10,Paramètres!$A$1:$I$89,5,0)</f>
        <v>#N/A</v>
      </c>
      <c r="AK130" s="13" t="e">
        <f t="shared" si="89"/>
        <v>#N/A</v>
      </c>
      <c r="AL130" s="20" t="e">
        <f t="shared" si="58"/>
        <v>#N/A</v>
      </c>
      <c r="AM130" s="59" t="e">
        <f t="shared" si="59"/>
        <v>#N/A</v>
      </c>
      <c r="AN130" s="59" t="e">
        <f ca="1">AVERAGE(OFFSET($AM$3,0,0,'Données projet'!$E$10+1,1))-AVERAGE(OFFSET($H$3,0,0,'Données projet'!$E$10+1,1))</f>
        <v>#N/A</v>
      </c>
      <c r="AO130" s="59" t="e">
        <f t="shared" si="90"/>
        <v>#N/A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 t="e">
        <f>EXP(-LN(2)/35)*AU129+(1-EXP(-LN(2)/35))/(LN(2)/35)*AQ130*AR130*VLOOKUP('Données projet'!$B$10,Paramètres!$A$1:$I$89,3,0)*0.475*44/12</f>
        <v>#N/A</v>
      </c>
      <c r="AV130" s="21" t="e">
        <f>EXP(-LN(2)/25)*AV129+(1-EXP(-LN(2)/25))/(LN(2)/25)*Calculateur!AQ130*Calculateur!AS130*VLOOKUP('Données projet'!$B$10,Paramètres!$A$1:$I$89,3,0)*0.475*44/12</f>
        <v>#N/A</v>
      </c>
      <c r="AW130" s="21" t="e">
        <f>EXP(-LN(2)/2)*AW129+(1-EXP(-LN(2)/2))/(LN(2)/2)*AQ130*AT130*VLOOKUP('Données projet'!$B$10,Paramètres!$A$1:$I$89,3,0)*0.475*44/12</f>
        <v>#N/A</v>
      </c>
      <c r="AX130" s="21" t="e">
        <f t="shared" si="60"/>
        <v>#N/A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86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67">
        <f t="shared" si="56"/>
        <v>256.66666666666669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-1.7053025658242404E-13</v>
      </c>
      <c r="O131" s="13">
        <f>N131*VLOOKUP('Données projet'!$B$9,Paramètres!$A$1:$I$89,3,0)*VLOOKUP('Données projet'!$B$9,Paramètres!$A$1:$I$89,5,0)</f>
        <v>-1.0197709343628959E-13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323.17232038705157</v>
      </c>
      <c r="T131" s="59">
        <f t="shared" si="88"/>
        <v>402.34685738619197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39.13096259241599</v>
      </c>
      <c r="AA131" s="21">
        <f>EXP(-LN(2)/25)*AA130+(1-EXP(-LN(2)/25))/(LN(2)/25)*Calculateur!V131*Calculateur!X131*VLOOKUP('Données projet'!$B$9,Paramètres!$A$1:$I$89,3,0)*0.475*44/12</f>
        <v>6.0042885767776948</v>
      </c>
      <c r="AB131" s="21">
        <f>EXP(-LN(2)/2)*AB130+(1-EXP(-LN(2)/2))/(LN(2)/2)*V131*Y131*VLOOKUP('Données projet'!$B$9,Paramètres!$A$1:$I$89,3,0)*0.475*44/12</f>
        <v>5.8799008464570988E-10</v>
      </c>
      <c r="AC131" s="22">
        <f t="shared" si="57"/>
        <v>45.135251169781675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 t="e">
        <f>AI131*VLOOKUP('Données projet'!$B$10,Paramètres!$A$1:$I$89,3,0)*VLOOKUP('Données projet'!$B$10,Paramètres!$A$1:$I$89,5,0)</f>
        <v>#N/A</v>
      </c>
      <c r="AK131" s="13" t="e">
        <f t="shared" si="89"/>
        <v>#N/A</v>
      </c>
      <c r="AL131" s="20" t="e">
        <f t="shared" si="58"/>
        <v>#N/A</v>
      </c>
      <c r="AM131" s="59" t="e">
        <f t="shared" si="59"/>
        <v>#N/A</v>
      </c>
      <c r="AN131" s="59" t="e">
        <f ca="1">AVERAGE(OFFSET($AM$3,0,0,'Données projet'!$E$10+1,1))-AVERAGE(OFFSET($H$3,0,0,'Données projet'!$E$10+1,1))</f>
        <v>#N/A</v>
      </c>
      <c r="AO131" s="59" t="e">
        <f t="shared" si="90"/>
        <v>#N/A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 t="e">
        <f>EXP(-LN(2)/35)*AU130+(1-EXP(-LN(2)/35))/(LN(2)/35)*AQ131*AR131*VLOOKUP('Données projet'!$B$10,Paramètres!$A$1:$I$89,3,0)*0.475*44/12</f>
        <v>#N/A</v>
      </c>
      <c r="AV131" s="21" t="e">
        <f>EXP(-LN(2)/25)*AV130+(1-EXP(-LN(2)/25))/(LN(2)/25)*Calculateur!AQ131*Calculateur!AS131*VLOOKUP('Données projet'!$B$10,Paramètres!$A$1:$I$89,3,0)*0.475*44/12</f>
        <v>#N/A</v>
      </c>
      <c r="AW131" s="21" t="e">
        <f>EXP(-LN(2)/2)*AW130+(1-EXP(-LN(2)/2))/(LN(2)/2)*AQ131*AT131*VLOOKUP('Données projet'!$B$10,Paramètres!$A$1:$I$89,3,0)*0.475*44/12</f>
        <v>#N/A</v>
      </c>
      <c r="AX131" s="21" t="e">
        <f t="shared" si="60"/>
        <v>#N/A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86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67">
        <f t="shared" ref="H132:H195" si="110">(B132+E132+F132)*44/12+(C132+D132)*0.475*44/12</f>
        <v>256.66666666666669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-1.7053025658242404E-13</v>
      </c>
      <c r="O132" s="13">
        <f>N132*VLOOKUP('Données projet'!$B$9,Paramètres!$A$1:$I$89,3,0)*VLOOKUP('Données projet'!$B$9,Paramètres!$A$1:$I$89,5,0)</f>
        <v>-1.0197709343628959E-13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323.17232038705157</v>
      </c>
      <c r="T132" s="59">
        <f t="shared" si="88"/>
        <v>402.34685738619197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38.363628283509172</v>
      </c>
      <c r="AA132" s="21">
        <f>EXP(-LN(2)/25)*AA131+(1-EXP(-LN(2)/25))/(LN(2)/25)*Calculateur!V132*Calculateur!X132*VLOOKUP('Données projet'!$B$9,Paramètres!$A$1:$I$89,3,0)*0.475*44/12</f>
        <v>5.8401009898938954</v>
      </c>
      <c r="AB132" s="21">
        <f>EXP(-LN(2)/2)*AB131+(1-EXP(-LN(2)/2))/(LN(2)/2)*V132*Y132*VLOOKUP('Données projet'!$B$9,Paramètres!$A$1:$I$89,3,0)*0.475*44/12</f>
        <v>4.1577177612343354E-10</v>
      </c>
      <c r="AC132" s="22">
        <f t="shared" ref="AC132:AC153" si="111">SUM(Z132:AB132)</f>
        <v>44.203729273818844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 t="e">
        <f>AI132*VLOOKUP('Données projet'!$B$10,Paramètres!$A$1:$I$89,3,0)*VLOOKUP('Données projet'!$B$10,Paramètres!$A$1:$I$89,5,0)</f>
        <v>#N/A</v>
      </c>
      <c r="AK132" s="13" t="e">
        <f t="shared" si="89"/>
        <v>#N/A</v>
      </c>
      <c r="AL132" s="20" t="e">
        <f t="shared" ref="AL132:AL153" si="112">(AJ132+AK132)*0.475*44/12</f>
        <v>#N/A</v>
      </c>
      <c r="AM132" s="59" t="e">
        <f t="shared" ref="AM132:AM195" si="113">AL132+(AD132+AE132)*44/12</f>
        <v>#N/A</v>
      </c>
      <c r="AN132" s="59" t="e">
        <f ca="1">AVERAGE(OFFSET($AM$3,0,0,'Données projet'!$E$10+1,1))-AVERAGE(OFFSET($H$3,0,0,'Données projet'!$E$10+1,1))</f>
        <v>#N/A</v>
      </c>
      <c r="AO132" s="59" t="e">
        <f t="shared" si="90"/>
        <v>#N/A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 t="e">
        <f>EXP(-LN(2)/35)*AU131+(1-EXP(-LN(2)/35))/(LN(2)/35)*AQ132*AR132*VLOOKUP('Données projet'!$B$10,Paramètres!$A$1:$I$89,3,0)*0.475*44/12</f>
        <v>#N/A</v>
      </c>
      <c r="AV132" s="21" t="e">
        <f>EXP(-LN(2)/25)*AV131+(1-EXP(-LN(2)/25))/(LN(2)/25)*Calculateur!AQ132*Calculateur!AS132*VLOOKUP('Données projet'!$B$10,Paramètres!$A$1:$I$89,3,0)*0.475*44/12</f>
        <v>#N/A</v>
      </c>
      <c r="AW132" s="21" t="e">
        <f>EXP(-LN(2)/2)*AW131+(1-EXP(-LN(2)/2))/(LN(2)/2)*AQ132*AT132*VLOOKUP('Données projet'!$B$10,Paramètres!$A$1:$I$89,3,0)*0.475*44/12</f>
        <v>#N/A</v>
      </c>
      <c r="AX132" s="21" t="e">
        <f t="shared" ref="AX132:AX153" si="114">SUM(AU132:AW132)</f>
        <v>#N/A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140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67">
        <f t="shared" si="110"/>
        <v>256.66666666666669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-1.7053025658242404E-13</v>
      </c>
      <c r="O133" s="13">
        <f>N133*VLOOKUP('Données projet'!$B$9,Paramètres!$A$1:$I$89,3,0)*VLOOKUP('Données projet'!$B$9,Paramètres!$A$1:$I$89,5,0)</f>
        <v>-1.0197709343628959E-13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323.17232038705157</v>
      </c>
      <c r="T133" s="59">
        <f t="shared" ref="T133:T196" si="142">$T$3</f>
        <v>402.34685738619197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37.6113409323723</v>
      </c>
      <c r="AA133" s="21">
        <f>EXP(-LN(2)/25)*AA132+(1-EXP(-LN(2)/25))/(LN(2)/25)*Calculateur!V133*Calculateur!X133*VLOOKUP('Données projet'!$B$9,Paramètres!$A$1:$I$89,3,0)*0.475*44/12</f>
        <v>5.6804031212076831</v>
      </c>
      <c r="AB133" s="21">
        <f>EXP(-LN(2)/2)*AB132+(1-EXP(-LN(2)/2))/(LN(2)/2)*V133*Y133*VLOOKUP('Données projet'!$B$9,Paramètres!$A$1:$I$89,3,0)*0.475*44/12</f>
        <v>2.9399504232285494E-10</v>
      </c>
      <c r="AC133" s="22">
        <f t="shared" si="111"/>
        <v>43.291744053873977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 t="e">
        <f>AI133*VLOOKUP('Données projet'!$B$10,Paramètres!$A$1:$I$89,3,0)*VLOOKUP('Données projet'!$B$10,Paramètres!$A$1:$I$89,5,0)</f>
        <v>#N/A</v>
      </c>
      <c r="AK133" s="13" t="e">
        <f t="shared" ref="AK133:AK153" si="143">EXP(-1.0587+0.8836*LN(AJ133)+0.284)</f>
        <v>#N/A</v>
      </c>
      <c r="AL133" s="20" t="e">
        <f t="shared" si="112"/>
        <v>#N/A</v>
      </c>
      <c r="AM133" s="59" t="e">
        <f t="shared" si="113"/>
        <v>#N/A</v>
      </c>
      <c r="AN133" s="59" t="e">
        <f ca="1">AVERAGE(OFFSET($AM$3,0,0,'Données projet'!$E$10+1,1))-AVERAGE(OFFSET($H$3,0,0,'Données projet'!$E$10+1,1))</f>
        <v>#N/A</v>
      </c>
      <c r="AO133" s="59" t="e">
        <f t="shared" ref="AO133:AO196" si="144">$AO$3</f>
        <v>#N/A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 t="e">
        <f>EXP(-LN(2)/35)*AU132+(1-EXP(-LN(2)/35))/(LN(2)/35)*AQ133*AR133*VLOOKUP('Données projet'!$B$10,Paramètres!$A$1:$I$89,3,0)*0.475*44/12</f>
        <v>#N/A</v>
      </c>
      <c r="AV133" s="21" t="e">
        <f>EXP(-LN(2)/25)*AV132+(1-EXP(-LN(2)/25))/(LN(2)/25)*Calculateur!AQ133*Calculateur!AS133*VLOOKUP('Données projet'!$B$10,Paramètres!$A$1:$I$89,3,0)*0.475*44/12</f>
        <v>#N/A</v>
      </c>
      <c r="AW133" s="21" t="e">
        <f>EXP(-LN(2)/2)*AW132+(1-EXP(-LN(2)/2))/(LN(2)/2)*AQ133*AT133*VLOOKUP('Données projet'!$B$10,Paramètres!$A$1:$I$89,3,0)*0.475*44/12</f>
        <v>#N/A</v>
      </c>
      <c r="AX133" s="21" t="e">
        <f t="shared" si="114"/>
        <v>#N/A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40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67">
        <f t="shared" si="110"/>
        <v>256.66666666666669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-1.7053025658242404E-13</v>
      </c>
      <c r="O134" s="13">
        <f>N134*VLOOKUP('Données projet'!$B$9,Paramètres!$A$1:$I$89,3,0)*VLOOKUP('Données projet'!$B$9,Paramètres!$A$1:$I$89,5,0)</f>
        <v>-1.0197709343628959E-13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323.17232038705157</v>
      </c>
      <c r="T134" s="59">
        <f t="shared" si="142"/>
        <v>402.34685738619197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36.87380547734125</v>
      </c>
      <c r="AA134" s="21">
        <f>EXP(-LN(2)/25)*AA133+(1-EXP(-LN(2)/25))/(LN(2)/25)*Calculateur!V134*Calculateur!X134*VLOOKUP('Données projet'!$B$9,Paramètres!$A$1:$I$89,3,0)*0.475*44/12</f>
        <v>5.5250721991388412</v>
      </c>
      <c r="AB134" s="21">
        <f>EXP(-LN(2)/2)*AB133+(1-EXP(-LN(2)/2))/(LN(2)/2)*V134*Y134*VLOOKUP('Données projet'!$B$9,Paramètres!$A$1:$I$89,3,0)*0.475*44/12</f>
        <v>2.0788588806171677E-10</v>
      </c>
      <c r="AC134" s="22">
        <f t="shared" si="111"/>
        <v>42.398877676687974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 t="e">
        <f>AI134*VLOOKUP('Données projet'!$B$10,Paramètres!$A$1:$I$89,3,0)*VLOOKUP('Données projet'!$B$10,Paramètres!$A$1:$I$89,5,0)</f>
        <v>#N/A</v>
      </c>
      <c r="AK134" s="13" t="e">
        <f t="shared" si="143"/>
        <v>#N/A</v>
      </c>
      <c r="AL134" s="20" t="e">
        <f t="shared" si="112"/>
        <v>#N/A</v>
      </c>
      <c r="AM134" s="59" t="e">
        <f t="shared" si="113"/>
        <v>#N/A</v>
      </c>
      <c r="AN134" s="59" t="e">
        <f ca="1">AVERAGE(OFFSET($AM$3,0,0,'Données projet'!$E$10+1,1))-AVERAGE(OFFSET($H$3,0,0,'Données projet'!$E$10+1,1))</f>
        <v>#N/A</v>
      </c>
      <c r="AO134" s="59" t="e">
        <f t="shared" si="144"/>
        <v>#N/A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 t="e">
        <f>EXP(-LN(2)/35)*AU133+(1-EXP(-LN(2)/35))/(LN(2)/35)*AQ134*AR134*VLOOKUP('Données projet'!$B$10,Paramètres!$A$1:$I$89,3,0)*0.475*44/12</f>
        <v>#N/A</v>
      </c>
      <c r="AV134" s="21" t="e">
        <f>EXP(-LN(2)/25)*AV133+(1-EXP(-LN(2)/25))/(LN(2)/25)*Calculateur!AQ134*Calculateur!AS134*VLOOKUP('Données projet'!$B$10,Paramètres!$A$1:$I$89,3,0)*0.475*44/12</f>
        <v>#N/A</v>
      </c>
      <c r="AW134" s="21" t="e">
        <f>EXP(-LN(2)/2)*AW133+(1-EXP(-LN(2)/2))/(LN(2)/2)*AQ134*AT134*VLOOKUP('Données projet'!$B$10,Paramètres!$A$1:$I$89,3,0)*0.475*44/12</f>
        <v>#N/A</v>
      </c>
      <c r="AX134" s="21" t="e">
        <f t="shared" si="114"/>
        <v>#N/A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40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67">
        <f t="shared" si="110"/>
        <v>256.66666666666669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-1.7053025658242404E-13</v>
      </c>
      <c r="O135" s="13">
        <f>N135*VLOOKUP('Données projet'!$B$9,Paramètres!$A$1:$I$89,3,0)*VLOOKUP('Données projet'!$B$9,Paramètres!$A$1:$I$89,5,0)</f>
        <v>-1.0197709343628959E-13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323.17232038705157</v>
      </c>
      <c r="T135" s="59">
        <f t="shared" si="142"/>
        <v>402.34685738619197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36.15073264273115</v>
      </c>
      <c r="AA135" s="21">
        <f>EXP(-LN(2)/25)*AA134+(1-EXP(-LN(2)/25))/(LN(2)/25)*Calculateur!V135*Calculateur!X135*VLOOKUP('Données projet'!$B$9,Paramètres!$A$1:$I$89,3,0)*0.475*44/12</f>
        <v>5.3739888093024701</v>
      </c>
      <c r="AB135" s="21">
        <f>EXP(-LN(2)/2)*AB134+(1-EXP(-LN(2)/2))/(LN(2)/2)*V135*Y135*VLOOKUP('Données projet'!$B$9,Paramètres!$A$1:$I$89,3,0)*0.475*44/12</f>
        <v>1.4699752116142747E-10</v>
      </c>
      <c r="AC135" s="22">
        <f t="shared" si="111"/>
        <v>41.524721452180614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 t="e">
        <f>AI135*VLOOKUP('Données projet'!$B$10,Paramètres!$A$1:$I$89,3,0)*VLOOKUP('Données projet'!$B$10,Paramètres!$A$1:$I$89,5,0)</f>
        <v>#N/A</v>
      </c>
      <c r="AK135" s="13" t="e">
        <f t="shared" si="143"/>
        <v>#N/A</v>
      </c>
      <c r="AL135" s="20" t="e">
        <f t="shared" si="112"/>
        <v>#N/A</v>
      </c>
      <c r="AM135" s="59" t="e">
        <f t="shared" si="113"/>
        <v>#N/A</v>
      </c>
      <c r="AN135" s="59" t="e">
        <f ca="1">AVERAGE(OFFSET($AM$3,0,0,'Données projet'!$E$10+1,1))-AVERAGE(OFFSET($H$3,0,0,'Données projet'!$E$10+1,1))</f>
        <v>#N/A</v>
      </c>
      <c r="AO135" s="59" t="e">
        <f t="shared" si="144"/>
        <v>#N/A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 t="e">
        <f>EXP(-LN(2)/35)*AU134+(1-EXP(-LN(2)/35))/(LN(2)/35)*AQ135*AR135*VLOOKUP('Données projet'!$B$10,Paramètres!$A$1:$I$89,3,0)*0.475*44/12</f>
        <v>#N/A</v>
      </c>
      <c r="AV135" s="21" t="e">
        <f>EXP(-LN(2)/25)*AV134+(1-EXP(-LN(2)/25))/(LN(2)/25)*Calculateur!AQ135*Calculateur!AS135*VLOOKUP('Données projet'!$B$10,Paramètres!$A$1:$I$89,3,0)*0.475*44/12</f>
        <v>#N/A</v>
      </c>
      <c r="AW135" s="21" t="e">
        <f>EXP(-LN(2)/2)*AW134+(1-EXP(-LN(2)/2))/(LN(2)/2)*AQ135*AT135*VLOOKUP('Données projet'!$B$10,Paramètres!$A$1:$I$89,3,0)*0.475*44/12</f>
        <v>#N/A</v>
      </c>
      <c r="AX135" s="21" t="e">
        <f t="shared" si="114"/>
        <v>#N/A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40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67">
        <f t="shared" si="110"/>
        <v>256.66666666666669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-1.7053025658242404E-13</v>
      </c>
      <c r="O136" s="13">
        <f>N136*VLOOKUP('Données projet'!$B$9,Paramètres!$A$1:$I$89,3,0)*VLOOKUP('Données projet'!$B$9,Paramètres!$A$1:$I$89,5,0)</f>
        <v>-1.0197709343628959E-13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323.17232038705157</v>
      </c>
      <c r="T136" s="59">
        <f t="shared" si="142"/>
        <v>402.34685738619197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35.44183882537687</v>
      </c>
      <c r="AA136" s="21">
        <f>EXP(-LN(2)/25)*AA135+(1-EXP(-LN(2)/25))/(LN(2)/25)*Calculateur!V136*Calculateur!X136*VLOOKUP('Données projet'!$B$9,Paramètres!$A$1:$I$89,3,0)*0.475*44/12</f>
        <v>5.227036802706305</v>
      </c>
      <c r="AB136" s="21">
        <f>EXP(-LN(2)/2)*AB135+(1-EXP(-LN(2)/2))/(LN(2)/2)*V136*Y136*VLOOKUP('Données projet'!$B$9,Paramètres!$A$1:$I$89,3,0)*0.475*44/12</f>
        <v>1.0394294403085838E-10</v>
      </c>
      <c r="AC136" s="22">
        <f t="shared" si="111"/>
        <v>40.668875628187116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 t="e">
        <f>AI136*VLOOKUP('Données projet'!$B$10,Paramètres!$A$1:$I$89,3,0)*VLOOKUP('Données projet'!$B$10,Paramètres!$A$1:$I$89,5,0)</f>
        <v>#N/A</v>
      </c>
      <c r="AK136" s="13" t="e">
        <f t="shared" si="143"/>
        <v>#N/A</v>
      </c>
      <c r="AL136" s="20" t="e">
        <f t="shared" si="112"/>
        <v>#N/A</v>
      </c>
      <c r="AM136" s="59" t="e">
        <f t="shared" si="113"/>
        <v>#N/A</v>
      </c>
      <c r="AN136" s="59" t="e">
        <f ca="1">AVERAGE(OFFSET($AM$3,0,0,'Données projet'!$E$10+1,1))-AVERAGE(OFFSET($H$3,0,0,'Données projet'!$E$10+1,1))</f>
        <v>#N/A</v>
      </c>
      <c r="AO136" s="59" t="e">
        <f t="shared" si="144"/>
        <v>#N/A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 t="e">
        <f>EXP(-LN(2)/35)*AU135+(1-EXP(-LN(2)/35))/(LN(2)/35)*AQ136*AR136*VLOOKUP('Données projet'!$B$10,Paramètres!$A$1:$I$89,3,0)*0.475*44/12</f>
        <v>#N/A</v>
      </c>
      <c r="AV136" s="21" t="e">
        <f>EXP(-LN(2)/25)*AV135+(1-EXP(-LN(2)/25))/(LN(2)/25)*Calculateur!AQ136*Calculateur!AS136*VLOOKUP('Données projet'!$B$10,Paramètres!$A$1:$I$89,3,0)*0.475*44/12</f>
        <v>#N/A</v>
      </c>
      <c r="AW136" s="21" t="e">
        <f>EXP(-LN(2)/2)*AW135+(1-EXP(-LN(2)/2))/(LN(2)/2)*AQ136*AT136*VLOOKUP('Données projet'!$B$10,Paramètres!$A$1:$I$89,3,0)*0.475*44/12</f>
        <v>#N/A</v>
      </c>
      <c r="AX136" s="21" t="e">
        <f t="shared" si="114"/>
        <v>#N/A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40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67">
        <f t="shared" si="110"/>
        <v>256.66666666666669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-1.7053025658242404E-13</v>
      </c>
      <c r="O137" s="13">
        <f>N137*VLOOKUP('Données projet'!$B$9,Paramètres!$A$1:$I$89,3,0)*VLOOKUP('Données projet'!$B$9,Paramètres!$A$1:$I$89,5,0)</f>
        <v>-1.0197709343628959E-13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323.17232038705157</v>
      </c>
      <c r="T137" s="59">
        <f t="shared" si="142"/>
        <v>402.34685738619197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34.746845983398373</v>
      </c>
      <c r="AA137" s="21">
        <f>EXP(-LN(2)/25)*AA136+(1-EXP(-LN(2)/25))/(LN(2)/25)*Calculateur!V137*Calculateur!X137*VLOOKUP('Données projet'!$B$9,Paramètres!$A$1:$I$89,3,0)*0.475*44/12</f>
        <v>5.0841032064583818</v>
      </c>
      <c r="AB137" s="21">
        <f>EXP(-LN(2)/2)*AB136+(1-EXP(-LN(2)/2))/(LN(2)/2)*V137*Y137*VLOOKUP('Données projet'!$B$9,Paramètres!$A$1:$I$89,3,0)*0.475*44/12</f>
        <v>7.3498760580713735E-11</v>
      </c>
      <c r="AC137" s="22">
        <f t="shared" si="111"/>
        <v>39.830949189930251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 t="e">
        <f>AI137*VLOOKUP('Données projet'!$B$10,Paramètres!$A$1:$I$89,3,0)*VLOOKUP('Données projet'!$B$10,Paramètres!$A$1:$I$89,5,0)</f>
        <v>#N/A</v>
      </c>
      <c r="AK137" s="13" t="e">
        <f t="shared" si="143"/>
        <v>#N/A</v>
      </c>
      <c r="AL137" s="20" t="e">
        <f t="shared" si="112"/>
        <v>#N/A</v>
      </c>
      <c r="AM137" s="59" t="e">
        <f t="shared" si="113"/>
        <v>#N/A</v>
      </c>
      <c r="AN137" s="59" t="e">
        <f ca="1">AVERAGE(OFFSET($AM$3,0,0,'Données projet'!$E$10+1,1))-AVERAGE(OFFSET($H$3,0,0,'Données projet'!$E$10+1,1))</f>
        <v>#N/A</v>
      </c>
      <c r="AO137" s="59" t="e">
        <f t="shared" si="144"/>
        <v>#N/A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 t="e">
        <f>EXP(-LN(2)/35)*AU136+(1-EXP(-LN(2)/35))/(LN(2)/35)*AQ137*AR137*VLOOKUP('Données projet'!$B$10,Paramètres!$A$1:$I$89,3,0)*0.475*44/12</f>
        <v>#N/A</v>
      </c>
      <c r="AV137" s="21" t="e">
        <f>EXP(-LN(2)/25)*AV136+(1-EXP(-LN(2)/25))/(LN(2)/25)*Calculateur!AQ137*Calculateur!AS137*VLOOKUP('Données projet'!$B$10,Paramètres!$A$1:$I$89,3,0)*0.475*44/12</f>
        <v>#N/A</v>
      </c>
      <c r="AW137" s="21" t="e">
        <f>EXP(-LN(2)/2)*AW136+(1-EXP(-LN(2)/2))/(LN(2)/2)*AQ137*AT137*VLOOKUP('Données projet'!$B$10,Paramètres!$A$1:$I$89,3,0)*0.475*44/12</f>
        <v>#N/A</v>
      </c>
      <c r="AX137" s="21" t="e">
        <f t="shared" si="114"/>
        <v>#N/A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40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67">
        <f t="shared" si="110"/>
        <v>256.66666666666669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-1.7053025658242404E-13</v>
      </c>
      <c r="O138" s="13">
        <f>N138*VLOOKUP('Données projet'!$B$9,Paramètres!$A$1:$I$89,3,0)*VLOOKUP('Données projet'!$B$9,Paramètres!$A$1:$I$89,5,0)</f>
        <v>-1.0197709343628959E-13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323.17232038705157</v>
      </c>
      <c r="T138" s="59">
        <f t="shared" si="142"/>
        <v>402.34685738619197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34.065481527147298</v>
      </c>
      <c r="AA138" s="21">
        <f>EXP(-LN(2)/25)*AA137+(1-EXP(-LN(2)/25))/(LN(2)/25)*Calculateur!V138*Calculateur!X138*VLOOKUP('Données projet'!$B$9,Paramètres!$A$1:$I$89,3,0)*0.475*44/12</f>
        <v>4.9450781369164094</v>
      </c>
      <c r="AB138" s="21">
        <f>EXP(-LN(2)/2)*AB137+(1-EXP(-LN(2)/2))/(LN(2)/2)*V138*Y138*VLOOKUP('Données projet'!$B$9,Paramètres!$A$1:$I$89,3,0)*0.475*44/12</f>
        <v>5.1971472015429192E-11</v>
      </c>
      <c r="AC138" s="22">
        <f t="shared" si="111"/>
        <v>39.010559664115675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 t="e">
        <f>AI138*VLOOKUP('Données projet'!$B$10,Paramètres!$A$1:$I$89,3,0)*VLOOKUP('Données projet'!$B$10,Paramètres!$A$1:$I$89,5,0)</f>
        <v>#N/A</v>
      </c>
      <c r="AK138" s="13" t="e">
        <f t="shared" si="143"/>
        <v>#N/A</v>
      </c>
      <c r="AL138" s="20" t="e">
        <f t="shared" si="112"/>
        <v>#N/A</v>
      </c>
      <c r="AM138" s="59" t="e">
        <f t="shared" si="113"/>
        <v>#N/A</v>
      </c>
      <c r="AN138" s="59" t="e">
        <f ca="1">AVERAGE(OFFSET($AM$3,0,0,'Données projet'!$E$10+1,1))-AVERAGE(OFFSET($H$3,0,0,'Données projet'!$E$10+1,1))</f>
        <v>#N/A</v>
      </c>
      <c r="AO138" s="59" t="e">
        <f t="shared" si="144"/>
        <v>#N/A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 t="e">
        <f>EXP(-LN(2)/35)*AU137+(1-EXP(-LN(2)/35))/(LN(2)/35)*AQ138*AR138*VLOOKUP('Données projet'!$B$10,Paramètres!$A$1:$I$89,3,0)*0.475*44/12</f>
        <v>#N/A</v>
      </c>
      <c r="AV138" s="21" t="e">
        <f>EXP(-LN(2)/25)*AV137+(1-EXP(-LN(2)/25))/(LN(2)/25)*Calculateur!AQ138*Calculateur!AS138*VLOOKUP('Données projet'!$B$10,Paramètres!$A$1:$I$89,3,0)*0.475*44/12</f>
        <v>#N/A</v>
      </c>
      <c r="AW138" s="21" t="e">
        <f>EXP(-LN(2)/2)*AW137+(1-EXP(-LN(2)/2))/(LN(2)/2)*AQ138*AT138*VLOOKUP('Données projet'!$B$10,Paramètres!$A$1:$I$89,3,0)*0.475*44/12</f>
        <v>#N/A</v>
      </c>
      <c r="AX138" s="21" t="e">
        <f t="shared" si="114"/>
        <v>#N/A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40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67">
        <f t="shared" si="110"/>
        <v>256.66666666666669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-1.7053025658242404E-13</v>
      </c>
      <c r="O139" s="13">
        <f>N139*VLOOKUP('Données projet'!$B$9,Paramètres!$A$1:$I$89,3,0)*VLOOKUP('Données projet'!$B$9,Paramètres!$A$1:$I$89,5,0)</f>
        <v>-1.0197709343628959E-13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323.17232038705157</v>
      </c>
      <c r="T139" s="59">
        <f t="shared" si="142"/>
        <v>402.34685738619197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33.397478212292022</v>
      </c>
      <c r="AA139" s="21">
        <f>EXP(-LN(2)/25)*AA138+(1-EXP(-LN(2)/25))/(LN(2)/25)*Calculateur!V139*Calculateur!X139*VLOOKUP('Données projet'!$B$9,Paramètres!$A$1:$I$89,3,0)*0.475*44/12</f>
        <v>4.8098547152120732</v>
      </c>
      <c r="AB139" s="21">
        <f>EXP(-LN(2)/2)*AB138+(1-EXP(-LN(2)/2))/(LN(2)/2)*V139*Y139*VLOOKUP('Données projet'!$B$9,Paramètres!$A$1:$I$89,3,0)*0.475*44/12</f>
        <v>3.6749380290356867E-11</v>
      </c>
      <c r="AC139" s="22">
        <f t="shared" si="111"/>
        <v>38.207332927540847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 t="e">
        <f>AI139*VLOOKUP('Données projet'!$B$10,Paramètres!$A$1:$I$89,3,0)*VLOOKUP('Données projet'!$B$10,Paramètres!$A$1:$I$89,5,0)</f>
        <v>#N/A</v>
      </c>
      <c r="AK139" s="13" t="e">
        <f t="shared" si="143"/>
        <v>#N/A</v>
      </c>
      <c r="AL139" s="20" t="e">
        <f t="shared" si="112"/>
        <v>#N/A</v>
      </c>
      <c r="AM139" s="59" t="e">
        <f t="shared" si="113"/>
        <v>#N/A</v>
      </c>
      <c r="AN139" s="59" t="e">
        <f ca="1">AVERAGE(OFFSET($AM$3,0,0,'Données projet'!$E$10+1,1))-AVERAGE(OFFSET($H$3,0,0,'Données projet'!$E$10+1,1))</f>
        <v>#N/A</v>
      </c>
      <c r="AO139" s="59" t="e">
        <f t="shared" si="144"/>
        <v>#N/A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 t="e">
        <f>EXP(-LN(2)/35)*AU138+(1-EXP(-LN(2)/35))/(LN(2)/35)*AQ139*AR139*VLOOKUP('Données projet'!$B$10,Paramètres!$A$1:$I$89,3,0)*0.475*44/12</f>
        <v>#N/A</v>
      </c>
      <c r="AV139" s="21" t="e">
        <f>EXP(-LN(2)/25)*AV138+(1-EXP(-LN(2)/25))/(LN(2)/25)*Calculateur!AQ139*Calculateur!AS139*VLOOKUP('Données projet'!$B$10,Paramètres!$A$1:$I$89,3,0)*0.475*44/12</f>
        <v>#N/A</v>
      </c>
      <c r="AW139" s="21" t="e">
        <f>EXP(-LN(2)/2)*AW138+(1-EXP(-LN(2)/2))/(LN(2)/2)*AQ139*AT139*VLOOKUP('Données projet'!$B$10,Paramètres!$A$1:$I$89,3,0)*0.475*44/12</f>
        <v>#N/A</v>
      </c>
      <c r="AX139" s="21" t="e">
        <f t="shared" si="114"/>
        <v>#N/A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40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67">
        <f t="shared" si="110"/>
        <v>256.66666666666669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-1.7053025658242404E-13</v>
      </c>
      <c r="O140" s="13">
        <f>N140*VLOOKUP('Données projet'!$B$9,Paramètres!$A$1:$I$89,3,0)*VLOOKUP('Données projet'!$B$9,Paramètres!$A$1:$I$89,5,0)</f>
        <v>-1.0197709343628959E-13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323.17232038705157</v>
      </c>
      <c r="T140" s="59">
        <f t="shared" si="142"/>
        <v>402.34685738619197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32.742574034999272</v>
      </c>
      <c r="AA140" s="21">
        <f>EXP(-LN(2)/25)*AA139+(1-EXP(-LN(2)/25))/(LN(2)/25)*Calculateur!V140*Calculateur!X140*VLOOKUP('Données projet'!$B$9,Paramètres!$A$1:$I$89,3,0)*0.475*44/12</f>
        <v>4.6783289850853329</v>
      </c>
      <c r="AB140" s="21">
        <f>EXP(-LN(2)/2)*AB139+(1-EXP(-LN(2)/2))/(LN(2)/2)*V140*Y140*VLOOKUP('Données projet'!$B$9,Paramètres!$A$1:$I$89,3,0)*0.475*44/12</f>
        <v>2.5985736007714596E-11</v>
      </c>
      <c r="AC140" s="22">
        <f t="shared" si="111"/>
        <v>37.420903020110593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 t="e">
        <f>AI140*VLOOKUP('Données projet'!$B$10,Paramètres!$A$1:$I$89,3,0)*VLOOKUP('Données projet'!$B$10,Paramètres!$A$1:$I$89,5,0)</f>
        <v>#N/A</v>
      </c>
      <c r="AK140" s="13" t="e">
        <f t="shared" si="143"/>
        <v>#N/A</v>
      </c>
      <c r="AL140" s="20" t="e">
        <f t="shared" si="112"/>
        <v>#N/A</v>
      </c>
      <c r="AM140" s="59" t="e">
        <f t="shared" si="113"/>
        <v>#N/A</v>
      </c>
      <c r="AN140" s="59" t="e">
        <f ca="1">AVERAGE(OFFSET($AM$3,0,0,'Données projet'!$E$10+1,1))-AVERAGE(OFFSET($H$3,0,0,'Données projet'!$E$10+1,1))</f>
        <v>#N/A</v>
      </c>
      <c r="AO140" s="59" t="e">
        <f t="shared" si="144"/>
        <v>#N/A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 t="e">
        <f>EXP(-LN(2)/35)*AU139+(1-EXP(-LN(2)/35))/(LN(2)/35)*AQ140*AR140*VLOOKUP('Données projet'!$B$10,Paramètres!$A$1:$I$89,3,0)*0.475*44/12</f>
        <v>#N/A</v>
      </c>
      <c r="AV140" s="21" t="e">
        <f>EXP(-LN(2)/25)*AV139+(1-EXP(-LN(2)/25))/(LN(2)/25)*Calculateur!AQ140*Calculateur!AS140*VLOOKUP('Données projet'!$B$10,Paramètres!$A$1:$I$89,3,0)*0.475*44/12</f>
        <v>#N/A</v>
      </c>
      <c r="AW140" s="21" t="e">
        <f>EXP(-LN(2)/2)*AW139+(1-EXP(-LN(2)/2))/(LN(2)/2)*AQ140*AT140*VLOOKUP('Données projet'!$B$10,Paramètres!$A$1:$I$89,3,0)*0.475*44/12</f>
        <v>#N/A</v>
      </c>
      <c r="AX140" s="21" t="e">
        <f t="shared" si="114"/>
        <v>#N/A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40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67">
        <f t="shared" si="110"/>
        <v>256.66666666666669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-1.7053025658242404E-13</v>
      </c>
      <c r="O141" s="13">
        <f>N141*VLOOKUP('Données projet'!$B$9,Paramètres!$A$1:$I$89,3,0)*VLOOKUP('Données projet'!$B$9,Paramètres!$A$1:$I$89,5,0)</f>
        <v>-1.0197709343628959E-13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323.17232038705157</v>
      </c>
      <c r="T141" s="59">
        <f t="shared" si="142"/>
        <v>402.34685738619197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32.100512129171129</v>
      </c>
      <c r="AA141" s="21">
        <f>EXP(-LN(2)/25)*AA140+(1-EXP(-LN(2)/25))/(LN(2)/25)*Calculateur!V141*Calculateur!X141*VLOOKUP('Données projet'!$B$9,Paramètres!$A$1:$I$89,3,0)*0.475*44/12</f>
        <v>4.550399832965546</v>
      </c>
      <c r="AB141" s="21">
        <f>EXP(-LN(2)/2)*AB140+(1-EXP(-LN(2)/2))/(LN(2)/2)*V141*Y141*VLOOKUP('Données projet'!$B$9,Paramètres!$A$1:$I$89,3,0)*0.475*44/12</f>
        <v>1.8374690145178434E-11</v>
      </c>
      <c r="AC141" s="22">
        <f t="shared" si="111"/>
        <v>36.65091196215505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 t="e">
        <f>AI141*VLOOKUP('Données projet'!$B$10,Paramètres!$A$1:$I$89,3,0)*VLOOKUP('Données projet'!$B$10,Paramètres!$A$1:$I$89,5,0)</f>
        <v>#N/A</v>
      </c>
      <c r="AK141" s="13" t="e">
        <f t="shared" si="143"/>
        <v>#N/A</v>
      </c>
      <c r="AL141" s="20" t="e">
        <f t="shared" si="112"/>
        <v>#N/A</v>
      </c>
      <c r="AM141" s="59" t="e">
        <f t="shared" si="113"/>
        <v>#N/A</v>
      </c>
      <c r="AN141" s="59" t="e">
        <f ca="1">AVERAGE(OFFSET($AM$3,0,0,'Données projet'!$E$10+1,1))-AVERAGE(OFFSET($H$3,0,0,'Données projet'!$E$10+1,1))</f>
        <v>#N/A</v>
      </c>
      <c r="AO141" s="59" t="e">
        <f t="shared" si="144"/>
        <v>#N/A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 t="e">
        <f>EXP(-LN(2)/35)*AU140+(1-EXP(-LN(2)/35))/(LN(2)/35)*AQ141*AR141*VLOOKUP('Données projet'!$B$10,Paramètres!$A$1:$I$89,3,0)*0.475*44/12</f>
        <v>#N/A</v>
      </c>
      <c r="AV141" s="21" t="e">
        <f>EXP(-LN(2)/25)*AV140+(1-EXP(-LN(2)/25))/(LN(2)/25)*Calculateur!AQ141*Calculateur!AS141*VLOOKUP('Données projet'!$B$10,Paramètres!$A$1:$I$89,3,0)*0.475*44/12</f>
        <v>#N/A</v>
      </c>
      <c r="AW141" s="21" t="e">
        <f>EXP(-LN(2)/2)*AW140+(1-EXP(-LN(2)/2))/(LN(2)/2)*AQ141*AT141*VLOOKUP('Données projet'!$B$10,Paramètres!$A$1:$I$89,3,0)*0.475*44/12</f>
        <v>#N/A</v>
      </c>
      <c r="AX141" s="21" t="e">
        <f t="shared" si="114"/>
        <v>#N/A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40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67">
        <f t="shared" si="110"/>
        <v>256.66666666666669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-1.7053025658242404E-13</v>
      </c>
      <c r="O142" s="13">
        <f>N142*VLOOKUP('Données projet'!$B$9,Paramètres!$A$1:$I$89,3,0)*VLOOKUP('Données projet'!$B$9,Paramètres!$A$1:$I$89,5,0)</f>
        <v>-1.0197709343628959E-13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323.17232038705157</v>
      </c>
      <c r="T142" s="59">
        <f t="shared" si="142"/>
        <v>402.34685738619197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31.471040665697178</v>
      </c>
      <c r="AA142" s="21">
        <f>EXP(-LN(2)/25)*AA141+(1-EXP(-LN(2)/25))/(LN(2)/25)*Calculateur!V142*Calculateur!X142*VLOOKUP('Données projet'!$B$9,Paramètres!$A$1:$I$89,3,0)*0.475*44/12</f>
        <v>4.4259689102379758</v>
      </c>
      <c r="AB142" s="21">
        <f>EXP(-LN(2)/2)*AB141+(1-EXP(-LN(2)/2))/(LN(2)/2)*V142*Y142*VLOOKUP('Données projet'!$B$9,Paramètres!$A$1:$I$89,3,0)*0.475*44/12</f>
        <v>1.2992868003857298E-11</v>
      </c>
      <c r="AC142" s="22">
        <f t="shared" si="111"/>
        <v>35.897009575948147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 t="e">
        <f>AI142*VLOOKUP('Données projet'!$B$10,Paramètres!$A$1:$I$89,3,0)*VLOOKUP('Données projet'!$B$10,Paramètres!$A$1:$I$89,5,0)</f>
        <v>#N/A</v>
      </c>
      <c r="AK142" s="13" t="e">
        <f t="shared" si="143"/>
        <v>#N/A</v>
      </c>
      <c r="AL142" s="20" t="e">
        <f t="shared" si="112"/>
        <v>#N/A</v>
      </c>
      <c r="AM142" s="59" t="e">
        <f t="shared" si="113"/>
        <v>#N/A</v>
      </c>
      <c r="AN142" s="59" t="e">
        <f ca="1">AVERAGE(OFFSET($AM$3,0,0,'Données projet'!$E$10+1,1))-AVERAGE(OFFSET($H$3,0,0,'Données projet'!$E$10+1,1))</f>
        <v>#N/A</v>
      </c>
      <c r="AO142" s="59" t="e">
        <f t="shared" si="144"/>
        <v>#N/A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 t="e">
        <f>EXP(-LN(2)/35)*AU141+(1-EXP(-LN(2)/35))/(LN(2)/35)*AQ142*AR142*VLOOKUP('Données projet'!$B$10,Paramètres!$A$1:$I$89,3,0)*0.475*44/12</f>
        <v>#N/A</v>
      </c>
      <c r="AV142" s="21" t="e">
        <f>EXP(-LN(2)/25)*AV141+(1-EXP(-LN(2)/25))/(LN(2)/25)*Calculateur!AQ142*Calculateur!AS142*VLOOKUP('Données projet'!$B$10,Paramètres!$A$1:$I$89,3,0)*0.475*44/12</f>
        <v>#N/A</v>
      </c>
      <c r="AW142" s="21" t="e">
        <f>EXP(-LN(2)/2)*AW141+(1-EXP(-LN(2)/2))/(LN(2)/2)*AQ142*AT142*VLOOKUP('Données projet'!$B$10,Paramètres!$A$1:$I$89,3,0)*0.475*44/12</f>
        <v>#N/A</v>
      </c>
      <c r="AX142" s="21" t="e">
        <f t="shared" si="114"/>
        <v>#N/A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40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67">
        <f t="shared" si="110"/>
        <v>256.66666666666669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-1.7053025658242404E-13</v>
      </c>
      <c r="O143" s="13">
        <f>N143*VLOOKUP('Données projet'!$B$9,Paramètres!$A$1:$I$89,3,0)*VLOOKUP('Données projet'!$B$9,Paramètres!$A$1:$I$89,5,0)</f>
        <v>-1.0197709343628959E-13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323.17232038705157</v>
      </c>
      <c r="T143" s="59">
        <f t="shared" si="142"/>
        <v>402.34685738619197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30.85391275368227</v>
      </c>
      <c r="AA143" s="21">
        <f>EXP(-LN(2)/25)*AA142+(1-EXP(-LN(2)/25))/(LN(2)/25)*Calculateur!V143*Calculateur!X143*VLOOKUP('Données projet'!$B$9,Paramètres!$A$1:$I$89,3,0)*0.475*44/12</f>
        <v>4.3049405576359288</v>
      </c>
      <c r="AB143" s="21">
        <f>EXP(-LN(2)/2)*AB142+(1-EXP(-LN(2)/2))/(LN(2)/2)*V143*Y143*VLOOKUP('Données projet'!$B$9,Paramètres!$A$1:$I$89,3,0)*0.475*44/12</f>
        <v>9.1873450725892168E-12</v>
      </c>
      <c r="AC143" s="22">
        <f t="shared" si="111"/>
        <v>35.158853311327384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 t="e">
        <f>AI143*VLOOKUP('Données projet'!$B$10,Paramètres!$A$1:$I$89,3,0)*VLOOKUP('Données projet'!$B$10,Paramètres!$A$1:$I$89,5,0)</f>
        <v>#N/A</v>
      </c>
      <c r="AK143" s="13" t="e">
        <f t="shared" si="143"/>
        <v>#N/A</v>
      </c>
      <c r="AL143" s="20" t="e">
        <f t="shared" si="112"/>
        <v>#N/A</v>
      </c>
      <c r="AM143" s="59" t="e">
        <f t="shared" si="113"/>
        <v>#N/A</v>
      </c>
      <c r="AN143" s="59" t="e">
        <f ca="1">AVERAGE(OFFSET($AM$3,0,0,'Données projet'!$E$10+1,1))-AVERAGE(OFFSET($H$3,0,0,'Données projet'!$E$10+1,1))</f>
        <v>#N/A</v>
      </c>
      <c r="AO143" s="59" t="e">
        <f t="shared" si="144"/>
        <v>#N/A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 t="e">
        <f>EXP(-LN(2)/35)*AU142+(1-EXP(-LN(2)/35))/(LN(2)/35)*AQ143*AR143*VLOOKUP('Données projet'!$B$10,Paramètres!$A$1:$I$89,3,0)*0.475*44/12</f>
        <v>#N/A</v>
      </c>
      <c r="AV143" s="21" t="e">
        <f>EXP(-LN(2)/25)*AV142+(1-EXP(-LN(2)/25))/(LN(2)/25)*Calculateur!AQ143*Calculateur!AS143*VLOOKUP('Données projet'!$B$10,Paramètres!$A$1:$I$89,3,0)*0.475*44/12</f>
        <v>#N/A</v>
      </c>
      <c r="AW143" s="21" t="e">
        <f>EXP(-LN(2)/2)*AW142+(1-EXP(-LN(2)/2))/(LN(2)/2)*AQ143*AT143*VLOOKUP('Données projet'!$B$10,Paramètres!$A$1:$I$89,3,0)*0.475*44/12</f>
        <v>#N/A</v>
      </c>
      <c r="AX143" s="21" t="e">
        <f t="shared" si="114"/>
        <v>#N/A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40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67">
        <f t="shared" si="110"/>
        <v>256.66666666666669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-1.7053025658242404E-13</v>
      </c>
      <c r="O144" s="13">
        <f>N144*VLOOKUP('Données projet'!$B$9,Paramètres!$A$1:$I$89,3,0)*VLOOKUP('Données projet'!$B$9,Paramètres!$A$1:$I$89,5,0)</f>
        <v>-1.0197709343628959E-13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323.17232038705157</v>
      </c>
      <c r="T144" s="59">
        <f t="shared" si="142"/>
        <v>402.34685738619197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30.248886343611115</v>
      </c>
      <c r="AA144" s="21">
        <f>EXP(-LN(2)/25)*AA143+(1-EXP(-LN(2)/25))/(LN(2)/25)*Calculateur!V144*Calculateur!X144*VLOOKUP('Données projet'!$B$9,Paramètres!$A$1:$I$89,3,0)*0.475*44/12</f>
        <v>4.1872217317003892</v>
      </c>
      <c r="AB144" s="21">
        <f>EXP(-LN(2)/2)*AB143+(1-EXP(-LN(2)/2))/(LN(2)/2)*V144*Y144*VLOOKUP('Données projet'!$B$9,Paramètres!$A$1:$I$89,3,0)*0.475*44/12</f>
        <v>6.496434001928649E-12</v>
      </c>
      <c r="AC144" s="22">
        <f t="shared" si="111"/>
        <v>34.436108075317996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 t="e">
        <f>AI144*VLOOKUP('Données projet'!$B$10,Paramètres!$A$1:$I$89,3,0)*VLOOKUP('Données projet'!$B$10,Paramètres!$A$1:$I$89,5,0)</f>
        <v>#N/A</v>
      </c>
      <c r="AK144" s="13" t="e">
        <f t="shared" si="143"/>
        <v>#N/A</v>
      </c>
      <c r="AL144" s="20" t="e">
        <f t="shared" si="112"/>
        <v>#N/A</v>
      </c>
      <c r="AM144" s="59" t="e">
        <f t="shared" si="113"/>
        <v>#N/A</v>
      </c>
      <c r="AN144" s="59" t="e">
        <f ca="1">AVERAGE(OFFSET($AM$3,0,0,'Données projet'!$E$10+1,1))-AVERAGE(OFFSET($H$3,0,0,'Données projet'!$E$10+1,1))</f>
        <v>#N/A</v>
      </c>
      <c r="AO144" s="59" t="e">
        <f t="shared" si="144"/>
        <v>#N/A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 t="e">
        <f>EXP(-LN(2)/35)*AU143+(1-EXP(-LN(2)/35))/(LN(2)/35)*AQ144*AR144*VLOOKUP('Données projet'!$B$10,Paramètres!$A$1:$I$89,3,0)*0.475*44/12</f>
        <v>#N/A</v>
      </c>
      <c r="AV144" s="21" t="e">
        <f>EXP(-LN(2)/25)*AV143+(1-EXP(-LN(2)/25))/(LN(2)/25)*Calculateur!AQ144*Calculateur!AS144*VLOOKUP('Données projet'!$B$10,Paramètres!$A$1:$I$89,3,0)*0.475*44/12</f>
        <v>#N/A</v>
      </c>
      <c r="AW144" s="21" t="e">
        <f>EXP(-LN(2)/2)*AW143+(1-EXP(-LN(2)/2))/(LN(2)/2)*AQ144*AT144*VLOOKUP('Données projet'!$B$10,Paramètres!$A$1:$I$89,3,0)*0.475*44/12</f>
        <v>#N/A</v>
      </c>
      <c r="AX144" s="21" t="e">
        <f t="shared" si="114"/>
        <v>#N/A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40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67">
        <f t="shared" si="110"/>
        <v>256.66666666666669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-1.7053025658242404E-13</v>
      </c>
      <c r="O145" s="13">
        <f>N145*VLOOKUP('Données projet'!$B$9,Paramètres!$A$1:$I$89,3,0)*VLOOKUP('Données projet'!$B$9,Paramètres!$A$1:$I$89,5,0)</f>
        <v>-1.0197709343628959E-13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323.17232038705157</v>
      </c>
      <c r="T145" s="59">
        <f t="shared" si="142"/>
        <v>402.34685738619197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29.655724132411784</v>
      </c>
      <c r="AA145" s="21">
        <f>EXP(-LN(2)/25)*AA144+(1-EXP(-LN(2)/25))/(LN(2)/25)*Calculateur!V145*Calculateur!X145*VLOOKUP('Données projet'!$B$9,Paramètres!$A$1:$I$89,3,0)*0.475*44/12</f>
        <v>4.0727219332506213</v>
      </c>
      <c r="AB145" s="21">
        <f>EXP(-LN(2)/2)*AB144+(1-EXP(-LN(2)/2))/(LN(2)/2)*V145*Y145*VLOOKUP('Données projet'!$B$9,Paramètres!$A$1:$I$89,3,0)*0.475*44/12</f>
        <v>4.5936725362946084E-12</v>
      </c>
      <c r="AC145" s="22">
        <f t="shared" si="111"/>
        <v>33.728446065667001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 t="e">
        <f>AI145*VLOOKUP('Données projet'!$B$10,Paramètres!$A$1:$I$89,3,0)*VLOOKUP('Données projet'!$B$10,Paramètres!$A$1:$I$89,5,0)</f>
        <v>#N/A</v>
      </c>
      <c r="AK145" s="13" t="e">
        <f t="shared" si="143"/>
        <v>#N/A</v>
      </c>
      <c r="AL145" s="20" t="e">
        <f t="shared" si="112"/>
        <v>#N/A</v>
      </c>
      <c r="AM145" s="59" t="e">
        <f t="shared" si="113"/>
        <v>#N/A</v>
      </c>
      <c r="AN145" s="59" t="e">
        <f ca="1">AVERAGE(OFFSET($AM$3,0,0,'Données projet'!$E$10+1,1))-AVERAGE(OFFSET($H$3,0,0,'Données projet'!$E$10+1,1))</f>
        <v>#N/A</v>
      </c>
      <c r="AO145" s="59" t="e">
        <f t="shared" si="144"/>
        <v>#N/A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 t="e">
        <f>EXP(-LN(2)/35)*AU144+(1-EXP(-LN(2)/35))/(LN(2)/35)*AQ145*AR145*VLOOKUP('Données projet'!$B$10,Paramètres!$A$1:$I$89,3,0)*0.475*44/12</f>
        <v>#N/A</v>
      </c>
      <c r="AV145" s="21" t="e">
        <f>EXP(-LN(2)/25)*AV144+(1-EXP(-LN(2)/25))/(LN(2)/25)*Calculateur!AQ145*Calculateur!AS145*VLOOKUP('Données projet'!$B$10,Paramètres!$A$1:$I$89,3,0)*0.475*44/12</f>
        <v>#N/A</v>
      </c>
      <c r="AW145" s="21" t="e">
        <f>EXP(-LN(2)/2)*AW144+(1-EXP(-LN(2)/2))/(LN(2)/2)*AQ145*AT145*VLOOKUP('Données projet'!$B$10,Paramètres!$A$1:$I$89,3,0)*0.475*44/12</f>
        <v>#N/A</v>
      </c>
      <c r="AX145" s="21" t="e">
        <f t="shared" si="114"/>
        <v>#N/A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40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67">
        <f t="shared" si="110"/>
        <v>256.66666666666669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-1.7053025658242404E-13</v>
      </c>
      <c r="O146" s="13">
        <f>N146*VLOOKUP('Données projet'!$B$9,Paramètres!$A$1:$I$89,3,0)*VLOOKUP('Données projet'!$B$9,Paramètres!$A$1:$I$89,5,0)</f>
        <v>-1.0197709343628959E-13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323.17232038705157</v>
      </c>
      <c r="T146" s="59">
        <f t="shared" si="142"/>
        <v>402.34685738619197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29.074193470380848</v>
      </c>
      <c r="AA146" s="21">
        <f>EXP(-LN(2)/25)*AA145+(1-EXP(-LN(2)/25))/(LN(2)/25)*Calculateur!V146*Calculateur!X146*VLOOKUP('Données projet'!$B$9,Paramètres!$A$1:$I$89,3,0)*0.475*44/12</f>
        <v>3.9613531378107449</v>
      </c>
      <c r="AB146" s="21">
        <f>EXP(-LN(2)/2)*AB145+(1-EXP(-LN(2)/2))/(LN(2)/2)*V146*Y146*VLOOKUP('Données projet'!$B$9,Paramètres!$A$1:$I$89,3,0)*0.475*44/12</f>
        <v>3.2482170009643245E-12</v>
      </c>
      <c r="AC146" s="22">
        <f t="shared" si="111"/>
        <v>33.035546608194842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 t="e">
        <f>AI146*VLOOKUP('Données projet'!$B$10,Paramètres!$A$1:$I$89,3,0)*VLOOKUP('Données projet'!$B$10,Paramètres!$A$1:$I$89,5,0)</f>
        <v>#N/A</v>
      </c>
      <c r="AK146" s="13" t="e">
        <f t="shared" si="143"/>
        <v>#N/A</v>
      </c>
      <c r="AL146" s="20" t="e">
        <f t="shared" si="112"/>
        <v>#N/A</v>
      </c>
      <c r="AM146" s="59" t="e">
        <f t="shared" si="113"/>
        <v>#N/A</v>
      </c>
      <c r="AN146" s="59" t="e">
        <f ca="1">AVERAGE(OFFSET($AM$3,0,0,'Données projet'!$E$10+1,1))-AVERAGE(OFFSET($H$3,0,0,'Données projet'!$E$10+1,1))</f>
        <v>#N/A</v>
      </c>
      <c r="AO146" s="59" t="e">
        <f t="shared" si="144"/>
        <v>#N/A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 t="e">
        <f>EXP(-LN(2)/35)*AU145+(1-EXP(-LN(2)/35))/(LN(2)/35)*AQ146*AR146*VLOOKUP('Données projet'!$B$10,Paramètres!$A$1:$I$89,3,0)*0.475*44/12</f>
        <v>#N/A</v>
      </c>
      <c r="AV146" s="21" t="e">
        <f>EXP(-LN(2)/25)*AV145+(1-EXP(-LN(2)/25))/(LN(2)/25)*Calculateur!AQ146*Calculateur!AS146*VLOOKUP('Données projet'!$B$10,Paramètres!$A$1:$I$89,3,0)*0.475*44/12</f>
        <v>#N/A</v>
      </c>
      <c r="AW146" s="21" t="e">
        <f>EXP(-LN(2)/2)*AW145+(1-EXP(-LN(2)/2))/(LN(2)/2)*AQ146*AT146*VLOOKUP('Données projet'!$B$10,Paramètres!$A$1:$I$89,3,0)*0.475*44/12</f>
        <v>#N/A</v>
      </c>
      <c r="AX146" s="21" t="e">
        <f t="shared" si="114"/>
        <v>#N/A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40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67">
        <f t="shared" si="110"/>
        <v>256.66666666666669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-1.7053025658242404E-13</v>
      </c>
      <c r="O147" s="13">
        <f>N147*VLOOKUP('Données projet'!$B$9,Paramètres!$A$1:$I$89,3,0)*VLOOKUP('Données projet'!$B$9,Paramètres!$A$1:$I$89,5,0)</f>
        <v>-1.0197709343628959E-13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323.17232038705157</v>
      </c>
      <c r="T147" s="59">
        <f t="shared" si="142"/>
        <v>402.34685738619197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28.504066269933659</v>
      </c>
      <c r="AA147" s="21">
        <f>EXP(-LN(2)/25)*AA146+(1-EXP(-LN(2)/25))/(LN(2)/25)*Calculateur!V147*Calculateur!X147*VLOOKUP('Données projet'!$B$9,Paramètres!$A$1:$I$89,3,0)*0.475*44/12</f>
        <v>3.8530297279388024</v>
      </c>
      <c r="AB147" s="21">
        <f>EXP(-LN(2)/2)*AB146+(1-EXP(-LN(2)/2))/(LN(2)/2)*V147*Y147*VLOOKUP('Données projet'!$B$9,Paramètres!$A$1:$I$89,3,0)*0.475*44/12</f>
        <v>2.2968362681473042E-12</v>
      </c>
      <c r="AC147" s="22">
        <f t="shared" si="111"/>
        <v>32.357095997874758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 t="e">
        <f>AI147*VLOOKUP('Données projet'!$B$10,Paramètres!$A$1:$I$89,3,0)*VLOOKUP('Données projet'!$B$10,Paramètres!$A$1:$I$89,5,0)</f>
        <v>#N/A</v>
      </c>
      <c r="AK147" s="13" t="e">
        <f t="shared" si="143"/>
        <v>#N/A</v>
      </c>
      <c r="AL147" s="20" t="e">
        <f t="shared" si="112"/>
        <v>#N/A</v>
      </c>
      <c r="AM147" s="59" t="e">
        <f t="shared" si="113"/>
        <v>#N/A</v>
      </c>
      <c r="AN147" s="59" t="e">
        <f ca="1">AVERAGE(OFFSET($AM$3,0,0,'Données projet'!$E$10+1,1))-AVERAGE(OFFSET($H$3,0,0,'Données projet'!$E$10+1,1))</f>
        <v>#N/A</v>
      </c>
      <c r="AO147" s="59" t="e">
        <f t="shared" si="144"/>
        <v>#N/A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 t="e">
        <f>EXP(-LN(2)/35)*AU146+(1-EXP(-LN(2)/35))/(LN(2)/35)*AQ147*AR147*VLOOKUP('Données projet'!$B$10,Paramètres!$A$1:$I$89,3,0)*0.475*44/12</f>
        <v>#N/A</v>
      </c>
      <c r="AV147" s="21" t="e">
        <f>EXP(-LN(2)/25)*AV146+(1-EXP(-LN(2)/25))/(LN(2)/25)*Calculateur!AQ147*Calculateur!AS147*VLOOKUP('Données projet'!$B$10,Paramètres!$A$1:$I$89,3,0)*0.475*44/12</f>
        <v>#N/A</v>
      </c>
      <c r="AW147" s="21" t="e">
        <f>EXP(-LN(2)/2)*AW146+(1-EXP(-LN(2)/2))/(LN(2)/2)*AQ147*AT147*VLOOKUP('Données projet'!$B$10,Paramètres!$A$1:$I$89,3,0)*0.475*44/12</f>
        <v>#N/A</v>
      </c>
      <c r="AX147" s="21" t="e">
        <f t="shared" si="114"/>
        <v>#N/A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40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67">
        <f t="shared" si="110"/>
        <v>256.66666666666669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-1.7053025658242404E-13</v>
      </c>
      <c r="O148" s="13">
        <f>N148*VLOOKUP('Données projet'!$B$9,Paramètres!$A$1:$I$89,3,0)*VLOOKUP('Données projet'!$B$9,Paramètres!$A$1:$I$89,5,0)</f>
        <v>-1.0197709343628959E-13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323.17232038705157</v>
      </c>
      <c r="T148" s="59">
        <f t="shared" si="142"/>
        <v>402.34685738619197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27.945118916143983</v>
      </c>
      <c r="AA148" s="21">
        <f>EXP(-LN(2)/25)*AA147+(1-EXP(-LN(2)/25))/(LN(2)/25)*Calculateur!V148*Calculateur!X148*VLOOKUP('Données projet'!$B$9,Paramètres!$A$1:$I$89,3,0)*0.475*44/12</f>
        <v>3.7476684274062886</v>
      </c>
      <c r="AB148" s="21">
        <f>EXP(-LN(2)/2)*AB147+(1-EXP(-LN(2)/2))/(LN(2)/2)*V148*Y148*VLOOKUP('Données projet'!$B$9,Paramètres!$A$1:$I$89,3,0)*0.475*44/12</f>
        <v>1.6241085004821623E-12</v>
      </c>
      <c r="AC148" s="22">
        <f t="shared" si="111"/>
        <v>31.692787343551895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 t="e">
        <f>AI148*VLOOKUP('Données projet'!$B$10,Paramètres!$A$1:$I$89,3,0)*VLOOKUP('Données projet'!$B$10,Paramètres!$A$1:$I$89,5,0)</f>
        <v>#N/A</v>
      </c>
      <c r="AK148" s="13" t="e">
        <f t="shared" si="143"/>
        <v>#N/A</v>
      </c>
      <c r="AL148" s="20" t="e">
        <f t="shared" si="112"/>
        <v>#N/A</v>
      </c>
      <c r="AM148" s="59" t="e">
        <f t="shared" si="113"/>
        <v>#N/A</v>
      </c>
      <c r="AN148" s="59" t="e">
        <f ca="1">AVERAGE(OFFSET($AM$3,0,0,'Données projet'!$E$10+1,1))-AVERAGE(OFFSET($H$3,0,0,'Données projet'!$E$10+1,1))</f>
        <v>#N/A</v>
      </c>
      <c r="AO148" s="59" t="e">
        <f t="shared" si="144"/>
        <v>#N/A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 t="e">
        <f>EXP(-LN(2)/35)*AU147+(1-EXP(-LN(2)/35))/(LN(2)/35)*AQ148*AR148*VLOOKUP('Données projet'!$B$10,Paramètres!$A$1:$I$89,3,0)*0.475*44/12</f>
        <v>#N/A</v>
      </c>
      <c r="AV148" s="21" t="e">
        <f>EXP(-LN(2)/25)*AV147+(1-EXP(-LN(2)/25))/(LN(2)/25)*Calculateur!AQ148*Calculateur!AS148*VLOOKUP('Données projet'!$B$10,Paramètres!$A$1:$I$89,3,0)*0.475*44/12</f>
        <v>#N/A</v>
      </c>
      <c r="AW148" s="21" t="e">
        <f>EXP(-LN(2)/2)*AW147+(1-EXP(-LN(2)/2))/(LN(2)/2)*AQ148*AT148*VLOOKUP('Données projet'!$B$10,Paramètres!$A$1:$I$89,3,0)*0.475*44/12</f>
        <v>#N/A</v>
      </c>
      <c r="AX148" s="21" t="e">
        <f t="shared" si="114"/>
        <v>#N/A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40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67">
        <f t="shared" si="110"/>
        <v>256.66666666666669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-1.7053025658242404E-13</v>
      </c>
      <c r="O149" s="13">
        <f>N149*VLOOKUP('Données projet'!$B$9,Paramètres!$A$1:$I$89,3,0)*VLOOKUP('Données projet'!$B$9,Paramètres!$A$1:$I$89,5,0)</f>
        <v>-1.0197709343628959E-13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323.17232038705157</v>
      </c>
      <c r="T149" s="59">
        <f t="shared" si="142"/>
        <v>402.34685738619197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27.3971321790379</v>
      </c>
      <c r="AA149" s="21">
        <f>EXP(-LN(2)/25)*AA148+(1-EXP(-LN(2)/25))/(LN(2)/25)*Calculateur!V149*Calculateur!X149*VLOOKUP('Données projet'!$B$9,Paramètres!$A$1:$I$89,3,0)*0.475*44/12</f>
        <v>3.6451882371775466</v>
      </c>
      <c r="AB149" s="21">
        <f>EXP(-LN(2)/2)*AB148+(1-EXP(-LN(2)/2))/(LN(2)/2)*V149*Y149*VLOOKUP('Données projet'!$B$9,Paramètres!$A$1:$I$89,3,0)*0.475*44/12</f>
        <v>1.1484181340736521E-12</v>
      </c>
      <c r="AC149" s="22">
        <f t="shared" si="111"/>
        <v>31.042320416216594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 t="e">
        <f>AI149*VLOOKUP('Données projet'!$B$10,Paramètres!$A$1:$I$89,3,0)*VLOOKUP('Données projet'!$B$10,Paramètres!$A$1:$I$89,5,0)</f>
        <v>#N/A</v>
      </c>
      <c r="AK149" s="13" t="e">
        <f t="shared" si="143"/>
        <v>#N/A</v>
      </c>
      <c r="AL149" s="20" t="e">
        <f t="shared" si="112"/>
        <v>#N/A</v>
      </c>
      <c r="AM149" s="59" t="e">
        <f t="shared" si="113"/>
        <v>#N/A</v>
      </c>
      <c r="AN149" s="59" t="e">
        <f ca="1">AVERAGE(OFFSET($AM$3,0,0,'Données projet'!$E$10+1,1))-AVERAGE(OFFSET($H$3,0,0,'Données projet'!$E$10+1,1))</f>
        <v>#N/A</v>
      </c>
      <c r="AO149" s="59" t="e">
        <f t="shared" si="144"/>
        <v>#N/A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 t="e">
        <f>EXP(-LN(2)/35)*AU148+(1-EXP(-LN(2)/35))/(LN(2)/35)*AQ149*AR149*VLOOKUP('Données projet'!$B$10,Paramètres!$A$1:$I$89,3,0)*0.475*44/12</f>
        <v>#N/A</v>
      </c>
      <c r="AV149" s="21" t="e">
        <f>EXP(-LN(2)/25)*AV148+(1-EXP(-LN(2)/25))/(LN(2)/25)*Calculateur!AQ149*Calculateur!AS149*VLOOKUP('Données projet'!$B$10,Paramètres!$A$1:$I$89,3,0)*0.475*44/12</f>
        <v>#N/A</v>
      </c>
      <c r="AW149" s="21" t="e">
        <f>EXP(-LN(2)/2)*AW148+(1-EXP(-LN(2)/2))/(LN(2)/2)*AQ149*AT149*VLOOKUP('Données projet'!$B$10,Paramètres!$A$1:$I$89,3,0)*0.475*44/12</f>
        <v>#N/A</v>
      </c>
      <c r="AX149" s="21" t="e">
        <f t="shared" si="114"/>
        <v>#N/A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40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67">
        <f t="shared" si="110"/>
        <v>256.66666666666669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-1.7053025658242404E-13</v>
      </c>
      <c r="O150" s="13">
        <f>N150*VLOOKUP('Données projet'!$B$9,Paramètres!$A$1:$I$89,3,0)*VLOOKUP('Données projet'!$B$9,Paramètres!$A$1:$I$89,5,0)</f>
        <v>-1.0197709343628959E-13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323.17232038705157</v>
      </c>
      <c r="T150" s="59">
        <f t="shared" si="142"/>
        <v>402.34685738619197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26.859891127607561</v>
      </c>
      <c r="AA150" s="21">
        <f>EXP(-LN(2)/25)*AA149+(1-EXP(-LN(2)/25))/(LN(2)/25)*Calculateur!V150*Calculateur!X150*VLOOKUP('Données projet'!$B$9,Paramètres!$A$1:$I$89,3,0)*0.475*44/12</f>
        <v>3.5455103731398085</v>
      </c>
      <c r="AB150" s="21">
        <f>EXP(-LN(2)/2)*AB149+(1-EXP(-LN(2)/2))/(LN(2)/2)*V150*Y150*VLOOKUP('Données projet'!$B$9,Paramètres!$A$1:$I$89,3,0)*0.475*44/12</f>
        <v>8.1205425024108113E-13</v>
      </c>
      <c r="AC150" s="22">
        <f t="shared" si="111"/>
        <v>30.405401500748184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 t="e">
        <f>AI150*VLOOKUP('Données projet'!$B$10,Paramètres!$A$1:$I$89,3,0)*VLOOKUP('Données projet'!$B$10,Paramètres!$A$1:$I$89,5,0)</f>
        <v>#N/A</v>
      </c>
      <c r="AK150" s="13" t="e">
        <f t="shared" si="143"/>
        <v>#N/A</v>
      </c>
      <c r="AL150" s="20" t="e">
        <f t="shared" si="112"/>
        <v>#N/A</v>
      </c>
      <c r="AM150" s="59" t="e">
        <f t="shared" si="113"/>
        <v>#N/A</v>
      </c>
      <c r="AN150" s="59" t="e">
        <f ca="1">AVERAGE(OFFSET($AM$3,0,0,'Données projet'!$E$10+1,1))-AVERAGE(OFFSET($H$3,0,0,'Données projet'!$E$10+1,1))</f>
        <v>#N/A</v>
      </c>
      <c r="AO150" s="59" t="e">
        <f t="shared" si="144"/>
        <v>#N/A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 t="e">
        <f>EXP(-LN(2)/35)*AU149+(1-EXP(-LN(2)/35))/(LN(2)/35)*AQ150*AR150*VLOOKUP('Données projet'!$B$10,Paramètres!$A$1:$I$89,3,0)*0.475*44/12</f>
        <v>#N/A</v>
      </c>
      <c r="AV150" s="21" t="e">
        <f>EXP(-LN(2)/25)*AV149+(1-EXP(-LN(2)/25))/(LN(2)/25)*Calculateur!AQ150*Calculateur!AS150*VLOOKUP('Données projet'!$B$10,Paramètres!$A$1:$I$89,3,0)*0.475*44/12</f>
        <v>#N/A</v>
      </c>
      <c r="AW150" s="21" t="e">
        <f>EXP(-LN(2)/2)*AW149+(1-EXP(-LN(2)/2))/(LN(2)/2)*AQ150*AT150*VLOOKUP('Données projet'!$B$10,Paramètres!$A$1:$I$89,3,0)*0.475*44/12</f>
        <v>#N/A</v>
      </c>
      <c r="AX150" s="21" t="e">
        <f t="shared" si="114"/>
        <v>#N/A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40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67">
        <f t="shared" si="110"/>
        <v>256.66666666666669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-1.7053025658242404E-13</v>
      </c>
      <c r="O151" s="13">
        <f>N151*VLOOKUP('Données projet'!$B$9,Paramètres!$A$1:$I$89,3,0)*VLOOKUP('Données projet'!$B$9,Paramètres!$A$1:$I$89,5,0)</f>
        <v>-1.0197709343628959E-13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323.17232038705157</v>
      </c>
      <c r="T151" s="59">
        <f t="shared" si="142"/>
        <v>402.34685738619197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26.333185045511087</v>
      </c>
      <c r="AA151" s="21">
        <f>EXP(-LN(2)/25)*AA150+(1-EXP(-LN(2)/25))/(LN(2)/25)*Calculateur!V151*Calculateur!X151*VLOOKUP('Données projet'!$B$9,Paramètres!$A$1:$I$89,3,0)*0.475*44/12</f>
        <v>3.4485582055360133</v>
      </c>
      <c r="AB151" s="21">
        <f>EXP(-LN(2)/2)*AB150+(1-EXP(-LN(2)/2))/(LN(2)/2)*V151*Y151*VLOOKUP('Données projet'!$B$9,Paramètres!$A$1:$I$89,3,0)*0.475*44/12</f>
        <v>5.7420906703682605E-13</v>
      </c>
      <c r="AC151" s="22">
        <f t="shared" si="111"/>
        <v>29.781743251047676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 t="e">
        <f>AI151*VLOOKUP('Données projet'!$B$10,Paramètres!$A$1:$I$89,3,0)*VLOOKUP('Données projet'!$B$10,Paramètres!$A$1:$I$89,5,0)</f>
        <v>#N/A</v>
      </c>
      <c r="AK151" s="13" t="e">
        <f t="shared" si="143"/>
        <v>#N/A</v>
      </c>
      <c r="AL151" s="20" t="e">
        <f t="shared" si="112"/>
        <v>#N/A</v>
      </c>
      <c r="AM151" s="59" t="e">
        <f t="shared" si="113"/>
        <v>#N/A</v>
      </c>
      <c r="AN151" s="59" t="e">
        <f ca="1">AVERAGE(OFFSET($AM$3,0,0,'Données projet'!$E$10+1,1))-AVERAGE(OFFSET($H$3,0,0,'Données projet'!$E$10+1,1))</f>
        <v>#N/A</v>
      </c>
      <c r="AO151" s="59" t="e">
        <f t="shared" si="144"/>
        <v>#N/A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 t="e">
        <f>EXP(-LN(2)/35)*AU150+(1-EXP(-LN(2)/35))/(LN(2)/35)*AQ151*AR151*VLOOKUP('Données projet'!$B$10,Paramètres!$A$1:$I$89,3,0)*0.475*44/12</f>
        <v>#N/A</v>
      </c>
      <c r="AV151" s="21" t="e">
        <f>EXP(-LN(2)/25)*AV150+(1-EXP(-LN(2)/25))/(LN(2)/25)*Calculateur!AQ151*Calculateur!AS151*VLOOKUP('Données projet'!$B$10,Paramètres!$A$1:$I$89,3,0)*0.475*44/12</f>
        <v>#N/A</v>
      </c>
      <c r="AW151" s="21" t="e">
        <f>EXP(-LN(2)/2)*AW150+(1-EXP(-LN(2)/2))/(LN(2)/2)*AQ151*AT151*VLOOKUP('Données projet'!$B$10,Paramètres!$A$1:$I$89,3,0)*0.475*44/12</f>
        <v>#N/A</v>
      </c>
      <c r="AX151" s="21" t="e">
        <f t="shared" si="114"/>
        <v>#N/A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40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67">
        <f t="shared" si="110"/>
        <v>256.66666666666669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-1.7053025658242404E-13</v>
      </c>
      <c r="O152" s="13">
        <f>N152*VLOOKUP('Données projet'!$B$9,Paramètres!$A$1:$I$89,3,0)*VLOOKUP('Données projet'!$B$9,Paramètres!$A$1:$I$89,5,0)</f>
        <v>-1.0197709343628959E-13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323.17232038705157</v>
      </c>
      <c r="T152" s="59">
        <f t="shared" si="142"/>
        <v>402.34685738619197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25.816807348425534</v>
      </c>
      <c r="AA152" s="21">
        <f>EXP(-LN(2)/25)*AA151+(1-EXP(-LN(2)/25))/(LN(2)/25)*Calculateur!V152*Calculateur!X152*VLOOKUP('Données projet'!$B$9,Paramètres!$A$1:$I$89,3,0)*0.475*44/12</f>
        <v>3.3542572000538367</v>
      </c>
      <c r="AB152" s="21">
        <f>EXP(-LN(2)/2)*AB151+(1-EXP(-LN(2)/2))/(LN(2)/2)*V152*Y152*VLOOKUP('Données projet'!$B$9,Paramètres!$A$1:$I$89,3,0)*0.475*44/12</f>
        <v>4.0602712512054057E-13</v>
      </c>
      <c r="AC152" s="22">
        <f t="shared" si="111"/>
        <v>29.171064548479777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 t="e">
        <f>AI152*VLOOKUP('Données projet'!$B$10,Paramètres!$A$1:$I$89,3,0)*VLOOKUP('Données projet'!$B$10,Paramètres!$A$1:$I$89,5,0)</f>
        <v>#N/A</v>
      </c>
      <c r="AK152" s="13" t="e">
        <f t="shared" si="143"/>
        <v>#N/A</v>
      </c>
      <c r="AL152" s="20" t="e">
        <f t="shared" si="112"/>
        <v>#N/A</v>
      </c>
      <c r="AM152" s="59" t="e">
        <f t="shared" si="113"/>
        <v>#N/A</v>
      </c>
      <c r="AN152" s="59" t="e">
        <f ca="1">AVERAGE(OFFSET($AM$3,0,0,'Données projet'!$E$10+1,1))-AVERAGE(OFFSET($H$3,0,0,'Données projet'!$E$10+1,1))</f>
        <v>#N/A</v>
      </c>
      <c r="AO152" s="59" t="e">
        <f t="shared" si="144"/>
        <v>#N/A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 t="e">
        <f>EXP(-LN(2)/35)*AU151+(1-EXP(-LN(2)/35))/(LN(2)/35)*AQ152*AR152*VLOOKUP('Données projet'!$B$10,Paramètres!$A$1:$I$89,3,0)*0.475*44/12</f>
        <v>#N/A</v>
      </c>
      <c r="AV152" s="21" t="e">
        <f>EXP(-LN(2)/25)*AV151+(1-EXP(-LN(2)/25))/(LN(2)/25)*Calculateur!AQ152*Calculateur!AS152*VLOOKUP('Données projet'!$B$10,Paramètres!$A$1:$I$89,3,0)*0.475*44/12</f>
        <v>#N/A</v>
      </c>
      <c r="AW152" s="21" t="e">
        <f>EXP(-LN(2)/2)*AW151+(1-EXP(-LN(2)/2))/(LN(2)/2)*AQ152*AT152*VLOOKUP('Données projet'!$B$10,Paramètres!$A$1:$I$89,3,0)*0.475*44/12</f>
        <v>#N/A</v>
      </c>
      <c r="AX152" s="21" t="e">
        <f t="shared" si="114"/>
        <v>#N/A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40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67">
        <f t="shared" si="110"/>
        <v>256.66666666666669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-1.7053025658242404E-13</v>
      </c>
      <c r="O153" s="13">
        <f>N153*VLOOKUP('Données projet'!$B$9,Paramètres!$A$1:$I$89,3,0)*VLOOKUP('Données projet'!$B$9,Paramètres!$A$1:$I$89,5,0)</f>
        <v>-1.0197709343628959E-13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323.17232038705157</v>
      </c>
      <c r="T153" s="59">
        <f t="shared" si="142"/>
        <v>402.34685738619197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25.310555503020534</v>
      </c>
      <c r="AA153" s="21">
        <f>EXP(-LN(2)/25)*AA152+(1-EXP(-LN(2)/25))/(LN(2)/25)*Calculateur!V153*Calculateur!X153*VLOOKUP('Données projet'!$B$9,Paramètres!$A$1:$I$89,3,0)*0.475*44/12</f>
        <v>3.2625348605256446</v>
      </c>
      <c r="AB153" s="21">
        <f>EXP(-LN(2)/2)*AB152+(1-EXP(-LN(2)/2))/(LN(2)/2)*V153*Y153*VLOOKUP('Données projet'!$B$9,Paramètres!$A$1:$I$89,3,0)*0.475*44/12</f>
        <v>2.8710453351841303E-13</v>
      </c>
      <c r="AC153" s="22">
        <f t="shared" si="111"/>
        <v>28.573090363546466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 t="e">
        <f>AI153*VLOOKUP('Données projet'!$B$10,Paramètres!$A$1:$I$89,3,0)*VLOOKUP('Données projet'!$B$10,Paramètres!$A$1:$I$89,5,0)</f>
        <v>#N/A</v>
      </c>
      <c r="AK153" s="13" t="e">
        <f t="shared" si="143"/>
        <v>#N/A</v>
      </c>
      <c r="AL153" s="20" t="e">
        <f t="shared" si="112"/>
        <v>#N/A</v>
      </c>
      <c r="AM153" s="59" t="e">
        <f t="shared" si="113"/>
        <v>#N/A</v>
      </c>
      <c r="AN153" s="59" t="e">
        <f ca="1">AVERAGE(OFFSET($AM$3,0,0,'Données projet'!$E$10+1,1))-AVERAGE(OFFSET($H$3,0,0,'Données projet'!$E$10+1,1))</f>
        <v>#N/A</v>
      </c>
      <c r="AO153" s="59" t="e">
        <f t="shared" si="144"/>
        <v>#N/A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 t="e">
        <f>EXP(-LN(2)/35)*AU152+(1-EXP(-LN(2)/35))/(LN(2)/35)*AQ153*AR153*VLOOKUP('Données projet'!$B$10,Paramètres!$A$1:$I$89,3,0)*0.475*44/12</f>
        <v>#N/A</v>
      </c>
      <c r="AV153" s="21" t="e">
        <f>EXP(-LN(2)/25)*AV152+(1-EXP(-LN(2)/25))/(LN(2)/25)*Calculateur!AQ153*Calculateur!AS153*VLOOKUP('Données projet'!$B$10,Paramètres!$A$1:$I$89,3,0)*0.475*44/12</f>
        <v>#N/A</v>
      </c>
      <c r="AW153" s="21" t="e">
        <f>EXP(-LN(2)/2)*AW152+(1-EXP(-LN(2)/2))/(LN(2)/2)*AQ153*AT153*VLOOKUP('Données projet'!$B$10,Paramètres!$A$1:$I$89,3,0)*0.475*44/12</f>
        <v>#N/A</v>
      </c>
      <c r="AX153" s="21" t="e">
        <f t="shared" si="114"/>
        <v>#N/A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40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67">
        <f t="shared" si="110"/>
        <v>256.66666666666669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-1.7053025658242404E-13</v>
      </c>
      <c r="O154" s="13">
        <f>N154*VLOOKUP('Données projet'!$B$9,Paramètres!$A$1:$I$89,3,0)*VLOOKUP('Données projet'!$B$9,Paramètres!$A$1:$I$89,5,0)</f>
        <v>-1.0197709343628959E-13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323.17232038705157</v>
      </c>
      <c r="T154" s="59">
        <f t="shared" si="142"/>
        <v>402.34685738619197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24.814230947520791</v>
      </c>
      <c r="AA154" s="21">
        <f>EXP(-LN(2)/25)*AA153+(1-EXP(-LN(2)/25))/(LN(2)/25)*Calculateur!V154*Calculateur!X154*VLOOKUP('Données projet'!$B$9,Paramètres!$A$1:$I$89,3,0)*0.475*44/12</f>
        <v>3.173320673195319</v>
      </c>
      <c r="AB154" s="21">
        <f>EXP(-LN(2)/2)*AB153+(1-EXP(-LN(2)/2))/(LN(2)/2)*V154*Y154*VLOOKUP('Données projet'!$B$9,Paramètres!$A$1:$I$89,3,0)*0.475*44/12</f>
        <v>2.0301356256027028E-13</v>
      </c>
      <c r="AC154" s="22">
        <f t="shared" ref="AC154:AC203" si="163">SUM(Z154:AB154)</f>
        <v>27.987551620716314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 t="e">
        <f>AI154*VLOOKUP('Données projet'!$B$10,Paramètres!$A$1:$I$89,3,0)*VLOOKUP('Données projet'!$B$10,Paramètres!$A$1:$I$89,5,0)</f>
        <v>#N/A</v>
      </c>
      <c r="AK154" s="13" t="e">
        <f t="shared" ref="AK154:AK203" si="164">EXP(-1.0587+0.8836*LN(AJ154)+0.284)</f>
        <v>#N/A</v>
      </c>
      <c r="AL154" s="20" t="e">
        <f t="shared" ref="AL154:AL203" si="165">(AJ154+AK154)*0.475*44/12</f>
        <v>#N/A</v>
      </c>
      <c r="AM154" s="59" t="e">
        <f t="shared" si="113"/>
        <v>#N/A</v>
      </c>
      <c r="AN154" s="59" t="e">
        <f ca="1">AVERAGE(OFFSET($AM$3,0,0,'Données projet'!$E$10+1,1))-AVERAGE(OFFSET($H$3,0,0,'Données projet'!$E$10+1,1))</f>
        <v>#N/A</v>
      </c>
      <c r="AO154" s="59" t="e">
        <f t="shared" si="144"/>
        <v>#N/A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 t="e">
        <f>EXP(-LN(2)/35)*AU153+(1-EXP(-LN(2)/35))/(LN(2)/35)*AQ154*AR154*VLOOKUP('Données projet'!$B$10,Paramètres!$A$1:$I$89,3,0)*0.475*44/12</f>
        <v>#N/A</v>
      </c>
      <c r="AV154" s="21" t="e">
        <f>EXP(-LN(2)/25)*AV153+(1-EXP(-LN(2)/25))/(LN(2)/25)*Calculateur!AQ154*Calculateur!AS154*VLOOKUP('Données projet'!$B$10,Paramètres!$A$1:$I$89,3,0)*0.475*44/12</f>
        <v>#N/A</v>
      </c>
      <c r="AW154" s="21" t="e">
        <f>EXP(-LN(2)/2)*AW153+(1-EXP(-LN(2)/2))/(LN(2)/2)*AQ154*AT154*VLOOKUP('Données projet'!$B$10,Paramètres!$A$1:$I$89,3,0)*0.475*44/12</f>
        <v>#N/A</v>
      </c>
      <c r="AX154" s="21" t="e">
        <f t="shared" ref="AX154:AX203" si="166">SUM(AU154:AW154)</f>
        <v>#N/A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40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67">
        <f t="shared" si="110"/>
        <v>256.66666666666669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-1.7053025658242404E-13</v>
      </c>
      <c r="O155" s="13">
        <f>N155*VLOOKUP('Données projet'!$B$9,Paramètres!$A$1:$I$89,3,0)*VLOOKUP('Données projet'!$B$9,Paramètres!$A$1:$I$89,5,0)</f>
        <v>-1.0197709343628959E-13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323.17232038705157</v>
      </c>
      <c r="T155" s="59">
        <f t="shared" si="142"/>
        <v>402.34685738619197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24.32763901382631</v>
      </c>
      <c r="AA155" s="21">
        <f>EXP(-LN(2)/25)*AA154+(1-EXP(-LN(2)/25))/(LN(2)/25)*Calculateur!V155*Calculateur!X155*VLOOKUP('Données projet'!$B$9,Paramètres!$A$1:$I$89,3,0)*0.475*44/12</f>
        <v>3.0865460525091115</v>
      </c>
      <c r="AB155" s="21">
        <f>EXP(-LN(2)/2)*AB154+(1-EXP(-LN(2)/2))/(LN(2)/2)*V155*Y155*VLOOKUP('Données projet'!$B$9,Paramètres!$A$1:$I$89,3,0)*0.475*44/12</f>
        <v>1.4355226675920651E-13</v>
      </c>
      <c r="AC155" s="22">
        <f t="shared" si="163"/>
        <v>27.414185066335563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 t="e">
        <f>AI155*VLOOKUP('Données projet'!$B$10,Paramètres!$A$1:$I$89,3,0)*VLOOKUP('Données projet'!$B$10,Paramètres!$A$1:$I$89,5,0)</f>
        <v>#N/A</v>
      </c>
      <c r="AK155" s="13" t="e">
        <f t="shared" si="164"/>
        <v>#N/A</v>
      </c>
      <c r="AL155" s="20" t="e">
        <f t="shared" si="165"/>
        <v>#N/A</v>
      </c>
      <c r="AM155" s="59" t="e">
        <f t="shared" si="113"/>
        <v>#N/A</v>
      </c>
      <c r="AN155" s="59" t="e">
        <f ca="1">AVERAGE(OFFSET($AM$3,0,0,'Données projet'!$E$10+1,1))-AVERAGE(OFFSET($H$3,0,0,'Données projet'!$E$10+1,1))</f>
        <v>#N/A</v>
      </c>
      <c r="AO155" s="59" t="e">
        <f t="shared" si="144"/>
        <v>#N/A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 t="e">
        <f>EXP(-LN(2)/35)*AU154+(1-EXP(-LN(2)/35))/(LN(2)/35)*AQ155*AR155*VLOOKUP('Données projet'!$B$10,Paramètres!$A$1:$I$89,3,0)*0.475*44/12</f>
        <v>#N/A</v>
      </c>
      <c r="AV155" s="21" t="e">
        <f>EXP(-LN(2)/25)*AV154+(1-EXP(-LN(2)/25))/(LN(2)/25)*Calculateur!AQ155*Calculateur!AS155*VLOOKUP('Données projet'!$B$10,Paramètres!$A$1:$I$89,3,0)*0.475*44/12</f>
        <v>#N/A</v>
      </c>
      <c r="AW155" s="21" t="e">
        <f>EXP(-LN(2)/2)*AW154+(1-EXP(-LN(2)/2))/(LN(2)/2)*AQ155*AT155*VLOOKUP('Données projet'!$B$10,Paramètres!$A$1:$I$89,3,0)*0.475*44/12</f>
        <v>#N/A</v>
      </c>
      <c r="AX155" s="21" t="e">
        <f t="shared" si="166"/>
        <v>#N/A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40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67">
        <f t="shared" si="110"/>
        <v>256.66666666666669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-1.7053025658242404E-13</v>
      </c>
      <c r="O156" s="13">
        <f>N156*VLOOKUP('Données projet'!$B$9,Paramètres!$A$1:$I$89,3,0)*VLOOKUP('Données projet'!$B$9,Paramètres!$A$1:$I$89,5,0)</f>
        <v>-1.0197709343628959E-13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323.17232038705157</v>
      </c>
      <c r="T156" s="59">
        <f t="shared" si="142"/>
        <v>402.34685738619197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23.850588851159806</v>
      </c>
      <c r="AA156" s="21">
        <f>EXP(-LN(2)/25)*AA155+(1-EXP(-LN(2)/25))/(LN(2)/25)*Calculateur!V156*Calculateur!X156*VLOOKUP('Données projet'!$B$9,Paramètres!$A$1:$I$89,3,0)*0.475*44/12</f>
        <v>3.0021442883888474</v>
      </c>
      <c r="AB156" s="21">
        <f>EXP(-LN(2)/2)*AB155+(1-EXP(-LN(2)/2))/(LN(2)/2)*V156*Y156*VLOOKUP('Données projet'!$B$9,Paramètres!$A$1:$I$89,3,0)*0.475*44/12</f>
        <v>1.0150678128013514E-13</v>
      </c>
      <c r="AC156" s="22">
        <f t="shared" si="163"/>
        <v>26.852733139548757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 t="e">
        <f>AI156*VLOOKUP('Données projet'!$B$10,Paramètres!$A$1:$I$89,3,0)*VLOOKUP('Données projet'!$B$10,Paramètres!$A$1:$I$89,5,0)</f>
        <v>#N/A</v>
      </c>
      <c r="AK156" s="13" t="e">
        <f t="shared" si="164"/>
        <v>#N/A</v>
      </c>
      <c r="AL156" s="20" t="e">
        <f t="shared" si="165"/>
        <v>#N/A</v>
      </c>
      <c r="AM156" s="59" t="e">
        <f t="shared" si="113"/>
        <v>#N/A</v>
      </c>
      <c r="AN156" s="59" t="e">
        <f ca="1">AVERAGE(OFFSET($AM$3,0,0,'Données projet'!$E$10+1,1))-AVERAGE(OFFSET($H$3,0,0,'Données projet'!$E$10+1,1))</f>
        <v>#N/A</v>
      </c>
      <c r="AO156" s="59" t="e">
        <f t="shared" si="144"/>
        <v>#N/A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 t="e">
        <f>EXP(-LN(2)/35)*AU155+(1-EXP(-LN(2)/35))/(LN(2)/35)*AQ156*AR156*VLOOKUP('Données projet'!$B$10,Paramètres!$A$1:$I$89,3,0)*0.475*44/12</f>
        <v>#N/A</v>
      </c>
      <c r="AV156" s="21" t="e">
        <f>EXP(-LN(2)/25)*AV155+(1-EXP(-LN(2)/25))/(LN(2)/25)*Calculateur!AQ156*Calculateur!AS156*VLOOKUP('Données projet'!$B$10,Paramètres!$A$1:$I$89,3,0)*0.475*44/12</f>
        <v>#N/A</v>
      </c>
      <c r="AW156" s="21" t="e">
        <f>EXP(-LN(2)/2)*AW155+(1-EXP(-LN(2)/2))/(LN(2)/2)*AQ156*AT156*VLOOKUP('Données projet'!$B$10,Paramètres!$A$1:$I$89,3,0)*0.475*44/12</f>
        <v>#N/A</v>
      </c>
      <c r="AX156" s="21" t="e">
        <f t="shared" si="166"/>
        <v>#N/A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40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67">
        <f t="shared" si="110"/>
        <v>256.66666666666669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-1.7053025658242404E-13</v>
      </c>
      <c r="O157" s="13">
        <f>N157*VLOOKUP('Données projet'!$B$9,Paramètres!$A$1:$I$89,3,0)*VLOOKUP('Données projet'!$B$9,Paramètres!$A$1:$I$89,5,0)</f>
        <v>-1.0197709343628959E-13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323.17232038705157</v>
      </c>
      <c r="T157" s="59">
        <f t="shared" si="142"/>
        <v>402.34685738619197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23.382893351211322</v>
      </c>
      <c r="AA157" s="21">
        <f>EXP(-LN(2)/25)*AA156+(1-EXP(-LN(2)/25))/(LN(2)/25)*Calculateur!V157*Calculateur!X157*VLOOKUP('Données projet'!$B$9,Paramètres!$A$1:$I$89,3,0)*0.475*44/12</f>
        <v>2.9200504949469477</v>
      </c>
      <c r="AB157" s="21">
        <f>EXP(-LN(2)/2)*AB156+(1-EXP(-LN(2)/2))/(LN(2)/2)*V157*Y157*VLOOKUP('Données projet'!$B$9,Paramètres!$A$1:$I$89,3,0)*0.475*44/12</f>
        <v>7.1776133379603257E-14</v>
      </c>
      <c r="AC157" s="22">
        <f t="shared" si="163"/>
        <v>26.302943846158342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 t="e">
        <f>AI157*VLOOKUP('Données projet'!$B$10,Paramètres!$A$1:$I$89,3,0)*VLOOKUP('Données projet'!$B$10,Paramètres!$A$1:$I$89,5,0)</f>
        <v>#N/A</v>
      </c>
      <c r="AK157" s="13" t="e">
        <f t="shared" si="164"/>
        <v>#N/A</v>
      </c>
      <c r="AL157" s="20" t="e">
        <f t="shared" si="165"/>
        <v>#N/A</v>
      </c>
      <c r="AM157" s="59" t="e">
        <f t="shared" si="113"/>
        <v>#N/A</v>
      </c>
      <c r="AN157" s="59" t="e">
        <f ca="1">AVERAGE(OFFSET($AM$3,0,0,'Données projet'!$E$10+1,1))-AVERAGE(OFFSET($H$3,0,0,'Données projet'!$E$10+1,1))</f>
        <v>#N/A</v>
      </c>
      <c r="AO157" s="59" t="e">
        <f t="shared" si="144"/>
        <v>#N/A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 t="e">
        <f>EXP(-LN(2)/35)*AU156+(1-EXP(-LN(2)/35))/(LN(2)/35)*AQ157*AR157*VLOOKUP('Données projet'!$B$10,Paramètres!$A$1:$I$89,3,0)*0.475*44/12</f>
        <v>#N/A</v>
      </c>
      <c r="AV157" s="21" t="e">
        <f>EXP(-LN(2)/25)*AV156+(1-EXP(-LN(2)/25))/(LN(2)/25)*Calculateur!AQ157*Calculateur!AS157*VLOOKUP('Données projet'!$B$10,Paramètres!$A$1:$I$89,3,0)*0.475*44/12</f>
        <v>#N/A</v>
      </c>
      <c r="AW157" s="21" t="e">
        <f>EXP(-LN(2)/2)*AW156+(1-EXP(-LN(2)/2))/(LN(2)/2)*AQ157*AT157*VLOOKUP('Données projet'!$B$10,Paramètres!$A$1:$I$89,3,0)*0.475*44/12</f>
        <v>#N/A</v>
      </c>
      <c r="AX157" s="21" t="e">
        <f t="shared" si="166"/>
        <v>#N/A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40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67">
        <f t="shared" si="110"/>
        <v>256.66666666666669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-1.7053025658242404E-13</v>
      </c>
      <c r="O158" s="13">
        <f>N158*VLOOKUP('Données projet'!$B$9,Paramètres!$A$1:$I$89,3,0)*VLOOKUP('Données projet'!$B$9,Paramètres!$A$1:$I$89,5,0)</f>
        <v>-1.0197709343628959E-13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323.17232038705157</v>
      </c>
      <c r="T158" s="59">
        <f t="shared" si="142"/>
        <v>402.34685738619197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22.924369074750743</v>
      </c>
      <c r="AA158" s="21">
        <f>EXP(-LN(2)/25)*AA157+(1-EXP(-LN(2)/25))/(LN(2)/25)*Calculateur!V158*Calculateur!X158*VLOOKUP('Données projet'!$B$9,Paramètres!$A$1:$I$89,3,0)*0.475*44/12</f>
        <v>2.8402015606038415</v>
      </c>
      <c r="AB158" s="21">
        <f>EXP(-LN(2)/2)*AB157+(1-EXP(-LN(2)/2))/(LN(2)/2)*V158*Y158*VLOOKUP('Données projet'!$B$9,Paramètres!$A$1:$I$89,3,0)*0.475*44/12</f>
        <v>5.0753390640067571E-14</v>
      </c>
      <c r="AC158" s="22">
        <f t="shared" si="163"/>
        <v>25.764570635354634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 t="e">
        <f>AI158*VLOOKUP('Données projet'!$B$10,Paramètres!$A$1:$I$89,3,0)*VLOOKUP('Données projet'!$B$10,Paramètres!$A$1:$I$89,5,0)</f>
        <v>#N/A</v>
      </c>
      <c r="AK158" s="13" t="e">
        <f t="shared" si="164"/>
        <v>#N/A</v>
      </c>
      <c r="AL158" s="20" t="e">
        <f t="shared" si="165"/>
        <v>#N/A</v>
      </c>
      <c r="AM158" s="59" t="e">
        <f t="shared" si="113"/>
        <v>#N/A</v>
      </c>
      <c r="AN158" s="59" t="e">
        <f ca="1">AVERAGE(OFFSET($AM$3,0,0,'Données projet'!$E$10+1,1))-AVERAGE(OFFSET($H$3,0,0,'Données projet'!$E$10+1,1))</f>
        <v>#N/A</v>
      </c>
      <c r="AO158" s="59" t="e">
        <f t="shared" si="144"/>
        <v>#N/A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 t="e">
        <f>EXP(-LN(2)/35)*AU157+(1-EXP(-LN(2)/35))/(LN(2)/35)*AQ158*AR158*VLOOKUP('Données projet'!$B$10,Paramètres!$A$1:$I$89,3,0)*0.475*44/12</f>
        <v>#N/A</v>
      </c>
      <c r="AV158" s="21" t="e">
        <f>EXP(-LN(2)/25)*AV157+(1-EXP(-LN(2)/25))/(LN(2)/25)*Calculateur!AQ158*Calculateur!AS158*VLOOKUP('Données projet'!$B$10,Paramètres!$A$1:$I$89,3,0)*0.475*44/12</f>
        <v>#N/A</v>
      </c>
      <c r="AW158" s="21" t="e">
        <f>EXP(-LN(2)/2)*AW157+(1-EXP(-LN(2)/2))/(LN(2)/2)*AQ158*AT158*VLOOKUP('Données projet'!$B$10,Paramètres!$A$1:$I$89,3,0)*0.475*44/12</f>
        <v>#N/A</v>
      </c>
      <c r="AX158" s="21" t="e">
        <f t="shared" si="166"/>
        <v>#N/A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40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67">
        <f t="shared" si="110"/>
        <v>256.66666666666669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-1.7053025658242404E-13</v>
      </c>
      <c r="O159" s="13">
        <f>N159*VLOOKUP('Données projet'!$B$9,Paramètres!$A$1:$I$89,3,0)*VLOOKUP('Données projet'!$B$9,Paramètres!$A$1:$I$89,5,0)</f>
        <v>-1.0197709343628959E-13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323.17232038705157</v>
      </c>
      <c r="T159" s="59">
        <f t="shared" si="142"/>
        <v>402.34685738619197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22.474836179679361</v>
      </c>
      <c r="AA159" s="21">
        <f>EXP(-LN(2)/25)*AA158+(1-EXP(-LN(2)/25))/(LN(2)/25)*Calculateur!V159*Calculateur!X159*VLOOKUP('Données projet'!$B$9,Paramètres!$A$1:$I$89,3,0)*0.475*44/12</f>
        <v>2.7625360995694206</v>
      </c>
      <c r="AB159" s="21">
        <f>EXP(-LN(2)/2)*AB158+(1-EXP(-LN(2)/2))/(LN(2)/2)*V159*Y159*VLOOKUP('Données projet'!$B$9,Paramètres!$A$1:$I$89,3,0)*0.475*44/12</f>
        <v>3.5888066689801628E-14</v>
      </c>
      <c r="AC159" s="22">
        <f t="shared" si="163"/>
        <v>25.237372279248817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 t="e">
        <f>AI159*VLOOKUP('Données projet'!$B$10,Paramètres!$A$1:$I$89,3,0)*VLOOKUP('Données projet'!$B$10,Paramètres!$A$1:$I$89,5,0)</f>
        <v>#N/A</v>
      </c>
      <c r="AK159" s="13" t="e">
        <f t="shared" si="164"/>
        <v>#N/A</v>
      </c>
      <c r="AL159" s="20" t="e">
        <f t="shared" si="165"/>
        <v>#N/A</v>
      </c>
      <c r="AM159" s="59" t="e">
        <f t="shared" si="113"/>
        <v>#N/A</v>
      </c>
      <c r="AN159" s="59" t="e">
        <f ca="1">AVERAGE(OFFSET($AM$3,0,0,'Données projet'!$E$10+1,1))-AVERAGE(OFFSET($H$3,0,0,'Données projet'!$E$10+1,1))</f>
        <v>#N/A</v>
      </c>
      <c r="AO159" s="59" t="e">
        <f t="shared" si="144"/>
        <v>#N/A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 t="e">
        <f>EXP(-LN(2)/35)*AU158+(1-EXP(-LN(2)/35))/(LN(2)/35)*AQ159*AR159*VLOOKUP('Données projet'!$B$10,Paramètres!$A$1:$I$89,3,0)*0.475*44/12</f>
        <v>#N/A</v>
      </c>
      <c r="AV159" s="21" t="e">
        <f>EXP(-LN(2)/25)*AV158+(1-EXP(-LN(2)/25))/(LN(2)/25)*Calculateur!AQ159*Calculateur!AS159*VLOOKUP('Données projet'!$B$10,Paramètres!$A$1:$I$89,3,0)*0.475*44/12</f>
        <v>#N/A</v>
      </c>
      <c r="AW159" s="21" t="e">
        <f>EXP(-LN(2)/2)*AW158+(1-EXP(-LN(2)/2))/(LN(2)/2)*AQ159*AT159*VLOOKUP('Données projet'!$B$10,Paramètres!$A$1:$I$89,3,0)*0.475*44/12</f>
        <v>#N/A</v>
      </c>
      <c r="AX159" s="21" t="e">
        <f t="shared" si="166"/>
        <v>#N/A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40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67">
        <f t="shared" si="110"/>
        <v>256.66666666666669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-1.7053025658242404E-13</v>
      </c>
      <c r="O160" s="13">
        <f>N160*VLOOKUP('Données projet'!$B$9,Paramètres!$A$1:$I$89,3,0)*VLOOKUP('Données projet'!$B$9,Paramètres!$A$1:$I$89,5,0)</f>
        <v>-1.0197709343628959E-13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323.17232038705157</v>
      </c>
      <c r="T160" s="59">
        <f t="shared" si="142"/>
        <v>402.34685738619197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22.034118350492335</v>
      </c>
      <c r="AA160" s="21">
        <f>EXP(-LN(2)/25)*AA159+(1-EXP(-LN(2)/25))/(LN(2)/25)*Calculateur!V160*Calculateur!X160*VLOOKUP('Données projet'!$B$9,Paramètres!$A$1:$I$89,3,0)*0.475*44/12</f>
        <v>2.6869944046512351</v>
      </c>
      <c r="AB160" s="21">
        <f>EXP(-LN(2)/2)*AB159+(1-EXP(-LN(2)/2))/(LN(2)/2)*V160*Y160*VLOOKUP('Données projet'!$B$9,Paramètres!$A$1:$I$89,3,0)*0.475*44/12</f>
        <v>2.5376695320033785E-14</v>
      </c>
      <c r="AC160" s="22">
        <f t="shared" si="163"/>
        <v>24.721112755143594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 t="e">
        <f>AI160*VLOOKUP('Données projet'!$B$10,Paramètres!$A$1:$I$89,3,0)*VLOOKUP('Données projet'!$B$10,Paramètres!$A$1:$I$89,5,0)</f>
        <v>#N/A</v>
      </c>
      <c r="AK160" s="13" t="e">
        <f t="shared" si="164"/>
        <v>#N/A</v>
      </c>
      <c r="AL160" s="20" t="e">
        <f t="shared" si="165"/>
        <v>#N/A</v>
      </c>
      <c r="AM160" s="59" t="e">
        <f t="shared" si="113"/>
        <v>#N/A</v>
      </c>
      <c r="AN160" s="59" t="e">
        <f ca="1">AVERAGE(OFFSET($AM$3,0,0,'Données projet'!$E$10+1,1))-AVERAGE(OFFSET($H$3,0,0,'Données projet'!$E$10+1,1))</f>
        <v>#N/A</v>
      </c>
      <c r="AO160" s="59" t="e">
        <f t="shared" si="144"/>
        <v>#N/A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 t="e">
        <f>EXP(-LN(2)/35)*AU159+(1-EXP(-LN(2)/35))/(LN(2)/35)*AQ160*AR160*VLOOKUP('Données projet'!$B$10,Paramètres!$A$1:$I$89,3,0)*0.475*44/12</f>
        <v>#N/A</v>
      </c>
      <c r="AV160" s="21" t="e">
        <f>EXP(-LN(2)/25)*AV159+(1-EXP(-LN(2)/25))/(LN(2)/25)*Calculateur!AQ160*Calculateur!AS160*VLOOKUP('Données projet'!$B$10,Paramètres!$A$1:$I$89,3,0)*0.475*44/12</f>
        <v>#N/A</v>
      </c>
      <c r="AW160" s="21" t="e">
        <f>EXP(-LN(2)/2)*AW159+(1-EXP(-LN(2)/2))/(LN(2)/2)*AQ160*AT160*VLOOKUP('Données projet'!$B$10,Paramètres!$A$1:$I$89,3,0)*0.475*44/12</f>
        <v>#N/A</v>
      </c>
      <c r="AX160" s="21" t="e">
        <f t="shared" si="166"/>
        <v>#N/A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40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67">
        <f t="shared" si="110"/>
        <v>256.66666666666669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-1.7053025658242404E-13</v>
      </c>
      <c r="O161" s="13">
        <f>N161*VLOOKUP('Données projet'!$B$9,Paramètres!$A$1:$I$89,3,0)*VLOOKUP('Données projet'!$B$9,Paramètres!$A$1:$I$89,5,0)</f>
        <v>-1.0197709343628959E-13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323.17232038705157</v>
      </c>
      <c r="T161" s="59">
        <f t="shared" si="142"/>
        <v>402.34685738619197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21.602042729124335</v>
      </c>
      <c r="AA161" s="21">
        <f>EXP(-LN(2)/25)*AA160+(1-EXP(-LN(2)/25))/(LN(2)/25)*Calculateur!V161*Calculateur!X161*VLOOKUP('Données projet'!$B$9,Paramètres!$A$1:$I$89,3,0)*0.475*44/12</f>
        <v>2.6135184013531525</v>
      </c>
      <c r="AB161" s="21">
        <f>EXP(-LN(2)/2)*AB160+(1-EXP(-LN(2)/2))/(LN(2)/2)*V161*Y161*VLOOKUP('Données projet'!$B$9,Paramètres!$A$1:$I$89,3,0)*0.475*44/12</f>
        <v>1.7944033344900814E-14</v>
      </c>
      <c r="AC161" s="22">
        <f t="shared" si="163"/>
        <v>24.215561130477507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 t="e">
        <f>AI161*VLOOKUP('Données projet'!$B$10,Paramètres!$A$1:$I$89,3,0)*VLOOKUP('Données projet'!$B$10,Paramètres!$A$1:$I$89,5,0)</f>
        <v>#N/A</v>
      </c>
      <c r="AK161" s="13" t="e">
        <f t="shared" si="164"/>
        <v>#N/A</v>
      </c>
      <c r="AL161" s="20" t="e">
        <f t="shared" si="165"/>
        <v>#N/A</v>
      </c>
      <c r="AM161" s="59" t="e">
        <f t="shared" si="113"/>
        <v>#N/A</v>
      </c>
      <c r="AN161" s="59" t="e">
        <f ca="1">AVERAGE(OFFSET($AM$3,0,0,'Données projet'!$E$10+1,1))-AVERAGE(OFFSET($H$3,0,0,'Données projet'!$E$10+1,1))</f>
        <v>#N/A</v>
      </c>
      <c r="AO161" s="59" t="e">
        <f t="shared" si="144"/>
        <v>#N/A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 t="e">
        <f>EXP(-LN(2)/35)*AU160+(1-EXP(-LN(2)/35))/(LN(2)/35)*AQ161*AR161*VLOOKUP('Données projet'!$B$10,Paramètres!$A$1:$I$89,3,0)*0.475*44/12</f>
        <v>#N/A</v>
      </c>
      <c r="AV161" s="21" t="e">
        <f>EXP(-LN(2)/25)*AV160+(1-EXP(-LN(2)/25))/(LN(2)/25)*Calculateur!AQ161*Calculateur!AS161*VLOOKUP('Données projet'!$B$10,Paramètres!$A$1:$I$89,3,0)*0.475*44/12</f>
        <v>#N/A</v>
      </c>
      <c r="AW161" s="21" t="e">
        <f>EXP(-LN(2)/2)*AW160+(1-EXP(-LN(2)/2))/(LN(2)/2)*AQ161*AT161*VLOOKUP('Données projet'!$B$10,Paramètres!$A$1:$I$89,3,0)*0.475*44/12</f>
        <v>#N/A</v>
      </c>
      <c r="AX161" s="21" t="e">
        <f t="shared" si="166"/>
        <v>#N/A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40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67">
        <f t="shared" si="110"/>
        <v>256.66666666666669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-1.7053025658242404E-13</v>
      </c>
      <c r="O162" s="13">
        <f>N162*VLOOKUP('Données projet'!$B$9,Paramètres!$A$1:$I$89,3,0)*VLOOKUP('Données projet'!$B$9,Paramètres!$A$1:$I$89,5,0)</f>
        <v>-1.0197709343628959E-13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323.17232038705157</v>
      </c>
      <c r="T162" s="59">
        <f t="shared" si="142"/>
        <v>402.34685738619197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21.178439847151257</v>
      </c>
      <c r="AA162" s="21">
        <f>EXP(-LN(2)/25)*AA161+(1-EXP(-LN(2)/25))/(LN(2)/25)*Calculateur!V162*Calculateur!X162*VLOOKUP('Données projet'!$B$9,Paramètres!$A$1:$I$89,3,0)*0.475*44/12</f>
        <v>2.5420516032291909</v>
      </c>
      <c r="AB162" s="21">
        <f>EXP(-LN(2)/2)*AB161+(1-EXP(-LN(2)/2))/(LN(2)/2)*V162*Y162*VLOOKUP('Données projet'!$B$9,Paramètres!$A$1:$I$89,3,0)*0.475*44/12</f>
        <v>1.2688347660016893E-14</v>
      </c>
      <c r="AC162" s="22">
        <f t="shared" si="163"/>
        <v>23.720491450380461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 t="e">
        <f>AI162*VLOOKUP('Données projet'!$B$10,Paramètres!$A$1:$I$89,3,0)*VLOOKUP('Données projet'!$B$10,Paramètres!$A$1:$I$89,5,0)</f>
        <v>#N/A</v>
      </c>
      <c r="AK162" s="13" t="e">
        <f t="shared" si="164"/>
        <v>#N/A</v>
      </c>
      <c r="AL162" s="20" t="e">
        <f t="shared" si="165"/>
        <v>#N/A</v>
      </c>
      <c r="AM162" s="59" t="e">
        <f t="shared" si="113"/>
        <v>#N/A</v>
      </c>
      <c r="AN162" s="59" t="e">
        <f ca="1">AVERAGE(OFFSET($AM$3,0,0,'Données projet'!$E$10+1,1))-AVERAGE(OFFSET($H$3,0,0,'Données projet'!$E$10+1,1))</f>
        <v>#N/A</v>
      </c>
      <c r="AO162" s="59" t="e">
        <f t="shared" si="144"/>
        <v>#N/A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 t="e">
        <f>EXP(-LN(2)/35)*AU161+(1-EXP(-LN(2)/35))/(LN(2)/35)*AQ162*AR162*VLOOKUP('Données projet'!$B$10,Paramètres!$A$1:$I$89,3,0)*0.475*44/12</f>
        <v>#N/A</v>
      </c>
      <c r="AV162" s="21" t="e">
        <f>EXP(-LN(2)/25)*AV161+(1-EXP(-LN(2)/25))/(LN(2)/25)*Calculateur!AQ162*Calculateur!AS162*VLOOKUP('Données projet'!$B$10,Paramètres!$A$1:$I$89,3,0)*0.475*44/12</f>
        <v>#N/A</v>
      </c>
      <c r="AW162" s="21" t="e">
        <f>EXP(-LN(2)/2)*AW161+(1-EXP(-LN(2)/2))/(LN(2)/2)*AQ162*AT162*VLOOKUP('Données projet'!$B$10,Paramètres!$A$1:$I$89,3,0)*0.475*44/12</f>
        <v>#N/A</v>
      </c>
      <c r="AX162" s="21" t="e">
        <f t="shared" si="166"/>
        <v>#N/A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40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67">
        <f t="shared" si="110"/>
        <v>256.66666666666669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-1.7053025658242404E-13</v>
      </c>
      <c r="O163" s="13">
        <f>N163*VLOOKUP('Données projet'!$B$9,Paramètres!$A$1:$I$89,3,0)*VLOOKUP('Données projet'!$B$9,Paramètres!$A$1:$I$89,5,0)</f>
        <v>-1.0197709343628959E-13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323.17232038705157</v>
      </c>
      <c r="T163" s="59">
        <f t="shared" si="142"/>
        <v>402.34685738619197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20.763143559321424</v>
      </c>
      <c r="AA163" s="21">
        <f>EXP(-LN(2)/25)*AA162+(1-EXP(-LN(2)/25))/(LN(2)/25)*Calculateur!V163*Calculateur!X163*VLOOKUP('Données projet'!$B$9,Paramètres!$A$1:$I$89,3,0)*0.475*44/12</f>
        <v>2.4725390684582047</v>
      </c>
      <c r="AB163" s="21">
        <f>EXP(-LN(2)/2)*AB162+(1-EXP(-LN(2)/2))/(LN(2)/2)*V163*Y163*VLOOKUP('Données projet'!$B$9,Paramètres!$A$1:$I$89,3,0)*0.475*44/12</f>
        <v>8.9720166724504071E-15</v>
      </c>
      <c r="AC163" s="22">
        <f t="shared" si="163"/>
        <v>23.235682627779639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 t="e">
        <f>AI163*VLOOKUP('Données projet'!$B$10,Paramètres!$A$1:$I$89,3,0)*VLOOKUP('Données projet'!$B$10,Paramètres!$A$1:$I$89,5,0)</f>
        <v>#N/A</v>
      </c>
      <c r="AK163" s="13" t="e">
        <f t="shared" si="164"/>
        <v>#N/A</v>
      </c>
      <c r="AL163" s="20" t="e">
        <f t="shared" si="165"/>
        <v>#N/A</v>
      </c>
      <c r="AM163" s="59" t="e">
        <f t="shared" si="113"/>
        <v>#N/A</v>
      </c>
      <c r="AN163" s="59" t="e">
        <f ca="1">AVERAGE(OFFSET($AM$3,0,0,'Données projet'!$E$10+1,1))-AVERAGE(OFFSET($H$3,0,0,'Données projet'!$E$10+1,1))</f>
        <v>#N/A</v>
      </c>
      <c r="AO163" s="59" t="e">
        <f t="shared" si="144"/>
        <v>#N/A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 t="e">
        <f>EXP(-LN(2)/35)*AU162+(1-EXP(-LN(2)/35))/(LN(2)/35)*AQ163*AR163*VLOOKUP('Données projet'!$B$10,Paramètres!$A$1:$I$89,3,0)*0.475*44/12</f>
        <v>#N/A</v>
      </c>
      <c r="AV163" s="21" t="e">
        <f>EXP(-LN(2)/25)*AV162+(1-EXP(-LN(2)/25))/(LN(2)/25)*Calculateur!AQ163*Calculateur!AS163*VLOOKUP('Données projet'!$B$10,Paramètres!$A$1:$I$89,3,0)*0.475*44/12</f>
        <v>#N/A</v>
      </c>
      <c r="AW163" s="21" t="e">
        <f>EXP(-LN(2)/2)*AW162+(1-EXP(-LN(2)/2))/(LN(2)/2)*AQ163*AT163*VLOOKUP('Données projet'!$B$10,Paramètres!$A$1:$I$89,3,0)*0.475*44/12</f>
        <v>#N/A</v>
      </c>
      <c r="AX163" s="21" t="e">
        <f t="shared" si="166"/>
        <v>#N/A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140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67">
        <f t="shared" si="110"/>
        <v>256.66666666666669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-1.7053025658242404E-13</v>
      </c>
      <c r="O164" s="13">
        <f>N164*VLOOKUP('Données projet'!$B$9,Paramètres!$A$1:$I$89,3,0)*VLOOKUP('Données projet'!$B$9,Paramètres!$A$1:$I$89,5,0)</f>
        <v>-1.0197709343628959E-13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323.17232038705157</v>
      </c>
      <c r="T164" s="59">
        <f t="shared" si="142"/>
        <v>402.34685738619197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20.35599097839021</v>
      </c>
      <c r="AA164" s="21">
        <f>EXP(-LN(2)/25)*AA163+(1-EXP(-LN(2)/25))/(LN(2)/25)*Calculateur!V164*Calculateur!X164*VLOOKUP('Données projet'!$B$9,Paramètres!$A$1:$I$89,3,0)*0.475*44/12</f>
        <v>2.4049273576060366</v>
      </c>
      <c r="AB164" s="21">
        <f>EXP(-LN(2)/2)*AB163+(1-EXP(-LN(2)/2))/(LN(2)/2)*V164*Y164*VLOOKUP('Données projet'!$B$9,Paramètres!$A$1:$I$89,3,0)*0.475*44/12</f>
        <v>6.3441738300084463E-15</v>
      </c>
      <c r="AC164" s="22">
        <f t="shared" si="163"/>
        <v>22.760918335996255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 t="e">
        <f>AI164*VLOOKUP('Données projet'!$B$10,Paramètres!$A$1:$I$89,3,0)*VLOOKUP('Données projet'!$B$10,Paramètres!$A$1:$I$89,5,0)</f>
        <v>#N/A</v>
      </c>
      <c r="AK164" s="13" t="e">
        <f t="shared" si="164"/>
        <v>#N/A</v>
      </c>
      <c r="AL164" s="20" t="e">
        <f t="shared" si="165"/>
        <v>#N/A</v>
      </c>
      <c r="AM164" s="59" t="e">
        <f t="shared" si="113"/>
        <v>#N/A</v>
      </c>
      <c r="AN164" s="59" t="e">
        <f ca="1">AVERAGE(OFFSET($AM$3,0,0,'Données projet'!$E$10+1,1))-AVERAGE(OFFSET($H$3,0,0,'Données projet'!$E$10+1,1))</f>
        <v>#N/A</v>
      </c>
      <c r="AO164" s="59" t="e">
        <f t="shared" si="144"/>
        <v>#N/A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 t="e">
        <f>EXP(-LN(2)/35)*AU163+(1-EXP(-LN(2)/35))/(LN(2)/35)*AQ164*AR164*VLOOKUP('Données projet'!$B$10,Paramètres!$A$1:$I$89,3,0)*0.475*44/12</f>
        <v>#N/A</v>
      </c>
      <c r="AV164" s="21" t="e">
        <f>EXP(-LN(2)/25)*AV163+(1-EXP(-LN(2)/25))/(LN(2)/25)*Calculateur!AQ164*Calculateur!AS164*VLOOKUP('Données projet'!$B$10,Paramètres!$A$1:$I$89,3,0)*0.475*44/12</f>
        <v>#N/A</v>
      </c>
      <c r="AW164" s="21" t="e">
        <f>EXP(-LN(2)/2)*AW163+(1-EXP(-LN(2)/2))/(LN(2)/2)*AQ164*AT164*VLOOKUP('Données projet'!$B$10,Paramètres!$A$1:$I$89,3,0)*0.475*44/12</f>
        <v>#N/A</v>
      </c>
      <c r="AX164" s="21" t="e">
        <f t="shared" si="166"/>
        <v>#N/A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140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67">
        <f t="shared" si="110"/>
        <v>256.66666666666669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-1.7053025658242404E-13</v>
      </c>
      <c r="O165" s="13">
        <f>N165*VLOOKUP('Données projet'!$B$9,Paramètres!$A$1:$I$89,3,0)*VLOOKUP('Données projet'!$B$9,Paramètres!$A$1:$I$89,5,0)</f>
        <v>-1.0197709343628959E-13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323.17232038705157</v>
      </c>
      <c r="T165" s="59">
        <f t="shared" si="142"/>
        <v>402.34685738619197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19.956822411232505</v>
      </c>
      <c r="AA165" s="21">
        <f>EXP(-LN(2)/25)*AA164+(1-EXP(-LN(2)/25))/(LN(2)/25)*Calculateur!V165*Calculateur!X165*VLOOKUP('Données projet'!$B$9,Paramètres!$A$1:$I$89,3,0)*0.475*44/12</f>
        <v>2.3391644925426665</v>
      </c>
      <c r="AB165" s="21">
        <f>EXP(-LN(2)/2)*AB164+(1-EXP(-LN(2)/2))/(LN(2)/2)*V165*Y165*VLOOKUP('Données projet'!$B$9,Paramètres!$A$1:$I$89,3,0)*0.475*44/12</f>
        <v>4.4860083362252035E-15</v>
      </c>
      <c r="AC165" s="22">
        <f t="shared" si="163"/>
        <v>22.295986903775177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 t="e">
        <f>AI165*VLOOKUP('Données projet'!$B$10,Paramètres!$A$1:$I$89,3,0)*VLOOKUP('Données projet'!$B$10,Paramètres!$A$1:$I$89,5,0)</f>
        <v>#N/A</v>
      </c>
      <c r="AK165" s="13" t="e">
        <f t="shared" si="164"/>
        <v>#N/A</v>
      </c>
      <c r="AL165" s="20" t="e">
        <f t="shared" si="165"/>
        <v>#N/A</v>
      </c>
      <c r="AM165" s="59" t="e">
        <f t="shared" si="113"/>
        <v>#N/A</v>
      </c>
      <c r="AN165" s="59" t="e">
        <f ca="1">AVERAGE(OFFSET($AM$3,0,0,'Données projet'!$E$10+1,1))-AVERAGE(OFFSET($H$3,0,0,'Données projet'!$E$10+1,1))</f>
        <v>#N/A</v>
      </c>
      <c r="AO165" s="59" t="e">
        <f t="shared" si="144"/>
        <v>#N/A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 t="e">
        <f>EXP(-LN(2)/35)*AU164+(1-EXP(-LN(2)/35))/(LN(2)/35)*AQ165*AR165*VLOOKUP('Données projet'!$B$10,Paramètres!$A$1:$I$89,3,0)*0.475*44/12</f>
        <v>#N/A</v>
      </c>
      <c r="AV165" s="21" t="e">
        <f>EXP(-LN(2)/25)*AV164+(1-EXP(-LN(2)/25))/(LN(2)/25)*Calculateur!AQ165*Calculateur!AS165*VLOOKUP('Données projet'!$B$10,Paramètres!$A$1:$I$89,3,0)*0.475*44/12</f>
        <v>#N/A</v>
      </c>
      <c r="AW165" s="21" t="e">
        <f>EXP(-LN(2)/2)*AW164+(1-EXP(-LN(2)/2))/(LN(2)/2)*AQ165*AT165*VLOOKUP('Données projet'!$B$10,Paramètres!$A$1:$I$89,3,0)*0.475*44/12</f>
        <v>#N/A</v>
      </c>
      <c r="AX165" s="21" t="e">
        <f t="shared" si="166"/>
        <v>#N/A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140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67">
        <f t="shared" si="110"/>
        <v>256.66666666666669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-1.7053025658242404E-13</v>
      </c>
      <c r="O166" s="13">
        <f>N166*VLOOKUP('Données projet'!$B$9,Paramètres!$A$1:$I$89,3,0)*VLOOKUP('Données projet'!$B$9,Paramètres!$A$1:$I$89,5,0)</f>
        <v>-1.0197709343628959E-13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323.17232038705157</v>
      </c>
      <c r="T166" s="59">
        <f t="shared" si="142"/>
        <v>402.34685738619197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19.565481296207977</v>
      </c>
      <c r="AA166" s="21">
        <f>EXP(-LN(2)/25)*AA165+(1-EXP(-LN(2)/25))/(LN(2)/25)*Calculateur!V166*Calculateur!X166*VLOOKUP('Données projet'!$B$9,Paramètres!$A$1:$I$89,3,0)*0.475*44/12</f>
        <v>2.275199916482773</v>
      </c>
      <c r="AB166" s="21">
        <f>EXP(-LN(2)/2)*AB165+(1-EXP(-LN(2)/2))/(LN(2)/2)*V166*Y166*VLOOKUP('Données projet'!$B$9,Paramètres!$A$1:$I$89,3,0)*0.475*44/12</f>
        <v>3.1720869150042232E-15</v>
      </c>
      <c r="AC166" s="22">
        <f t="shared" si="163"/>
        <v>21.840681212690754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 t="e">
        <f>AI166*VLOOKUP('Données projet'!$B$10,Paramètres!$A$1:$I$89,3,0)*VLOOKUP('Données projet'!$B$10,Paramètres!$A$1:$I$89,5,0)</f>
        <v>#N/A</v>
      </c>
      <c r="AK166" s="13" t="e">
        <f t="shared" si="164"/>
        <v>#N/A</v>
      </c>
      <c r="AL166" s="20" t="e">
        <f t="shared" si="165"/>
        <v>#N/A</v>
      </c>
      <c r="AM166" s="59" t="e">
        <f t="shared" si="113"/>
        <v>#N/A</v>
      </c>
      <c r="AN166" s="59" t="e">
        <f ca="1">AVERAGE(OFFSET($AM$3,0,0,'Données projet'!$E$10+1,1))-AVERAGE(OFFSET($H$3,0,0,'Données projet'!$E$10+1,1))</f>
        <v>#N/A</v>
      </c>
      <c r="AO166" s="59" t="e">
        <f t="shared" si="144"/>
        <v>#N/A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 t="e">
        <f>EXP(-LN(2)/35)*AU165+(1-EXP(-LN(2)/35))/(LN(2)/35)*AQ166*AR166*VLOOKUP('Données projet'!$B$10,Paramètres!$A$1:$I$89,3,0)*0.475*44/12</f>
        <v>#N/A</v>
      </c>
      <c r="AV166" s="21" t="e">
        <f>EXP(-LN(2)/25)*AV165+(1-EXP(-LN(2)/25))/(LN(2)/25)*Calculateur!AQ166*Calculateur!AS166*VLOOKUP('Données projet'!$B$10,Paramètres!$A$1:$I$89,3,0)*0.475*44/12</f>
        <v>#N/A</v>
      </c>
      <c r="AW166" s="21" t="e">
        <f>EXP(-LN(2)/2)*AW165+(1-EXP(-LN(2)/2))/(LN(2)/2)*AQ166*AT166*VLOOKUP('Données projet'!$B$10,Paramètres!$A$1:$I$89,3,0)*0.475*44/12</f>
        <v>#N/A</v>
      </c>
      <c r="AX166" s="21" t="e">
        <f t="shared" si="166"/>
        <v>#N/A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140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67">
        <f t="shared" si="110"/>
        <v>256.66666666666669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-1.7053025658242404E-13</v>
      </c>
      <c r="O167" s="13">
        <f>N167*VLOOKUP('Données projet'!$B$9,Paramètres!$A$1:$I$89,3,0)*VLOOKUP('Données projet'!$B$9,Paramètres!$A$1:$I$89,5,0)</f>
        <v>-1.0197709343628959E-13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323.17232038705157</v>
      </c>
      <c r="T167" s="59">
        <f t="shared" si="142"/>
        <v>402.34685738619197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19.181814141754568</v>
      </c>
      <c r="AA167" s="21">
        <f>EXP(-LN(2)/25)*AA166+(1-EXP(-LN(2)/25))/(LN(2)/25)*Calculateur!V167*Calculateur!X167*VLOOKUP('Données projet'!$B$9,Paramètres!$A$1:$I$89,3,0)*0.475*44/12</f>
        <v>2.2129844551189879</v>
      </c>
      <c r="AB167" s="21">
        <f>EXP(-LN(2)/2)*AB166+(1-EXP(-LN(2)/2))/(LN(2)/2)*V167*Y167*VLOOKUP('Données projet'!$B$9,Paramètres!$A$1:$I$89,3,0)*0.475*44/12</f>
        <v>2.2430041681126018E-15</v>
      </c>
      <c r="AC167" s="22">
        <f t="shared" si="163"/>
        <v>21.39479859687356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 t="e">
        <f>AI167*VLOOKUP('Données projet'!$B$10,Paramètres!$A$1:$I$89,3,0)*VLOOKUP('Données projet'!$B$10,Paramètres!$A$1:$I$89,5,0)</f>
        <v>#N/A</v>
      </c>
      <c r="AK167" s="13" t="e">
        <f t="shared" si="164"/>
        <v>#N/A</v>
      </c>
      <c r="AL167" s="20" t="e">
        <f t="shared" si="165"/>
        <v>#N/A</v>
      </c>
      <c r="AM167" s="59" t="e">
        <f t="shared" si="113"/>
        <v>#N/A</v>
      </c>
      <c r="AN167" s="59" t="e">
        <f ca="1">AVERAGE(OFFSET($AM$3,0,0,'Données projet'!$E$10+1,1))-AVERAGE(OFFSET($H$3,0,0,'Données projet'!$E$10+1,1))</f>
        <v>#N/A</v>
      </c>
      <c r="AO167" s="59" t="e">
        <f t="shared" si="144"/>
        <v>#N/A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 t="e">
        <f>EXP(-LN(2)/35)*AU166+(1-EXP(-LN(2)/35))/(LN(2)/35)*AQ167*AR167*VLOOKUP('Données projet'!$B$10,Paramètres!$A$1:$I$89,3,0)*0.475*44/12</f>
        <v>#N/A</v>
      </c>
      <c r="AV167" s="21" t="e">
        <f>EXP(-LN(2)/25)*AV166+(1-EXP(-LN(2)/25))/(LN(2)/25)*Calculateur!AQ167*Calculateur!AS167*VLOOKUP('Données projet'!$B$10,Paramètres!$A$1:$I$89,3,0)*0.475*44/12</f>
        <v>#N/A</v>
      </c>
      <c r="AW167" s="21" t="e">
        <f>EXP(-LN(2)/2)*AW166+(1-EXP(-LN(2)/2))/(LN(2)/2)*AQ167*AT167*VLOOKUP('Données projet'!$B$10,Paramètres!$A$1:$I$89,3,0)*0.475*44/12</f>
        <v>#N/A</v>
      </c>
      <c r="AX167" s="21" t="e">
        <f t="shared" si="166"/>
        <v>#N/A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140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67">
        <f t="shared" si="110"/>
        <v>256.66666666666669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-1.7053025658242404E-13</v>
      </c>
      <c r="O168" s="13">
        <f>N168*VLOOKUP('Données projet'!$B$9,Paramètres!$A$1:$I$89,3,0)*VLOOKUP('Données projet'!$B$9,Paramètres!$A$1:$I$89,5,0)</f>
        <v>-1.0197709343628959E-13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323.17232038705157</v>
      </c>
      <c r="T168" s="59">
        <f t="shared" si="142"/>
        <v>402.34685738619197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18.805670466186132</v>
      </c>
      <c r="AA168" s="21">
        <f>EXP(-LN(2)/25)*AA167+(1-EXP(-LN(2)/25))/(LN(2)/25)*Calculateur!V168*Calculateur!X168*VLOOKUP('Données projet'!$B$9,Paramètres!$A$1:$I$89,3,0)*0.475*44/12</f>
        <v>2.1524702788179644</v>
      </c>
      <c r="AB168" s="21">
        <f>EXP(-LN(2)/2)*AB167+(1-EXP(-LN(2)/2))/(LN(2)/2)*V168*Y168*VLOOKUP('Données projet'!$B$9,Paramètres!$A$1:$I$89,3,0)*0.475*44/12</f>
        <v>1.5860434575021116E-15</v>
      </c>
      <c r="AC168" s="22">
        <f t="shared" si="163"/>
        <v>20.958140745004098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 t="e">
        <f>AI168*VLOOKUP('Données projet'!$B$10,Paramètres!$A$1:$I$89,3,0)*VLOOKUP('Données projet'!$B$10,Paramètres!$A$1:$I$89,5,0)</f>
        <v>#N/A</v>
      </c>
      <c r="AK168" s="13" t="e">
        <f t="shared" si="164"/>
        <v>#N/A</v>
      </c>
      <c r="AL168" s="20" t="e">
        <f t="shared" si="165"/>
        <v>#N/A</v>
      </c>
      <c r="AM168" s="59" t="e">
        <f t="shared" si="113"/>
        <v>#N/A</v>
      </c>
      <c r="AN168" s="59" t="e">
        <f ca="1">AVERAGE(OFFSET($AM$3,0,0,'Données projet'!$E$10+1,1))-AVERAGE(OFFSET($H$3,0,0,'Données projet'!$E$10+1,1))</f>
        <v>#N/A</v>
      </c>
      <c r="AO168" s="59" t="e">
        <f t="shared" si="144"/>
        <v>#N/A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 t="e">
        <f>EXP(-LN(2)/35)*AU167+(1-EXP(-LN(2)/35))/(LN(2)/35)*AQ168*AR168*VLOOKUP('Données projet'!$B$10,Paramètres!$A$1:$I$89,3,0)*0.475*44/12</f>
        <v>#N/A</v>
      </c>
      <c r="AV168" s="21" t="e">
        <f>EXP(-LN(2)/25)*AV167+(1-EXP(-LN(2)/25))/(LN(2)/25)*Calculateur!AQ168*Calculateur!AS168*VLOOKUP('Données projet'!$B$10,Paramètres!$A$1:$I$89,3,0)*0.475*44/12</f>
        <v>#N/A</v>
      </c>
      <c r="AW168" s="21" t="e">
        <f>EXP(-LN(2)/2)*AW167+(1-EXP(-LN(2)/2))/(LN(2)/2)*AQ168*AT168*VLOOKUP('Données projet'!$B$10,Paramètres!$A$1:$I$89,3,0)*0.475*44/12</f>
        <v>#N/A</v>
      </c>
      <c r="AX168" s="21" t="e">
        <f t="shared" si="166"/>
        <v>#N/A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140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67">
        <f t="shared" si="110"/>
        <v>256.66666666666669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-1.7053025658242404E-13</v>
      </c>
      <c r="O169" s="13">
        <f>N169*VLOOKUP('Données projet'!$B$9,Paramètres!$A$1:$I$89,3,0)*VLOOKUP('Données projet'!$B$9,Paramètres!$A$1:$I$89,5,0)</f>
        <v>-1.0197709343628959E-13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323.17232038705157</v>
      </c>
      <c r="T169" s="59">
        <f t="shared" si="142"/>
        <v>402.34685738619197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18.436902738670607</v>
      </c>
      <c r="AA169" s="21">
        <f>EXP(-LN(2)/25)*AA168+(1-EXP(-LN(2)/25))/(LN(2)/25)*Calculateur!V169*Calculateur!X169*VLOOKUP('Données projet'!$B$9,Paramètres!$A$1:$I$89,3,0)*0.475*44/12</f>
        <v>2.0936108658501946</v>
      </c>
      <c r="AB169" s="21">
        <f>EXP(-LN(2)/2)*AB168+(1-EXP(-LN(2)/2))/(LN(2)/2)*V169*Y169*VLOOKUP('Données projet'!$B$9,Paramètres!$A$1:$I$89,3,0)*0.475*44/12</f>
        <v>1.1215020840563009E-15</v>
      </c>
      <c r="AC169" s="22">
        <f t="shared" si="163"/>
        <v>20.530513604520802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 t="e">
        <f>AI169*VLOOKUP('Données projet'!$B$10,Paramètres!$A$1:$I$89,3,0)*VLOOKUP('Données projet'!$B$10,Paramètres!$A$1:$I$89,5,0)</f>
        <v>#N/A</v>
      </c>
      <c r="AK169" s="13" t="e">
        <f t="shared" si="164"/>
        <v>#N/A</v>
      </c>
      <c r="AL169" s="20" t="e">
        <f t="shared" si="165"/>
        <v>#N/A</v>
      </c>
      <c r="AM169" s="59" t="e">
        <f t="shared" si="113"/>
        <v>#N/A</v>
      </c>
      <c r="AN169" s="59" t="e">
        <f ca="1">AVERAGE(OFFSET($AM$3,0,0,'Données projet'!$E$10+1,1))-AVERAGE(OFFSET($H$3,0,0,'Données projet'!$E$10+1,1))</f>
        <v>#N/A</v>
      </c>
      <c r="AO169" s="59" t="e">
        <f t="shared" si="144"/>
        <v>#N/A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 t="e">
        <f>EXP(-LN(2)/35)*AU168+(1-EXP(-LN(2)/35))/(LN(2)/35)*AQ169*AR169*VLOOKUP('Données projet'!$B$10,Paramètres!$A$1:$I$89,3,0)*0.475*44/12</f>
        <v>#N/A</v>
      </c>
      <c r="AV169" s="21" t="e">
        <f>EXP(-LN(2)/25)*AV168+(1-EXP(-LN(2)/25))/(LN(2)/25)*Calculateur!AQ169*Calculateur!AS169*VLOOKUP('Données projet'!$B$10,Paramètres!$A$1:$I$89,3,0)*0.475*44/12</f>
        <v>#N/A</v>
      </c>
      <c r="AW169" s="21" t="e">
        <f>EXP(-LN(2)/2)*AW168+(1-EXP(-LN(2)/2))/(LN(2)/2)*AQ169*AT169*VLOOKUP('Données projet'!$B$10,Paramètres!$A$1:$I$89,3,0)*0.475*44/12</f>
        <v>#N/A</v>
      </c>
      <c r="AX169" s="21" t="e">
        <f t="shared" si="166"/>
        <v>#N/A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140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67">
        <f t="shared" si="110"/>
        <v>256.66666666666669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-1.7053025658242404E-13</v>
      </c>
      <c r="O170" s="13">
        <f>N170*VLOOKUP('Données projet'!$B$9,Paramètres!$A$1:$I$89,3,0)*VLOOKUP('Données projet'!$B$9,Paramètres!$A$1:$I$89,5,0)</f>
        <v>-1.0197709343628959E-13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323.17232038705157</v>
      </c>
      <c r="T170" s="59">
        <f t="shared" si="142"/>
        <v>402.34685738619197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18.075366321365557</v>
      </c>
      <c r="AA170" s="21">
        <f>EXP(-LN(2)/25)*AA169+(1-EXP(-LN(2)/25))/(LN(2)/25)*Calculateur!V170*Calculateur!X170*VLOOKUP('Données projet'!$B$9,Paramètres!$A$1:$I$89,3,0)*0.475*44/12</f>
        <v>2.0363609666253106</v>
      </c>
      <c r="AB170" s="21">
        <f>EXP(-LN(2)/2)*AB169+(1-EXP(-LN(2)/2))/(LN(2)/2)*V170*Y170*VLOOKUP('Données projet'!$B$9,Paramètres!$A$1:$I$89,3,0)*0.475*44/12</f>
        <v>7.9302172875105579E-16</v>
      </c>
      <c r="AC170" s="22">
        <f t="shared" si="163"/>
        <v>20.111727287990867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 t="e">
        <f>AI170*VLOOKUP('Données projet'!$B$10,Paramètres!$A$1:$I$89,3,0)*VLOOKUP('Données projet'!$B$10,Paramètres!$A$1:$I$89,5,0)</f>
        <v>#N/A</v>
      </c>
      <c r="AK170" s="13" t="e">
        <f t="shared" si="164"/>
        <v>#N/A</v>
      </c>
      <c r="AL170" s="20" t="e">
        <f t="shared" si="165"/>
        <v>#N/A</v>
      </c>
      <c r="AM170" s="59" t="e">
        <f t="shared" si="113"/>
        <v>#N/A</v>
      </c>
      <c r="AN170" s="59" t="e">
        <f ca="1">AVERAGE(OFFSET($AM$3,0,0,'Données projet'!$E$10+1,1))-AVERAGE(OFFSET($H$3,0,0,'Données projet'!$E$10+1,1))</f>
        <v>#N/A</v>
      </c>
      <c r="AO170" s="59" t="e">
        <f t="shared" si="144"/>
        <v>#N/A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 t="e">
        <f>EXP(-LN(2)/35)*AU169+(1-EXP(-LN(2)/35))/(LN(2)/35)*AQ170*AR170*VLOOKUP('Données projet'!$B$10,Paramètres!$A$1:$I$89,3,0)*0.475*44/12</f>
        <v>#N/A</v>
      </c>
      <c r="AV170" s="21" t="e">
        <f>EXP(-LN(2)/25)*AV169+(1-EXP(-LN(2)/25))/(LN(2)/25)*Calculateur!AQ170*Calculateur!AS170*VLOOKUP('Données projet'!$B$10,Paramètres!$A$1:$I$89,3,0)*0.475*44/12</f>
        <v>#N/A</v>
      </c>
      <c r="AW170" s="21" t="e">
        <f>EXP(-LN(2)/2)*AW169+(1-EXP(-LN(2)/2))/(LN(2)/2)*AQ170*AT170*VLOOKUP('Données projet'!$B$10,Paramètres!$A$1:$I$89,3,0)*0.475*44/12</f>
        <v>#N/A</v>
      </c>
      <c r="AX170" s="21" t="e">
        <f t="shared" si="166"/>
        <v>#N/A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140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67">
        <f t="shared" si="110"/>
        <v>256.66666666666669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-1.7053025658242404E-13</v>
      </c>
      <c r="O171" s="13">
        <f>N171*VLOOKUP('Données projet'!$B$9,Paramètres!$A$1:$I$89,3,0)*VLOOKUP('Données projet'!$B$9,Paramètres!$A$1:$I$89,5,0)</f>
        <v>-1.0197709343628959E-13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323.17232038705157</v>
      </c>
      <c r="T171" s="59">
        <f t="shared" si="142"/>
        <v>402.34685738619197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17.720919412688417</v>
      </c>
      <c r="AA171" s="21">
        <f>EXP(-LN(2)/25)*AA170+(1-EXP(-LN(2)/25))/(LN(2)/25)*Calculateur!V171*Calculateur!X171*VLOOKUP('Données projet'!$B$9,Paramètres!$A$1:$I$89,3,0)*0.475*44/12</f>
        <v>1.9806765689053725</v>
      </c>
      <c r="AB171" s="21">
        <f>EXP(-LN(2)/2)*AB170+(1-EXP(-LN(2)/2))/(LN(2)/2)*V171*Y171*VLOOKUP('Données projet'!$B$9,Paramètres!$A$1:$I$89,3,0)*0.475*44/12</f>
        <v>5.6075104202815044E-16</v>
      </c>
      <c r="AC171" s="22">
        <f t="shared" si="163"/>
        <v>19.70159598159379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 t="e">
        <f>AI171*VLOOKUP('Données projet'!$B$10,Paramètres!$A$1:$I$89,3,0)*VLOOKUP('Données projet'!$B$10,Paramètres!$A$1:$I$89,5,0)</f>
        <v>#N/A</v>
      </c>
      <c r="AK171" s="13" t="e">
        <f t="shared" si="164"/>
        <v>#N/A</v>
      </c>
      <c r="AL171" s="20" t="e">
        <f t="shared" si="165"/>
        <v>#N/A</v>
      </c>
      <c r="AM171" s="59" t="e">
        <f t="shared" si="113"/>
        <v>#N/A</v>
      </c>
      <c r="AN171" s="59" t="e">
        <f ca="1">AVERAGE(OFFSET($AM$3,0,0,'Données projet'!$E$10+1,1))-AVERAGE(OFFSET($H$3,0,0,'Données projet'!$E$10+1,1))</f>
        <v>#N/A</v>
      </c>
      <c r="AO171" s="59" t="e">
        <f t="shared" si="144"/>
        <v>#N/A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 t="e">
        <f>EXP(-LN(2)/35)*AU170+(1-EXP(-LN(2)/35))/(LN(2)/35)*AQ171*AR171*VLOOKUP('Données projet'!$B$10,Paramètres!$A$1:$I$89,3,0)*0.475*44/12</f>
        <v>#N/A</v>
      </c>
      <c r="AV171" s="21" t="e">
        <f>EXP(-LN(2)/25)*AV170+(1-EXP(-LN(2)/25))/(LN(2)/25)*Calculateur!AQ171*Calculateur!AS171*VLOOKUP('Données projet'!$B$10,Paramètres!$A$1:$I$89,3,0)*0.475*44/12</f>
        <v>#N/A</v>
      </c>
      <c r="AW171" s="21" t="e">
        <f>EXP(-LN(2)/2)*AW170+(1-EXP(-LN(2)/2))/(LN(2)/2)*AQ171*AT171*VLOOKUP('Données projet'!$B$10,Paramètres!$A$1:$I$89,3,0)*0.475*44/12</f>
        <v>#N/A</v>
      </c>
      <c r="AX171" s="21" t="e">
        <f t="shared" si="166"/>
        <v>#N/A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140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67">
        <f t="shared" si="110"/>
        <v>256.66666666666669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-1.7053025658242404E-13</v>
      </c>
      <c r="O172" s="13">
        <f>N172*VLOOKUP('Données projet'!$B$9,Paramètres!$A$1:$I$89,3,0)*VLOOKUP('Données projet'!$B$9,Paramètres!$A$1:$I$89,5,0)</f>
        <v>-1.0197709343628959E-13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323.17232038705157</v>
      </c>
      <c r="T172" s="59">
        <f t="shared" si="142"/>
        <v>402.34685738619197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17.373422991699169</v>
      </c>
      <c r="AA172" s="21">
        <f>EXP(-LN(2)/25)*AA171+(1-EXP(-LN(2)/25))/(LN(2)/25)*Calculateur!V172*Calculateur!X172*VLOOKUP('Données projet'!$B$9,Paramètres!$A$1:$I$89,3,0)*0.475*44/12</f>
        <v>1.9265148639694012</v>
      </c>
      <c r="AB172" s="21">
        <f>EXP(-LN(2)/2)*AB171+(1-EXP(-LN(2)/2))/(LN(2)/2)*V172*Y172*VLOOKUP('Données projet'!$B$9,Paramètres!$A$1:$I$89,3,0)*0.475*44/12</f>
        <v>3.965108643755279E-16</v>
      </c>
      <c r="AC172" s="22">
        <f t="shared" si="163"/>
        <v>19.299937855668571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 t="e">
        <f>AI172*VLOOKUP('Données projet'!$B$10,Paramètres!$A$1:$I$89,3,0)*VLOOKUP('Données projet'!$B$10,Paramètres!$A$1:$I$89,5,0)</f>
        <v>#N/A</v>
      </c>
      <c r="AK172" s="13" t="e">
        <f t="shared" si="164"/>
        <v>#N/A</v>
      </c>
      <c r="AL172" s="20" t="e">
        <f t="shared" si="165"/>
        <v>#N/A</v>
      </c>
      <c r="AM172" s="59" t="e">
        <f t="shared" si="113"/>
        <v>#N/A</v>
      </c>
      <c r="AN172" s="59" t="e">
        <f ca="1">AVERAGE(OFFSET($AM$3,0,0,'Données projet'!$E$10+1,1))-AVERAGE(OFFSET($H$3,0,0,'Données projet'!$E$10+1,1))</f>
        <v>#N/A</v>
      </c>
      <c r="AO172" s="59" t="e">
        <f t="shared" si="144"/>
        <v>#N/A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 t="e">
        <f>EXP(-LN(2)/35)*AU171+(1-EXP(-LN(2)/35))/(LN(2)/35)*AQ172*AR172*VLOOKUP('Données projet'!$B$10,Paramètres!$A$1:$I$89,3,0)*0.475*44/12</f>
        <v>#N/A</v>
      </c>
      <c r="AV172" s="21" t="e">
        <f>EXP(-LN(2)/25)*AV171+(1-EXP(-LN(2)/25))/(LN(2)/25)*Calculateur!AQ172*Calculateur!AS172*VLOOKUP('Données projet'!$B$10,Paramètres!$A$1:$I$89,3,0)*0.475*44/12</f>
        <v>#N/A</v>
      </c>
      <c r="AW172" s="21" t="e">
        <f>EXP(-LN(2)/2)*AW171+(1-EXP(-LN(2)/2))/(LN(2)/2)*AQ172*AT172*VLOOKUP('Données projet'!$B$10,Paramètres!$A$1:$I$89,3,0)*0.475*44/12</f>
        <v>#N/A</v>
      </c>
      <c r="AX172" s="21" t="e">
        <f t="shared" si="166"/>
        <v>#N/A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140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67">
        <f t="shared" si="110"/>
        <v>256.66666666666669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-1.7053025658242404E-13</v>
      </c>
      <c r="O173" s="13">
        <f>N173*VLOOKUP('Données projet'!$B$9,Paramètres!$A$1:$I$89,3,0)*VLOOKUP('Données projet'!$B$9,Paramètres!$A$1:$I$89,5,0)</f>
        <v>-1.0197709343628959E-13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323.17232038705157</v>
      </c>
      <c r="T173" s="59">
        <f t="shared" si="142"/>
        <v>402.34685738619197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17.032740763573631</v>
      </c>
      <c r="AA173" s="21">
        <f>EXP(-LN(2)/25)*AA172+(1-EXP(-LN(2)/25))/(LN(2)/25)*Calculateur!V173*Calculateur!X173*VLOOKUP('Données projet'!$B$9,Paramètres!$A$1:$I$89,3,0)*0.475*44/12</f>
        <v>1.8738342137031443</v>
      </c>
      <c r="AB173" s="21">
        <f>EXP(-LN(2)/2)*AB172+(1-EXP(-LN(2)/2))/(LN(2)/2)*V173*Y173*VLOOKUP('Données projet'!$B$9,Paramètres!$A$1:$I$89,3,0)*0.475*44/12</f>
        <v>2.8037552101407522E-16</v>
      </c>
      <c r="AC173" s="22">
        <f t="shared" si="163"/>
        <v>18.906574977276776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 t="e">
        <f>AI173*VLOOKUP('Données projet'!$B$10,Paramètres!$A$1:$I$89,3,0)*VLOOKUP('Données projet'!$B$10,Paramètres!$A$1:$I$89,5,0)</f>
        <v>#N/A</v>
      </c>
      <c r="AK173" s="13" t="e">
        <f t="shared" si="164"/>
        <v>#N/A</v>
      </c>
      <c r="AL173" s="20" t="e">
        <f t="shared" si="165"/>
        <v>#N/A</v>
      </c>
      <c r="AM173" s="59" t="e">
        <f t="shared" si="113"/>
        <v>#N/A</v>
      </c>
      <c r="AN173" s="59" t="e">
        <f ca="1">AVERAGE(OFFSET($AM$3,0,0,'Données projet'!$E$10+1,1))-AVERAGE(OFFSET($H$3,0,0,'Données projet'!$E$10+1,1))</f>
        <v>#N/A</v>
      </c>
      <c r="AO173" s="59" t="e">
        <f t="shared" si="144"/>
        <v>#N/A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 t="e">
        <f>EXP(-LN(2)/35)*AU172+(1-EXP(-LN(2)/35))/(LN(2)/35)*AQ173*AR173*VLOOKUP('Données projet'!$B$10,Paramètres!$A$1:$I$89,3,0)*0.475*44/12</f>
        <v>#N/A</v>
      </c>
      <c r="AV173" s="21" t="e">
        <f>EXP(-LN(2)/25)*AV172+(1-EXP(-LN(2)/25))/(LN(2)/25)*Calculateur!AQ173*Calculateur!AS173*VLOOKUP('Données projet'!$B$10,Paramètres!$A$1:$I$89,3,0)*0.475*44/12</f>
        <v>#N/A</v>
      </c>
      <c r="AW173" s="21" t="e">
        <f>EXP(-LN(2)/2)*AW172+(1-EXP(-LN(2)/2))/(LN(2)/2)*AQ173*AT173*VLOOKUP('Données projet'!$B$10,Paramètres!$A$1:$I$89,3,0)*0.475*44/12</f>
        <v>#N/A</v>
      </c>
      <c r="AX173" s="21" t="e">
        <f t="shared" si="166"/>
        <v>#N/A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140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67">
        <f t="shared" si="110"/>
        <v>256.66666666666669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-1.7053025658242404E-13</v>
      </c>
      <c r="O174" s="13">
        <f>N174*VLOOKUP('Données projet'!$B$9,Paramètres!$A$1:$I$89,3,0)*VLOOKUP('Données projet'!$B$9,Paramètres!$A$1:$I$89,5,0)</f>
        <v>-1.0197709343628959E-13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323.17232038705157</v>
      </c>
      <c r="T174" s="59">
        <f t="shared" si="142"/>
        <v>402.34685738619197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16.698739106145997</v>
      </c>
      <c r="AA174" s="21">
        <f>EXP(-LN(2)/25)*AA173+(1-EXP(-LN(2)/25))/(LN(2)/25)*Calculateur!V174*Calculateur!X174*VLOOKUP('Données projet'!$B$9,Paramètres!$A$1:$I$89,3,0)*0.475*44/12</f>
        <v>1.8225941185887733</v>
      </c>
      <c r="AB174" s="21">
        <f>EXP(-LN(2)/2)*AB173+(1-EXP(-LN(2)/2))/(LN(2)/2)*V174*Y174*VLOOKUP('Données projet'!$B$9,Paramètres!$A$1:$I$89,3,0)*0.475*44/12</f>
        <v>1.9825543218776395E-16</v>
      </c>
      <c r="AC174" s="22">
        <f t="shared" si="163"/>
        <v>18.521333224734772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 t="e">
        <f>AI174*VLOOKUP('Données projet'!$B$10,Paramètres!$A$1:$I$89,3,0)*VLOOKUP('Données projet'!$B$10,Paramètres!$A$1:$I$89,5,0)</f>
        <v>#N/A</v>
      </c>
      <c r="AK174" s="13" t="e">
        <f t="shared" si="164"/>
        <v>#N/A</v>
      </c>
      <c r="AL174" s="20" t="e">
        <f t="shared" si="165"/>
        <v>#N/A</v>
      </c>
      <c r="AM174" s="59" t="e">
        <f t="shared" si="113"/>
        <v>#N/A</v>
      </c>
      <c r="AN174" s="59" t="e">
        <f ca="1">AVERAGE(OFFSET($AM$3,0,0,'Données projet'!$E$10+1,1))-AVERAGE(OFFSET($H$3,0,0,'Données projet'!$E$10+1,1))</f>
        <v>#N/A</v>
      </c>
      <c r="AO174" s="59" t="e">
        <f t="shared" si="144"/>
        <v>#N/A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 t="e">
        <f>EXP(-LN(2)/35)*AU173+(1-EXP(-LN(2)/35))/(LN(2)/35)*AQ174*AR174*VLOOKUP('Données projet'!$B$10,Paramètres!$A$1:$I$89,3,0)*0.475*44/12</f>
        <v>#N/A</v>
      </c>
      <c r="AV174" s="21" t="e">
        <f>EXP(-LN(2)/25)*AV173+(1-EXP(-LN(2)/25))/(LN(2)/25)*Calculateur!AQ174*Calculateur!AS174*VLOOKUP('Données projet'!$B$10,Paramètres!$A$1:$I$89,3,0)*0.475*44/12</f>
        <v>#N/A</v>
      </c>
      <c r="AW174" s="21" t="e">
        <f>EXP(-LN(2)/2)*AW173+(1-EXP(-LN(2)/2))/(LN(2)/2)*AQ174*AT174*VLOOKUP('Données projet'!$B$10,Paramètres!$A$1:$I$89,3,0)*0.475*44/12</f>
        <v>#N/A</v>
      </c>
      <c r="AX174" s="21" t="e">
        <f t="shared" si="166"/>
        <v>#N/A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140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67">
        <f t="shared" si="110"/>
        <v>256.66666666666669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-1.7053025658242404E-13</v>
      </c>
      <c r="O175" s="13">
        <f>N175*VLOOKUP('Données projet'!$B$9,Paramètres!$A$1:$I$89,3,0)*VLOOKUP('Données projet'!$B$9,Paramètres!$A$1:$I$89,5,0)</f>
        <v>-1.0197709343628959E-13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323.17232038705157</v>
      </c>
      <c r="T175" s="59">
        <f t="shared" si="142"/>
        <v>402.34685738619197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16.371287017499622</v>
      </c>
      <c r="AA175" s="21">
        <f>EXP(-LN(2)/25)*AA174+(1-EXP(-LN(2)/25))/(LN(2)/25)*Calculateur!V175*Calculateur!X175*VLOOKUP('Données projet'!$B$9,Paramètres!$A$1:$I$89,3,0)*0.475*44/12</f>
        <v>1.7727551865699043</v>
      </c>
      <c r="AB175" s="21">
        <f>EXP(-LN(2)/2)*AB174+(1-EXP(-LN(2)/2))/(LN(2)/2)*V175*Y175*VLOOKUP('Données projet'!$B$9,Paramètres!$A$1:$I$89,3,0)*0.475*44/12</f>
        <v>1.4018776050703761E-16</v>
      </c>
      <c r="AC175" s="22">
        <f t="shared" si="163"/>
        <v>18.144042204069525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 t="e">
        <f>AI175*VLOOKUP('Données projet'!$B$10,Paramètres!$A$1:$I$89,3,0)*VLOOKUP('Données projet'!$B$10,Paramètres!$A$1:$I$89,5,0)</f>
        <v>#N/A</v>
      </c>
      <c r="AK175" s="13" t="e">
        <f t="shared" si="164"/>
        <v>#N/A</v>
      </c>
      <c r="AL175" s="20" t="e">
        <f t="shared" si="165"/>
        <v>#N/A</v>
      </c>
      <c r="AM175" s="59" t="e">
        <f t="shared" si="113"/>
        <v>#N/A</v>
      </c>
      <c r="AN175" s="59" t="e">
        <f ca="1">AVERAGE(OFFSET($AM$3,0,0,'Données projet'!$E$10+1,1))-AVERAGE(OFFSET($H$3,0,0,'Données projet'!$E$10+1,1))</f>
        <v>#N/A</v>
      </c>
      <c r="AO175" s="59" t="e">
        <f t="shared" si="144"/>
        <v>#N/A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 t="e">
        <f>EXP(-LN(2)/35)*AU174+(1-EXP(-LN(2)/35))/(LN(2)/35)*AQ175*AR175*VLOOKUP('Données projet'!$B$10,Paramètres!$A$1:$I$89,3,0)*0.475*44/12</f>
        <v>#N/A</v>
      </c>
      <c r="AV175" s="21" t="e">
        <f>EXP(-LN(2)/25)*AV174+(1-EXP(-LN(2)/25))/(LN(2)/25)*Calculateur!AQ175*Calculateur!AS175*VLOOKUP('Données projet'!$B$10,Paramètres!$A$1:$I$89,3,0)*0.475*44/12</f>
        <v>#N/A</v>
      </c>
      <c r="AW175" s="21" t="e">
        <f>EXP(-LN(2)/2)*AW174+(1-EXP(-LN(2)/2))/(LN(2)/2)*AQ175*AT175*VLOOKUP('Données projet'!$B$10,Paramètres!$A$1:$I$89,3,0)*0.475*44/12</f>
        <v>#N/A</v>
      </c>
      <c r="AX175" s="21" t="e">
        <f t="shared" si="166"/>
        <v>#N/A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140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67">
        <f t="shared" si="110"/>
        <v>256.66666666666669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-1.7053025658242404E-13</v>
      </c>
      <c r="O176" s="13">
        <f>N176*VLOOKUP('Données projet'!$B$9,Paramètres!$A$1:$I$89,3,0)*VLOOKUP('Données projet'!$B$9,Paramètres!$A$1:$I$89,5,0)</f>
        <v>-1.0197709343628959E-13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323.17232038705157</v>
      </c>
      <c r="T176" s="59">
        <f t="shared" si="142"/>
        <v>402.34685738619197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16.05025606458555</v>
      </c>
      <c r="AA176" s="21">
        <f>EXP(-LN(2)/25)*AA175+(1-EXP(-LN(2)/25))/(LN(2)/25)*Calculateur!V176*Calculateur!X176*VLOOKUP('Données projet'!$B$9,Paramètres!$A$1:$I$89,3,0)*0.475*44/12</f>
        <v>1.7242791027680067</v>
      </c>
      <c r="AB176" s="21">
        <f>EXP(-LN(2)/2)*AB175+(1-EXP(-LN(2)/2))/(LN(2)/2)*V176*Y176*VLOOKUP('Données projet'!$B$9,Paramètres!$A$1:$I$89,3,0)*0.475*44/12</f>
        <v>9.9127716093881974E-17</v>
      </c>
      <c r="AC176" s="22">
        <f t="shared" si="163"/>
        <v>17.774535167353555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 t="e">
        <f>AI176*VLOOKUP('Données projet'!$B$10,Paramètres!$A$1:$I$89,3,0)*VLOOKUP('Données projet'!$B$10,Paramètres!$A$1:$I$89,5,0)</f>
        <v>#N/A</v>
      </c>
      <c r="AK176" s="13" t="e">
        <f t="shared" si="164"/>
        <v>#N/A</v>
      </c>
      <c r="AL176" s="20" t="e">
        <f t="shared" si="165"/>
        <v>#N/A</v>
      </c>
      <c r="AM176" s="59" t="e">
        <f t="shared" si="113"/>
        <v>#N/A</v>
      </c>
      <c r="AN176" s="59" t="e">
        <f ca="1">AVERAGE(OFFSET($AM$3,0,0,'Données projet'!$E$10+1,1))-AVERAGE(OFFSET($H$3,0,0,'Données projet'!$E$10+1,1))</f>
        <v>#N/A</v>
      </c>
      <c r="AO176" s="59" t="e">
        <f t="shared" si="144"/>
        <v>#N/A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 t="e">
        <f>EXP(-LN(2)/35)*AU175+(1-EXP(-LN(2)/35))/(LN(2)/35)*AQ176*AR176*VLOOKUP('Données projet'!$B$10,Paramètres!$A$1:$I$89,3,0)*0.475*44/12</f>
        <v>#N/A</v>
      </c>
      <c r="AV176" s="21" t="e">
        <f>EXP(-LN(2)/25)*AV175+(1-EXP(-LN(2)/25))/(LN(2)/25)*Calculateur!AQ176*Calculateur!AS176*VLOOKUP('Données projet'!$B$10,Paramètres!$A$1:$I$89,3,0)*0.475*44/12</f>
        <v>#N/A</v>
      </c>
      <c r="AW176" s="21" t="e">
        <f>EXP(-LN(2)/2)*AW175+(1-EXP(-LN(2)/2))/(LN(2)/2)*AQ176*AT176*VLOOKUP('Données projet'!$B$10,Paramètres!$A$1:$I$89,3,0)*0.475*44/12</f>
        <v>#N/A</v>
      </c>
      <c r="AX176" s="21" t="e">
        <f t="shared" si="166"/>
        <v>#N/A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140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67">
        <f t="shared" si="110"/>
        <v>256.66666666666669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-1.7053025658242404E-13</v>
      </c>
      <c r="O177" s="13">
        <f>N177*VLOOKUP('Données projet'!$B$9,Paramètres!$A$1:$I$89,3,0)*VLOOKUP('Données projet'!$B$9,Paramètres!$A$1:$I$89,5,0)</f>
        <v>-1.0197709343628959E-13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323.17232038705157</v>
      </c>
      <c r="T177" s="59">
        <f t="shared" si="142"/>
        <v>402.34685738619197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15.735520332848575</v>
      </c>
      <c r="AA177" s="21">
        <f>EXP(-LN(2)/25)*AA176+(1-EXP(-LN(2)/25))/(LN(2)/25)*Calculateur!V177*Calculateur!X177*VLOOKUP('Données projet'!$B$9,Paramètres!$A$1:$I$89,3,0)*0.475*44/12</f>
        <v>1.6771286000269183</v>
      </c>
      <c r="AB177" s="21">
        <f>EXP(-LN(2)/2)*AB176+(1-EXP(-LN(2)/2))/(LN(2)/2)*V177*Y177*VLOOKUP('Données projet'!$B$9,Paramètres!$A$1:$I$89,3,0)*0.475*44/12</f>
        <v>7.0093880253518805E-17</v>
      </c>
      <c r="AC177" s="22">
        <f t="shared" si="163"/>
        <v>17.412648932875491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 t="e">
        <f>AI177*VLOOKUP('Données projet'!$B$10,Paramètres!$A$1:$I$89,3,0)*VLOOKUP('Données projet'!$B$10,Paramètres!$A$1:$I$89,5,0)</f>
        <v>#N/A</v>
      </c>
      <c r="AK177" s="13" t="e">
        <f t="shared" si="164"/>
        <v>#N/A</v>
      </c>
      <c r="AL177" s="20" t="e">
        <f t="shared" si="165"/>
        <v>#N/A</v>
      </c>
      <c r="AM177" s="59" t="e">
        <f t="shared" si="113"/>
        <v>#N/A</v>
      </c>
      <c r="AN177" s="59" t="e">
        <f ca="1">AVERAGE(OFFSET($AM$3,0,0,'Données projet'!$E$10+1,1))-AVERAGE(OFFSET($H$3,0,0,'Données projet'!$E$10+1,1))</f>
        <v>#N/A</v>
      </c>
      <c r="AO177" s="59" t="e">
        <f t="shared" si="144"/>
        <v>#N/A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 t="e">
        <f>EXP(-LN(2)/35)*AU176+(1-EXP(-LN(2)/35))/(LN(2)/35)*AQ177*AR177*VLOOKUP('Données projet'!$B$10,Paramètres!$A$1:$I$89,3,0)*0.475*44/12</f>
        <v>#N/A</v>
      </c>
      <c r="AV177" s="21" t="e">
        <f>EXP(-LN(2)/25)*AV176+(1-EXP(-LN(2)/25))/(LN(2)/25)*Calculateur!AQ177*Calculateur!AS177*VLOOKUP('Données projet'!$B$10,Paramètres!$A$1:$I$89,3,0)*0.475*44/12</f>
        <v>#N/A</v>
      </c>
      <c r="AW177" s="21" t="e">
        <f>EXP(-LN(2)/2)*AW176+(1-EXP(-LN(2)/2))/(LN(2)/2)*AQ177*AT177*VLOOKUP('Données projet'!$B$10,Paramètres!$A$1:$I$89,3,0)*0.475*44/12</f>
        <v>#N/A</v>
      </c>
      <c r="AX177" s="21" t="e">
        <f t="shared" si="166"/>
        <v>#N/A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140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67">
        <f t="shared" si="110"/>
        <v>256.66666666666669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-1.7053025658242404E-13</v>
      </c>
      <c r="O178" s="13">
        <f>N178*VLOOKUP('Données projet'!$B$9,Paramètres!$A$1:$I$89,3,0)*VLOOKUP('Données projet'!$B$9,Paramètres!$A$1:$I$89,5,0)</f>
        <v>-1.0197709343628959E-13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323.17232038705157</v>
      </c>
      <c r="T178" s="59">
        <f t="shared" si="142"/>
        <v>402.34685738619197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15.426956376841121</v>
      </c>
      <c r="AA178" s="21">
        <f>EXP(-LN(2)/25)*AA177+(1-EXP(-LN(2)/25))/(LN(2)/25)*Calculateur!V178*Calculateur!X178*VLOOKUP('Données projet'!$B$9,Paramètres!$A$1:$I$89,3,0)*0.475*44/12</f>
        <v>1.6312674302628223</v>
      </c>
      <c r="AB178" s="21">
        <f>EXP(-LN(2)/2)*AB177+(1-EXP(-LN(2)/2))/(LN(2)/2)*V178*Y178*VLOOKUP('Données projet'!$B$9,Paramètres!$A$1:$I$89,3,0)*0.475*44/12</f>
        <v>4.9563858046940987E-17</v>
      </c>
      <c r="AC178" s="22">
        <f t="shared" si="163"/>
        <v>17.058223807103943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 t="e">
        <f>AI178*VLOOKUP('Données projet'!$B$10,Paramètres!$A$1:$I$89,3,0)*VLOOKUP('Données projet'!$B$10,Paramètres!$A$1:$I$89,5,0)</f>
        <v>#N/A</v>
      </c>
      <c r="AK178" s="13" t="e">
        <f t="shared" si="164"/>
        <v>#N/A</v>
      </c>
      <c r="AL178" s="20" t="e">
        <f t="shared" si="165"/>
        <v>#N/A</v>
      </c>
      <c r="AM178" s="59" t="e">
        <f t="shared" si="113"/>
        <v>#N/A</v>
      </c>
      <c r="AN178" s="59" t="e">
        <f ca="1">AVERAGE(OFFSET($AM$3,0,0,'Données projet'!$E$10+1,1))-AVERAGE(OFFSET($H$3,0,0,'Données projet'!$E$10+1,1))</f>
        <v>#N/A</v>
      </c>
      <c r="AO178" s="59" t="e">
        <f t="shared" si="144"/>
        <v>#N/A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 t="e">
        <f>EXP(-LN(2)/35)*AU177+(1-EXP(-LN(2)/35))/(LN(2)/35)*AQ178*AR178*VLOOKUP('Données projet'!$B$10,Paramètres!$A$1:$I$89,3,0)*0.475*44/12</f>
        <v>#N/A</v>
      </c>
      <c r="AV178" s="21" t="e">
        <f>EXP(-LN(2)/25)*AV177+(1-EXP(-LN(2)/25))/(LN(2)/25)*Calculateur!AQ178*Calculateur!AS178*VLOOKUP('Données projet'!$B$10,Paramètres!$A$1:$I$89,3,0)*0.475*44/12</f>
        <v>#N/A</v>
      </c>
      <c r="AW178" s="21" t="e">
        <f>EXP(-LN(2)/2)*AW177+(1-EXP(-LN(2)/2))/(LN(2)/2)*AQ178*AT178*VLOOKUP('Données projet'!$B$10,Paramètres!$A$1:$I$89,3,0)*0.475*44/12</f>
        <v>#N/A</v>
      </c>
      <c r="AX178" s="21" t="e">
        <f t="shared" si="166"/>
        <v>#N/A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140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67">
        <f t="shared" si="110"/>
        <v>256.66666666666669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-1.7053025658242404E-13</v>
      </c>
      <c r="O179" s="13">
        <f>N179*VLOOKUP('Données projet'!$B$9,Paramètres!$A$1:$I$89,3,0)*VLOOKUP('Données projet'!$B$9,Paramètres!$A$1:$I$89,5,0)</f>
        <v>-1.0197709343628959E-13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323.17232038705157</v>
      </c>
      <c r="T179" s="59">
        <f t="shared" si="142"/>
        <v>402.34685738619197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15.124443171805543</v>
      </c>
      <c r="AA179" s="21">
        <f>EXP(-LN(2)/25)*AA178+(1-EXP(-LN(2)/25))/(LN(2)/25)*Calculateur!V179*Calculateur!X179*VLOOKUP('Données projet'!$B$9,Paramètres!$A$1:$I$89,3,0)*0.475*44/12</f>
        <v>1.5866603365976595</v>
      </c>
      <c r="AB179" s="21">
        <f>EXP(-LN(2)/2)*AB178+(1-EXP(-LN(2)/2))/(LN(2)/2)*V179*Y179*VLOOKUP('Données projet'!$B$9,Paramètres!$A$1:$I$89,3,0)*0.475*44/12</f>
        <v>3.5046940126759403E-17</v>
      </c>
      <c r="AC179" s="22">
        <f t="shared" si="163"/>
        <v>16.711103508403202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 t="e">
        <f>AI179*VLOOKUP('Données projet'!$B$10,Paramètres!$A$1:$I$89,3,0)*VLOOKUP('Données projet'!$B$10,Paramètres!$A$1:$I$89,5,0)</f>
        <v>#N/A</v>
      </c>
      <c r="AK179" s="13" t="e">
        <f t="shared" si="164"/>
        <v>#N/A</v>
      </c>
      <c r="AL179" s="20" t="e">
        <f t="shared" si="165"/>
        <v>#N/A</v>
      </c>
      <c r="AM179" s="59" t="e">
        <f t="shared" si="113"/>
        <v>#N/A</v>
      </c>
      <c r="AN179" s="59" t="e">
        <f ca="1">AVERAGE(OFFSET($AM$3,0,0,'Données projet'!$E$10+1,1))-AVERAGE(OFFSET($H$3,0,0,'Données projet'!$E$10+1,1))</f>
        <v>#N/A</v>
      </c>
      <c r="AO179" s="59" t="e">
        <f t="shared" si="144"/>
        <v>#N/A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 t="e">
        <f>EXP(-LN(2)/35)*AU178+(1-EXP(-LN(2)/35))/(LN(2)/35)*AQ179*AR179*VLOOKUP('Données projet'!$B$10,Paramètres!$A$1:$I$89,3,0)*0.475*44/12</f>
        <v>#N/A</v>
      </c>
      <c r="AV179" s="21" t="e">
        <f>EXP(-LN(2)/25)*AV178+(1-EXP(-LN(2)/25))/(LN(2)/25)*Calculateur!AQ179*Calculateur!AS179*VLOOKUP('Données projet'!$B$10,Paramètres!$A$1:$I$89,3,0)*0.475*44/12</f>
        <v>#N/A</v>
      </c>
      <c r="AW179" s="21" t="e">
        <f>EXP(-LN(2)/2)*AW178+(1-EXP(-LN(2)/2))/(LN(2)/2)*AQ179*AT179*VLOOKUP('Données projet'!$B$10,Paramètres!$A$1:$I$89,3,0)*0.475*44/12</f>
        <v>#N/A</v>
      </c>
      <c r="AX179" s="21" t="e">
        <f t="shared" si="166"/>
        <v>#N/A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140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67">
        <f t="shared" si="110"/>
        <v>256.66666666666669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-1.7053025658242404E-13</v>
      </c>
      <c r="O180" s="13">
        <f>N180*VLOOKUP('Données projet'!$B$9,Paramètres!$A$1:$I$89,3,0)*VLOOKUP('Données projet'!$B$9,Paramètres!$A$1:$I$89,5,0)</f>
        <v>-1.0197709343628959E-13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323.17232038705157</v>
      </c>
      <c r="T180" s="59">
        <f t="shared" si="142"/>
        <v>402.34685738619197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14.827862066205878</v>
      </c>
      <c r="AA180" s="21">
        <f>EXP(-LN(2)/25)*AA179+(1-EXP(-LN(2)/25))/(LN(2)/25)*Calculateur!V180*Calculateur!X180*VLOOKUP('Données projet'!$B$9,Paramètres!$A$1:$I$89,3,0)*0.475*44/12</f>
        <v>1.5432730262545558</v>
      </c>
      <c r="AB180" s="21">
        <f>EXP(-LN(2)/2)*AB179+(1-EXP(-LN(2)/2))/(LN(2)/2)*V180*Y180*VLOOKUP('Données projet'!$B$9,Paramètres!$A$1:$I$89,3,0)*0.475*44/12</f>
        <v>2.4781929023470494E-17</v>
      </c>
      <c r="AC180" s="22">
        <f t="shared" si="163"/>
        <v>16.371135092460435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 t="e">
        <f>AI180*VLOOKUP('Données projet'!$B$10,Paramètres!$A$1:$I$89,3,0)*VLOOKUP('Données projet'!$B$10,Paramètres!$A$1:$I$89,5,0)</f>
        <v>#N/A</v>
      </c>
      <c r="AK180" s="13" t="e">
        <f t="shared" si="164"/>
        <v>#N/A</v>
      </c>
      <c r="AL180" s="20" t="e">
        <f t="shared" si="165"/>
        <v>#N/A</v>
      </c>
      <c r="AM180" s="59" t="e">
        <f t="shared" si="113"/>
        <v>#N/A</v>
      </c>
      <c r="AN180" s="59" t="e">
        <f ca="1">AVERAGE(OFFSET($AM$3,0,0,'Données projet'!$E$10+1,1))-AVERAGE(OFFSET($H$3,0,0,'Données projet'!$E$10+1,1))</f>
        <v>#N/A</v>
      </c>
      <c r="AO180" s="59" t="e">
        <f t="shared" si="144"/>
        <v>#N/A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 t="e">
        <f>EXP(-LN(2)/35)*AU179+(1-EXP(-LN(2)/35))/(LN(2)/35)*AQ180*AR180*VLOOKUP('Données projet'!$B$10,Paramètres!$A$1:$I$89,3,0)*0.475*44/12</f>
        <v>#N/A</v>
      </c>
      <c r="AV180" s="21" t="e">
        <f>EXP(-LN(2)/25)*AV179+(1-EXP(-LN(2)/25))/(LN(2)/25)*Calculateur!AQ180*Calculateur!AS180*VLOOKUP('Données projet'!$B$10,Paramètres!$A$1:$I$89,3,0)*0.475*44/12</f>
        <v>#N/A</v>
      </c>
      <c r="AW180" s="21" t="e">
        <f>EXP(-LN(2)/2)*AW179+(1-EXP(-LN(2)/2))/(LN(2)/2)*AQ180*AT180*VLOOKUP('Données projet'!$B$10,Paramètres!$A$1:$I$89,3,0)*0.475*44/12</f>
        <v>#N/A</v>
      </c>
      <c r="AX180" s="21" t="e">
        <f t="shared" si="166"/>
        <v>#N/A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140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67">
        <f t="shared" si="110"/>
        <v>256.66666666666669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-1.7053025658242404E-13</v>
      </c>
      <c r="O181" s="13">
        <f>N181*VLOOKUP('Données projet'!$B$9,Paramètres!$A$1:$I$89,3,0)*VLOOKUP('Données projet'!$B$9,Paramètres!$A$1:$I$89,5,0)</f>
        <v>-1.0197709343628959E-13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323.17232038705157</v>
      </c>
      <c r="T181" s="59">
        <f t="shared" si="142"/>
        <v>402.34685738619197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14.53709673519041</v>
      </c>
      <c r="AA181" s="21">
        <f>EXP(-LN(2)/25)*AA180+(1-EXP(-LN(2)/25))/(LN(2)/25)*Calculateur!V181*Calculateur!X181*VLOOKUP('Données projet'!$B$9,Paramètres!$A$1:$I$89,3,0)*0.475*44/12</f>
        <v>1.5010721441944237</v>
      </c>
      <c r="AB181" s="21">
        <f>EXP(-LN(2)/2)*AB180+(1-EXP(-LN(2)/2))/(LN(2)/2)*V181*Y181*VLOOKUP('Données projet'!$B$9,Paramètres!$A$1:$I$89,3,0)*0.475*44/12</f>
        <v>1.7523470063379701E-17</v>
      </c>
      <c r="AC181" s="22">
        <f t="shared" si="163"/>
        <v>16.038168879384834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 t="e">
        <f>AI181*VLOOKUP('Données projet'!$B$10,Paramètres!$A$1:$I$89,3,0)*VLOOKUP('Données projet'!$B$10,Paramètres!$A$1:$I$89,5,0)</f>
        <v>#N/A</v>
      </c>
      <c r="AK181" s="13" t="e">
        <f t="shared" si="164"/>
        <v>#N/A</v>
      </c>
      <c r="AL181" s="20" t="e">
        <f t="shared" si="165"/>
        <v>#N/A</v>
      </c>
      <c r="AM181" s="59" t="e">
        <f t="shared" si="113"/>
        <v>#N/A</v>
      </c>
      <c r="AN181" s="59" t="e">
        <f ca="1">AVERAGE(OFFSET($AM$3,0,0,'Données projet'!$E$10+1,1))-AVERAGE(OFFSET($H$3,0,0,'Données projet'!$E$10+1,1))</f>
        <v>#N/A</v>
      </c>
      <c r="AO181" s="59" t="e">
        <f t="shared" si="144"/>
        <v>#N/A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 t="e">
        <f>EXP(-LN(2)/35)*AU180+(1-EXP(-LN(2)/35))/(LN(2)/35)*AQ181*AR181*VLOOKUP('Données projet'!$B$10,Paramètres!$A$1:$I$89,3,0)*0.475*44/12</f>
        <v>#N/A</v>
      </c>
      <c r="AV181" s="21" t="e">
        <f>EXP(-LN(2)/25)*AV180+(1-EXP(-LN(2)/25))/(LN(2)/25)*Calculateur!AQ181*Calculateur!AS181*VLOOKUP('Données projet'!$B$10,Paramètres!$A$1:$I$89,3,0)*0.475*44/12</f>
        <v>#N/A</v>
      </c>
      <c r="AW181" s="21" t="e">
        <f>EXP(-LN(2)/2)*AW180+(1-EXP(-LN(2)/2))/(LN(2)/2)*AQ181*AT181*VLOOKUP('Données projet'!$B$10,Paramètres!$A$1:$I$89,3,0)*0.475*44/12</f>
        <v>#N/A</v>
      </c>
      <c r="AX181" s="21" t="e">
        <f t="shared" si="166"/>
        <v>#N/A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140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67">
        <f t="shared" si="110"/>
        <v>256.66666666666669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-1.7053025658242404E-13</v>
      </c>
      <c r="O182" s="13">
        <f>N182*VLOOKUP('Données projet'!$B$9,Paramètres!$A$1:$I$89,3,0)*VLOOKUP('Données projet'!$B$9,Paramètres!$A$1:$I$89,5,0)</f>
        <v>-1.0197709343628959E-13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323.17232038705157</v>
      </c>
      <c r="T182" s="59">
        <f t="shared" si="142"/>
        <v>402.34685738619197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14.252033134966815</v>
      </c>
      <c r="AA182" s="21">
        <f>EXP(-LN(2)/25)*AA181+(1-EXP(-LN(2)/25))/(LN(2)/25)*Calculateur!V182*Calculateur!X182*VLOOKUP('Données projet'!$B$9,Paramètres!$A$1:$I$89,3,0)*0.475*44/12</f>
        <v>1.4600252474734738</v>
      </c>
      <c r="AB182" s="21">
        <f>EXP(-LN(2)/2)*AB181+(1-EXP(-LN(2)/2))/(LN(2)/2)*V182*Y182*VLOOKUP('Données projet'!$B$9,Paramètres!$A$1:$I$89,3,0)*0.475*44/12</f>
        <v>1.2390964511735247E-17</v>
      </c>
      <c r="AC182" s="22">
        <f t="shared" si="163"/>
        <v>15.71205838244029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 t="e">
        <f>AI182*VLOOKUP('Données projet'!$B$10,Paramètres!$A$1:$I$89,3,0)*VLOOKUP('Données projet'!$B$10,Paramètres!$A$1:$I$89,5,0)</f>
        <v>#N/A</v>
      </c>
      <c r="AK182" s="13" t="e">
        <f t="shared" si="164"/>
        <v>#N/A</v>
      </c>
      <c r="AL182" s="20" t="e">
        <f t="shared" si="165"/>
        <v>#N/A</v>
      </c>
      <c r="AM182" s="59" t="e">
        <f t="shared" si="113"/>
        <v>#N/A</v>
      </c>
      <c r="AN182" s="59" t="e">
        <f ca="1">AVERAGE(OFFSET($AM$3,0,0,'Données projet'!$E$10+1,1))-AVERAGE(OFFSET($H$3,0,0,'Données projet'!$E$10+1,1))</f>
        <v>#N/A</v>
      </c>
      <c r="AO182" s="59" t="e">
        <f t="shared" si="144"/>
        <v>#N/A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 t="e">
        <f>EXP(-LN(2)/35)*AU181+(1-EXP(-LN(2)/35))/(LN(2)/35)*AQ182*AR182*VLOOKUP('Données projet'!$B$10,Paramètres!$A$1:$I$89,3,0)*0.475*44/12</f>
        <v>#N/A</v>
      </c>
      <c r="AV182" s="21" t="e">
        <f>EXP(-LN(2)/25)*AV181+(1-EXP(-LN(2)/25))/(LN(2)/25)*Calculateur!AQ182*Calculateur!AS182*VLOOKUP('Données projet'!$B$10,Paramètres!$A$1:$I$89,3,0)*0.475*44/12</f>
        <v>#N/A</v>
      </c>
      <c r="AW182" s="21" t="e">
        <f>EXP(-LN(2)/2)*AW181+(1-EXP(-LN(2)/2))/(LN(2)/2)*AQ182*AT182*VLOOKUP('Données projet'!$B$10,Paramètres!$A$1:$I$89,3,0)*0.475*44/12</f>
        <v>#N/A</v>
      </c>
      <c r="AX182" s="21" t="e">
        <f t="shared" si="166"/>
        <v>#N/A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140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67">
        <f t="shared" si="110"/>
        <v>256.66666666666669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-1.7053025658242404E-13</v>
      </c>
      <c r="O183" s="13">
        <f>N183*VLOOKUP('Données projet'!$B$9,Paramètres!$A$1:$I$89,3,0)*VLOOKUP('Données projet'!$B$9,Paramètres!$A$1:$I$89,5,0)</f>
        <v>-1.0197709343628959E-13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323.17232038705157</v>
      </c>
      <c r="T183" s="59">
        <f t="shared" si="142"/>
        <v>402.34685738619197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13.972559458071977</v>
      </c>
      <c r="AA183" s="21">
        <f>EXP(-LN(2)/25)*AA182+(1-EXP(-LN(2)/25))/(LN(2)/25)*Calculateur!V183*Calculateur!X183*VLOOKUP('Données projet'!$B$9,Paramètres!$A$1:$I$89,3,0)*0.475*44/12</f>
        <v>1.4201007803019208</v>
      </c>
      <c r="AB183" s="21">
        <f>EXP(-LN(2)/2)*AB182+(1-EXP(-LN(2)/2))/(LN(2)/2)*V183*Y183*VLOOKUP('Données projet'!$B$9,Paramètres!$A$1:$I$89,3,0)*0.475*44/12</f>
        <v>8.7617350316898507E-18</v>
      </c>
      <c r="AC183" s="22">
        <f t="shared" si="163"/>
        <v>15.392660238373898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 t="e">
        <f>AI183*VLOOKUP('Données projet'!$B$10,Paramètres!$A$1:$I$89,3,0)*VLOOKUP('Données projet'!$B$10,Paramètres!$A$1:$I$89,5,0)</f>
        <v>#N/A</v>
      </c>
      <c r="AK183" s="13" t="e">
        <f t="shared" si="164"/>
        <v>#N/A</v>
      </c>
      <c r="AL183" s="20" t="e">
        <f t="shared" si="165"/>
        <v>#N/A</v>
      </c>
      <c r="AM183" s="59" t="e">
        <f t="shared" si="113"/>
        <v>#N/A</v>
      </c>
      <c r="AN183" s="59" t="e">
        <f ca="1">AVERAGE(OFFSET($AM$3,0,0,'Données projet'!$E$10+1,1))-AVERAGE(OFFSET($H$3,0,0,'Données projet'!$E$10+1,1))</f>
        <v>#N/A</v>
      </c>
      <c r="AO183" s="59" t="e">
        <f t="shared" si="144"/>
        <v>#N/A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 t="e">
        <f>EXP(-LN(2)/35)*AU182+(1-EXP(-LN(2)/35))/(LN(2)/35)*AQ183*AR183*VLOOKUP('Données projet'!$B$10,Paramètres!$A$1:$I$89,3,0)*0.475*44/12</f>
        <v>#N/A</v>
      </c>
      <c r="AV183" s="21" t="e">
        <f>EXP(-LN(2)/25)*AV182+(1-EXP(-LN(2)/25))/(LN(2)/25)*Calculateur!AQ183*Calculateur!AS183*VLOOKUP('Données projet'!$B$10,Paramètres!$A$1:$I$89,3,0)*0.475*44/12</f>
        <v>#N/A</v>
      </c>
      <c r="AW183" s="21" t="e">
        <f>EXP(-LN(2)/2)*AW182+(1-EXP(-LN(2)/2))/(LN(2)/2)*AQ183*AT183*VLOOKUP('Données projet'!$B$10,Paramètres!$A$1:$I$89,3,0)*0.475*44/12</f>
        <v>#N/A</v>
      </c>
      <c r="AX183" s="21" t="e">
        <f t="shared" si="166"/>
        <v>#N/A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140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67">
        <f t="shared" si="110"/>
        <v>256.66666666666669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-1.7053025658242404E-13</v>
      </c>
      <c r="O184" s="13">
        <f>N184*VLOOKUP('Données projet'!$B$9,Paramètres!$A$1:$I$89,3,0)*VLOOKUP('Données projet'!$B$9,Paramètres!$A$1:$I$89,5,0)</f>
        <v>-1.0197709343628959E-13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323.17232038705157</v>
      </c>
      <c r="T184" s="59">
        <f t="shared" si="142"/>
        <v>402.34685738619197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13.698566089518936</v>
      </c>
      <c r="AA184" s="21">
        <f>EXP(-LN(2)/25)*AA183+(1-EXP(-LN(2)/25))/(LN(2)/25)*Calculateur!V184*Calculateur!X184*VLOOKUP('Données projet'!$B$9,Paramètres!$A$1:$I$89,3,0)*0.475*44/12</f>
        <v>1.3812680497847103</v>
      </c>
      <c r="AB184" s="21">
        <f>EXP(-LN(2)/2)*AB183+(1-EXP(-LN(2)/2))/(LN(2)/2)*V184*Y184*VLOOKUP('Données projet'!$B$9,Paramètres!$A$1:$I$89,3,0)*0.475*44/12</f>
        <v>6.1954822558676234E-18</v>
      </c>
      <c r="AC184" s="22">
        <f t="shared" si="163"/>
        <v>15.079834139303646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 t="e">
        <f>AI184*VLOOKUP('Données projet'!$B$10,Paramètres!$A$1:$I$89,3,0)*VLOOKUP('Données projet'!$B$10,Paramètres!$A$1:$I$89,5,0)</f>
        <v>#N/A</v>
      </c>
      <c r="AK184" s="13" t="e">
        <f t="shared" si="164"/>
        <v>#N/A</v>
      </c>
      <c r="AL184" s="20" t="e">
        <f t="shared" si="165"/>
        <v>#N/A</v>
      </c>
      <c r="AM184" s="59" t="e">
        <f t="shared" si="113"/>
        <v>#N/A</v>
      </c>
      <c r="AN184" s="59" t="e">
        <f ca="1">AVERAGE(OFFSET($AM$3,0,0,'Données projet'!$E$10+1,1))-AVERAGE(OFFSET($H$3,0,0,'Données projet'!$E$10+1,1))</f>
        <v>#N/A</v>
      </c>
      <c r="AO184" s="59" t="e">
        <f t="shared" si="144"/>
        <v>#N/A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 t="e">
        <f>EXP(-LN(2)/35)*AU183+(1-EXP(-LN(2)/35))/(LN(2)/35)*AQ184*AR184*VLOOKUP('Données projet'!$B$10,Paramètres!$A$1:$I$89,3,0)*0.475*44/12</f>
        <v>#N/A</v>
      </c>
      <c r="AV184" s="21" t="e">
        <f>EXP(-LN(2)/25)*AV183+(1-EXP(-LN(2)/25))/(LN(2)/25)*Calculateur!AQ184*Calculateur!AS184*VLOOKUP('Données projet'!$B$10,Paramètres!$A$1:$I$89,3,0)*0.475*44/12</f>
        <v>#N/A</v>
      </c>
      <c r="AW184" s="21" t="e">
        <f>EXP(-LN(2)/2)*AW183+(1-EXP(-LN(2)/2))/(LN(2)/2)*AQ184*AT184*VLOOKUP('Données projet'!$B$10,Paramètres!$A$1:$I$89,3,0)*0.475*44/12</f>
        <v>#N/A</v>
      </c>
      <c r="AX184" s="21" t="e">
        <f t="shared" si="166"/>
        <v>#N/A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140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67">
        <f t="shared" si="110"/>
        <v>256.66666666666669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-1.7053025658242404E-13</v>
      </c>
      <c r="O185" s="13">
        <f>N185*VLOOKUP('Données projet'!$B$9,Paramètres!$A$1:$I$89,3,0)*VLOOKUP('Données projet'!$B$9,Paramètres!$A$1:$I$89,5,0)</f>
        <v>-1.0197709343628959E-13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323.17232038705157</v>
      </c>
      <c r="T185" s="59">
        <f t="shared" si="142"/>
        <v>402.34685738619197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13.429945563803766</v>
      </c>
      <c r="AA185" s="21">
        <f>EXP(-LN(2)/25)*AA184+(1-EXP(-LN(2)/25))/(LN(2)/25)*Calculateur!V185*Calculateur!X185*VLOOKUP('Données projet'!$B$9,Paramètres!$A$1:$I$89,3,0)*0.475*44/12</f>
        <v>1.3434972023256175</v>
      </c>
      <c r="AB185" s="21">
        <f>EXP(-LN(2)/2)*AB184+(1-EXP(-LN(2)/2))/(LN(2)/2)*V185*Y185*VLOOKUP('Données projet'!$B$9,Paramètres!$A$1:$I$89,3,0)*0.475*44/12</f>
        <v>4.3808675158449253E-18</v>
      </c>
      <c r="AC185" s="22">
        <f t="shared" si="163"/>
        <v>14.773442766129383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 t="e">
        <f>AI185*VLOOKUP('Données projet'!$B$10,Paramètres!$A$1:$I$89,3,0)*VLOOKUP('Données projet'!$B$10,Paramètres!$A$1:$I$89,5,0)</f>
        <v>#N/A</v>
      </c>
      <c r="AK185" s="13" t="e">
        <f t="shared" si="164"/>
        <v>#N/A</v>
      </c>
      <c r="AL185" s="20" t="e">
        <f t="shared" si="165"/>
        <v>#N/A</v>
      </c>
      <c r="AM185" s="59" t="e">
        <f t="shared" si="113"/>
        <v>#N/A</v>
      </c>
      <c r="AN185" s="59" t="e">
        <f ca="1">AVERAGE(OFFSET($AM$3,0,0,'Données projet'!$E$10+1,1))-AVERAGE(OFFSET($H$3,0,0,'Données projet'!$E$10+1,1))</f>
        <v>#N/A</v>
      </c>
      <c r="AO185" s="59" t="e">
        <f t="shared" si="144"/>
        <v>#N/A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 t="e">
        <f>EXP(-LN(2)/35)*AU184+(1-EXP(-LN(2)/35))/(LN(2)/35)*AQ185*AR185*VLOOKUP('Données projet'!$B$10,Paramètres!$A$1:$I$89,3,0)*0.475*44/12</f>
        <v>#N/A</v>
      </c>
      <c r="AV185" s="21" t="e">
        <f>EXP(-LN(2)/25)*AV184+(1-EXP(-LN(2)/25))/(LN(2)/25)*Calculateur!AQ185*Calculateur!AS185*VLOOKUP('Données projet'!$B$10,Paramètres!$A$1:$I$89,3,0)*0.475*44/12</f>
        <v>#N/A</v>
      </c>
      <c r="AW185" s="21" t="e">
        <f>EXP(-LN(2)/2)*AW184+(1-EXP(-LN(2)/2))/(LN(2)/2)*AQ185*AT185*VLOOKUP('Données projet'!$B$10,Paramètres!$A$1:$I$89,3,0)*0.475*44/12</f>
        <v>#N/A</v>
      </c>
      <c r="AX185" s="21" t="e">
        <f t="shared" si="166"/>
        <v>#N/A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140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67">
        <f t="shared" si="110"/>
        <v>256.66666666666669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-1.7053025658242404E-13</v>
      </c>
      <c r="O186" s="13">
        <f>N186*VLOOKUP('Données projet'!$B$9,Paramètres!$A$1:$I$89,3,0)*VLOOKUP('Données projet'!$B$9,Paramètres!$A$1:$I$89,5,0)</f>
        <v>-1.0197709343628959E-13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323.17232038705157</v>
      </c>
      <c r="T186" s="59">
        <f t="shared" si="142"/>
        <v>402.34685738619197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13.166592522755529</v>
      </c>
      <c r="AA186" s="21">
        <f>EXP(-LN(2)/25)*AA185+(1-EXP(-LN(2)/25))/(LN(2)/25)*Calculateur!V186*Calculateur!X186*VLOOKUP('Données projet'!$B$9,Paramètres!$A$1:$I$89,3,0)*0.475*44/12</f>
        <v>1.3067592006765762</v>
      </c>
      <c r="AB186" s="21">
        <f>EXP(-LN(2)/2)*AB185+(1-EXP(-LN(2)/2))/(LN(2)/2)*V186*Y186*VLOOKUP('Données projet'!$B$9,Paramètres!$A$1:$I$89,3,0)*0.475*44/12</f>
        <v>3.0977411279338117E-18</v>
      </c>
      <c r="AC186" s="22">
        <f t="shared" si="163"/>
        <v>14.473351723432106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 t="e">
        <f>AI186*VLOOKUP('Données projet'!$B$10,Paramètres!$A$1:$I$89,3,0)*VLOOKUP('Données projet'!$B$10,Paramètres!$A$1:$I$89,5,0)</f>
        <v>#N/A</v>
      </c>
      <c r="AK186" s="13" t="e">
        <f t="shared" si="164"/>
        <v>#N/A</v>
      </c>
      <c r="AL186" s="20" t="e">
        <f t="shared" si="165"/>
        <v>#N/A</v>
      </c>
      <c r="AM186" s="59" t="e">
        <f t="shared" si="113"/>
        <v>#N/A</v>
      </c>
      <c r="AN186" s="59" t="e">
        <f ca="1">AVERAGE(OFFSET($AM$3,0,0,'Données projet'!$E$10+1,1))-AVERAGE(OFFSET($H$3,0,0,'Données projet'!$E$10+1,1))</f>
        <v>#N/A</v>
      </c>
      <c r="AO186" s="59" t="e">
        <f t="shared" si="144"/>
        <v>#N/A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 t="e">
        <f>EXP(-LN(2)/35)*AU185+(1-EXP(-LN(2)/35))/(LN(2)/35)*AQ186*AR186*VLOOKUP('Données projet'!$B$10,Paramètres!$A$1:$I$89,3,0)*0.475*44/12</f>
        <v>#N/A</v>
      </c>
      <c r="AV186" s="21" t="e">
        <f>EXP(-LN(2)/25)*AV185+(1-EXP(-LN(2)/25))/(LN(2)/25)*Calculateur!AQ186*Calculateur!AS186*VLOOKUP('Données projet'!$B$10,Paramètres!$A$1:$I$89,3,0)*0.475*44/12</f>
        <v>#N/A</v>
      </c>
      <c r="AW186" s="21" t="e">
        <f>EXP(-LN(2)/2)*AW185+(1-EXP(-LN(2)/2))/(LN(2)/2)*AQ186*AT186*VLOOKUP('Données projet'!$B$10,Paramètres!$A$1:$I$89,3,0)*0.475*44/12</f>
        <v>#N/A</v>
      </c>
      <c r="AX186" s="21" t="e">
        <f t="shared" si="166"/>
        <v>#N/A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140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67">
        <f t="shared" si="110"/>
        <v>256.66666666666669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-1.7053025658242404E-13</v>
      </c>
      <c r="O187" s="13">
        <f>N187*VLOOKUP('Données projet'!$B$9,Paramètres!$A$1:$I$89,3,0)*VLOOKUP('Données projet'!$B$9,Paramètres!$A$1:$I$89,5,0)</f>
        <v>-1.0197709343628959E-13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323.17232038705157</v>
      </c>
      <c r="T187" s="59">
        <f t="shared" si="142"/>
        <v>402.34685738619197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12.908403674212753</v>
      </c>
      <c r="AA187" s="21">
        <f>EXP(-LN(2)/25)*AA186+(1-EXP(-LN(2)/25))/(LN(2)/25)*Calculateur!V187*Calculateur!X187*VLOOKUP('Données projet'!$B$9,Paramètres!$A$1:$I$89,3,0)*0.475*44/12</f>
        <v>1.2710258016145954</v>
      </c>
      <c r="AB187" s="21">
        <f>EXP(-LN(2)/2)*AB186+(1-EXP(-LN(2)/2))/(LN(2)/2)*V187*Y187*VLOOKUP('Données projet'!$B$9,Paramètres!$A$1:$I$89,3,0)*0.475*44/12</f>
        <v>2.1904337579224627E-18</v>
      </c>
      <c r="AC187" s="22">
        <f t="shared" si="163"/>
        <v>14.179429475827348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 t="e">
        <f>AI187*VLOOKUP('Données projet'!$B$10,Paramètres!$A$1:$I$89,3,0)*VLOOKUP('Données projet'!$B$10,Paramètres!$A$1:$I$89,5,0)</f>
        <v>#N/A</v>
      </c>
      <c r="AK187" s="13" t="e">
        <f t="shared" si="164"/>
        <v>#N/A</v>
      </c>
      <c r="AL187" s="20" t="e">
        <f t="shared" si="165"/>
        <v>#N/A</v>
      </c>
      <c r="AM187" s="59" t="e">
        <f t="shared" si="113"/>
        <v>#N/A</v>
      </c>
      <c r="AN187" s="59" t="e">
        <f ca="1">AVERAGE(OFFSET($AM$3,0,0,'Données projet'!$E$10+1,1))-AVERAGE(OFFSET($H$3,0,0,'Données projet'!$E$10+1,1))</f>
        <v>#N/A</v>
      </c>
      <c r="AO187" s="59" t="e">
        <f t="shared" si="144"/>
        <v>#N/A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 t="e">
        <f>EXP(-LN(2)/35)*AU186+(1-EXP(-LN(2)/35))/(LN(2)/35)*AQ187*AR187*VLOOKUP('Données projet'!$B$10,Paramètres!$A$1:$I$89,3,0)*0.475*44/12</f>
        <v>#N/A</v>
      </c>
      <c r="AV187" s="21" t="e">
        <f>EXP(-LN(2)/25)*AV186+(1-EXP(-LN(2)/25))/(LN(2)/25)*Calculateur!AQ187*Calculateur!AS187*VLOOKUP('Données projet'!$B$10,Paramètres!$A$1:$I$89,3,0)*0.475*44/12</f>
        <v>#N/A</v>
      </c>
      <c r="AW187" s="21" t="e">
        <f>EXP(-LN(2)/2)*AW186+(1-EXP(-LN(2)/2))/(LN(2)/2)*AQ187*AT187*VLOOKUP('Données projet'!$B$10,Paramètres!$A$1:$I$89,3,0)*0.475*44/12</f>
        <v>#N/A</v>
      </c>
      <c r="AX187" s="21" t="e">
        <f t="shared" si="166"/>
        <v>#N/A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140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67">
        <f t="shared" si="110"/>
        <v>256.66666666666669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-1.7053025658242404E-13</v>
      </c>
      <c r="O188" s="13">
        <f>N188*VLOOKUP('Données projet'!$B$9,Paramètres!$A$1:$I$89,3,0)*VLOOKUP('Données projet'!$B$9,Paramètres!$A$1:$I$89,5,0)</f>
        <v>-1.0197709343628959E-13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323.17232038705157</v>
      </c>
      <c r="T188" s="59">
        <f t="shared" si="142"/>
        <v>402.34685738619197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12.655277751510253</v>
      </c>
      <c r="AA188" s="21">
        <f>EXP(-LN(2)/25)*AA187+(1-EXP(-LN(2)/25))/(LN(2)/25)*Calculateur!V188*Calculateur!X188*VLOOKUP('Données projet'!$B$9,Paramètres!$A$1:$I$89,3,0)*0.475*44/12</f>
        <v>1.2362695342291024</v>
      </c>
      <c r="AB188" s="21">
        <f>EXP(-LN(2)/2)*AB187+(1-EXP(-LN(2)/2))/(LN(2)/2)*V188*Y188*VLOOKUP('Données projet'!$B$9,Paramètres!$A$1:$I$89,3,0)*0.475*44/12</f>
        <v>1.5488705639669058E-18</v>
      </c>
      <c r="AC188" s="22">
        <f t="shared" si="163"/>
        <v>13.891547285739355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 t="e">
        <f>AI188*VLOOKUP('Données projet'!$B$10,Paramètres!$A$1:$I$89,3,0)*VLOOKUP('Données projet'!$B$10,Paramètres!$A$1:$I$89,5,0)</f>
        <v>#N/A</v>
      </c>
      <c r="AK188" s="13" t="e">
        <f t="shared" si="164"/>
        <v>#N/A</v>
      </c>
      <c r="AL188" s="20" t="e">
        <f t="shared" si="165"/>
        <v>#N/A</v>
      </c>
      <c r="AM188" s="59" t="e">
        <f t="shared" si="113"/>
        <v>#N/A</v>
      </c>
      <c r="AN188" s="59" t="e">
        <f ca="1">AVERAGE(OFFSET($AM$3,0,0,'Données projet'!$E$10+1,1))-AVERAGE(OFFSET($H$3,0,0,'Données projet'!$E$10+1,1))</f>
        <v>#N/A</v>
      </c>
      <c r="AO188" s="59" t="e">
        <f t="shared" si="144"/>
        <v>#N/A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 t="e">
        <f>EXP(-LN(2)/35)*AU187+(1-EXP(-LN(2)/35))/(LN(2)/35)*AQ188*AR188*VLOOKUP('Données projet'!$B$10,Paramètres!$A$1:$I$89,3,0)*0.475*44/12</f>
        <v>#N/A</v>
      </c>
      <c r="AV188" s="21" t="e">
        <f>EXP(-LN(2)/25)*AV187+(1-EXP(-LN(2)/25))/(LN(2)/25)*Calculateur!AQ188*Calculateur!AS188*VLOOKUP('Données projet'!$B$10,Paramètres!$A$1:$I$89,3,0)*0.475*44/12</f>
        <v>#N/A</v>
      </c>
      <c r="AW188" s="21" t="e">
        <f>EXP(-LN(2)/2)*AW187+(1-EXP(-LN(2)/2))/(LN(2)/2)*AQ188*AT188*VLOOKUP('Données projet'!$B$10,Paramètres!$A$1:$I$89,3,0)*0.475*44/12</f>
        <v>#N/A</v>
      </c>
      <c r="AX188" s="21" t="e">
        <f t="shared" si="166"/>
        <v>#N/A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140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67">
        <f t="shared" si="110"/>
        <v>256.66666666666669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-1.7053025658242404E-13</v>
      </c>
      <c r="O189" s="13">
        <f>N189*VLOOKUP('Données projet'!$B$9,Paramètres!$A$1:$I$89,3,0)*VLOOKUP('Données projet'!$B$9,Paramètres!$A$1:$I$89,5,0)</f>
        <v>-1.0197709343628959E-13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323.17232038705157</v>
      </c>
      <c r="T189" s="59">
        <f t="shared" si="142"/>
        <v>402.34685738619197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12.407115473760381</v>
      </c>
      <c r="AA189" s="21">
        <f>EXP(-LN(2)/25)*AA188+(1-EXP(-LN(2)/25))/(LN(2)/25)*Calculateur!V189*Calculateur!X189*VLOOKUP('Données projet'!$B$9,Paramètres!$A$1:$I$89,3,0)*0.475*44/12</f>
        <v>1.2024636788030183</v>
      </c>
      <c r="AB189" s="21">
        <f>EXP(-LN(2)/2)*AB188+(1-EXP(-LN(2)/2))/(LN(2)/2)*V189*Y189*VLOOKUP('Données projet'!$B$9,Paramètres!$A$1:$I$89,3,0)*0.475*44/12</f>
        <v>1.0952168789612313E-18</v>
      </c>
      <c r="AC189" s="22">
        <f t="shared" si="163"/>
        <v>13.6095791525634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 t="e">
        <f>AI189*VLOOKUP('Données projet'!$B$10,Paramètres!$A$1:$I$89,3,0)*VLOOKUP('Données projet'!$B$10,Paramètres!$A$1:$I$89,5,0)</f>
        <v>#N/A</v>
      </c>
      <c r="AK189" s="13" t="e">
        <f t="shared" si="164"/>
        <v>#N/A</v>
      </c>
      <c r="AL189" s="20" t="e">
        <f t="shared" si="165"/>
        <v>#N/A</v>
      </c>
      <c r="AM189" s="59" t="e">
        <f t="shared" si="113"/>
        <v>#N/A</v>
      </c>
      <c r="AN189" s="59" t="e">
        <f ca="1">AVERAGE(OFFSET($AM$3,0,0,'Données projet'!$E$10+1,1))-AVERAGE(OFFSET($H$3,0,0,'Données projet'!$E$10+1,1))</f>
        <v>#N/A</v>
      </c>
      <c r="AO189" s="59" t="e">
        <f t="shared" si="144"/>
        <v>#N/A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 t="e">
        <f>EXP(-LN(2)/35)*AU188+(1-EXP(-LN(2)/35))/(LN(2)/35)*AQ189*AR189*VLOOKUP('Données projet'!$B$10,Paramètres!$A$1:$I$89,3,0)*0.475*44/12</f>
        <v>#N/A</v>
      </c>
      <c r="AV189" s="21" t="e">
        <f>EXP(-LN(2)/25)*AV188+(1-EXP(-LN(2)/25))/(LN(2)/25)*Calculateur!AQ189*Calculateur!AS189*VLOOKUP('Données projet'!$B$10,Paramètres!$A$1:$I$89,3,0)*0.475*44/12</f>
        <v>#N/A</v>
      </c>
      <c r="AW189" s="21" t="e">
        <f>EXP(-LN(2)/2)*AW188+(1-EXP(-LN(2)/2))/(LN(2)/2)*AQ189*AT189*VLOOKUP('Données projet'!$B$10,Paramètres!$A$1:$I$89,3,0)*0.475*44/12</f>
        <v>#N/A</v>
      </c>
      <c r="AX189" s="21" t="e">
        <f t="shared" si="166"/>
        <v>#N/A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140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67">
        <f t="shared" si="110"/>
        <v>256.66666666666669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-1.7053025658242404E-13</v>
      </c>
      <c r="O190" s="13">
        <f>N190*VLOOKUP('Données projet'!$B$9,Paramètres!$A$1:$I$89,3,0)*VLOOKUP('Données projet'!$B$9,Paramètres!$A$1:$I$89,5,0)</f>
        <v>-1.0197709343628959E-13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323.17232038705157</v>
      </c>
      <c r="T190" s="59">
        <f t="shared" si="142"/>
        <v>402.34685738619197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12.163819506913141</v>
      </c>
      <c r="AA190" s="21">
        <f>EXP(-LN(2)/25)*AA189+(1-EXP(-LN(2)/25))/(LN(2)/25)*Calculateur!V190*Calculateur!X190*VLOOKUP('Données projet'!$B$9,Paramètres!$A$1:$I$89,3,0)*0.475*44/12</f>
        <v>1.1695822462713332</v>
      </c>
      <c r="AB190" s="21">
        <f>EXP(-LN(2)/2)*AB189+(1-EXP(-LN(2)/2))/(LN(2)/2)*V190*Y190*VLOOKUP('Données projet'!$B$9,Paramètres!$A$1:$I$89,3,0)*0.475*44/12</f>
        <v>7.7443528198345292E-19</v>
      </c>
      <c r="AC190" s="22">
        <f t="shared" si="163"/>
        <v>13.333401753184475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 t="e">
        <f>AI190*VLOOKUP('Données projet'!$B$10,Paramètres!$A$1:$I$89,3,0)*VLOOKUP('Données projet'!$B$10,Paramètres!$A$1:$I$89,5,0)</f>
        <v>#N/A</v>
      </c>
      <c r="AK190" s="13" t="e">
        <f t="shared" si="164"/>
        <v>#N/A</v>
      </c>
      <c r="AL190" s="20" t="e">
        <f t="shared" si="165"/>
        <v>#N/A</v>
      </c>
      <c r="AM190" s="59" t="e">
        <f t="shared" si="113"/>
        <v>#N/A</v>
      </c>
      <c r="AN190" s="59" t="e">
        <f ca="1">AVERAGE(OFFSET($AM$3,0,0,'Données projet'!$E$10+1,1))-AVERAGE(OFFSET($H$3,0,0,'Données projet'!$E$10+1,1))</f>
        <v>#N/A</v>
      </c>
      <c r="AO190" s="59" t="e">
        <f t="shared" si="144"/>
        <v>#N/A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 t="e">
        <f>EXP(-LN(2)/35)*AU189+(1-EXP(-LN(2)/35))/(LN(2)/35)*AQ190*AR190*VLOOKUP('Données projet'!$B$10,Paramètres!$A$1:$I$89,3,0)*0.475*44/12</f>
        <v>#N/A</v>
      </c>
      <c r="AV190" s="21" t="e">
        <f>EXP(-LN(2)/25)*AV189+(1-EXP(-LN(2)/25))/(LN(2)/25)*Calculateur!AQ190*Calculateur!AS190*VLOOKUP('Données projet'!$B$10,Paramètres!$A$1:$I$89,3,0)*0.475*44/12</f>
        <v>#N/A</v>
      </c>
      <c r="AW190" s="21" t="e">
        <f>EXP(-LN(2)/2)*AW189+(1-EXP(-LN(2)/2))/(LN(2)/2)*AQ190*AT190*VLOOKUP('Données projet'!$B$10,Paramètres!$A$1:$I$89,3,0)*0.475*44/12</f>
        <v>#N/A</v>
      </c>
      <c r="AX190" s="21" t="e">
        <f t="shared" si="166"/>
        <v>#N/A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140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67">
        <f t="shared" si="110"/>
        <v>256.66666666666669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-1.7053025658242404E-13</v>
      </c>
      <c r="O191" s="13">
        <f>N191*VLOOKUP('Données projet'!$B$9,Paramètres!$A$1:$I$89,3,0)*VLOOKUP('Données projet'!$B$9,Paramètres!$A$1:$I$89,5,0)</f>
        <v>-1.0197709343628959E-13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323.17232038705157</v>
      </c>
      <c r="T191" s="59">
        <f t="shared" si="142"/>
        <v>402.34685738619197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11.925294425579889</v>
      </c>
      <c r="AA191" s="21">
        <f>EXP(-LN(2)/25)*AA190+(1-EXP(-LN(2)/25))/(LN(2)/25)*Calculateur!V191*Calculateur!X191*VLOOKUP('Données projet'!$B$9,Paramètres!$A$1:$I$89,3,0)*0.475*44/12</f>
        <v>1.1375999582413865</v>
      </c>
      <c r="AB191" s="21">
        <f>EXP(-LN(2)/2)*AB190+(1-EXP(-LN(2)/2))/(LN(2)/2)*V191*Y191*VLOOKUP('Données projet'!$B$9,Paramètres!$A$1:$I$89,3,0)*0.475*44/12</f>
        <v>5.4760843948061567E-19</v>
      </c>
      <c r="AC191" s="22">
        <f t="shared" si="163"/>
        <v>13.062894383821275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 t="e">
        <f>AI191*VLOOKUP('Données projet'!$B$10,Paramètres!$A$1:$I$89,3,0)*VLOOKUP('Données projet'!$B$10,Paramètres!$A$1:$I$89,5,0)</f>
        <v>#N/A</v>
      </c>
      <c r="AK191" s="13" t="e">
        <f t="shared" si="164"/>
        <v>#N/A</v>
      </c>
      <c r="AL191" s="20" t="e">
        <f t="shared" si="165"/>
        <v>#N/A</v>
      </c>
      <c r="AM191" s="59" t="e">
        <f t="shared" si="113"/>
        <v>#N/A</v>
      </c>
      <c r="AN191" s="59" t="e">
        <f ca="1">AVERAGE(OFFSET($AM$3,0,0,'Données projet'!$E$10+1,1))-AVERAGE(OFFSET($H$3,0,0,'Données projet'!$E$10+1,1))</f>
        <v>#N/A</v>
      </c>
      <c r="AO191" s="59" t="e">
        <f t="shared" si="144"/>
        <v>#N/A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 t="e">
        <f>EXP(-LN(2)/35)*AU190+(1-EXP(-LN(2)/35))/(LN(2)/35)*AQ191*AR191*VLOOKUP('Données projet'!$B$10,Paramètres!$A$1:$I$89,3,0)*0.475*44/12</f>
        <v>#N/A</v>
      </c>
      <c r="AV191" s="21" t="e">
        <f>EXP(-LN(2)/25)*AV190+(1-EXP(-LN(2)/25))/(LN(2)/25)*Calculateur!AQ191*Calculateur!AS191*VLOOKUP('Données projet'!$B$10,Paramètres!$A$1:$I$89,3,0)*0.475*44/12</f>
        <v>#N/A</v>
      </c>
      <c r="AW191" s="21" t="e">
        <f>EXP(-LN(2)/2)*AW190+(1-EXP(-LN(2)/2))/(LN(2)/2)*AQ191*AT191*VLOOKUP('Données projet'!$B$10,Paramètres!$A$1:$I$89,3,0)*0.475*44/12</f>
        <v>#N/A</v>
      </c>
      <c r="AX191" s="21" t="e">
        <f t="shared" si="166"/>
        <v>#N/A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140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67">
        <f t="shared" si="110"/>
        <v>256.66666666666669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-1.7053025658242404E-13</v>
      </c>
      <c r="O192" s="13">
        <f>N192*VLOOKUP('Données projet'!$B$9,Paramètres!$A$1:$I$89,3,0)*VLOOKUP('Données projet'!$B$9,Paramètres!$A$1:$I$89,5,0)</f>
        <v>-1.0197709343628959E-13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323.17232038705157</v>
      </c>
      <c r="T192" s="59">
        <f t="shared" si="142"/>
        <v>402.34685738619197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11.691446675605647</v>
      </c>
      <c r="AA192" s="21">
        <f>EXP(-LN(2)/25)*AA191+(1-EXP(-LN(2)/25))/(LN(2)/25)*Calculateur!V192*Calculateur!X192*VLOOKUP('Données projet'!$B$9,Paramètres!$A$1:$I$89,3,0)*0.475*44/12</f>
        <v>1.1064922275594939</v>
      </c>
      <c r="AB192" s="21">
        <f>EXP(-LN(2)/2)*AB191+(1-EXP(-LN(2)/2))/(LN(2)/2)*V192*Y192*VLOOKUP('Données projet'!$B$9,Paramètres!$A$1:$I$89,3,0)*0.475*44/12</f>
        <v>3.8721764099172646E-19</v>
      </c>
      <c r="AC192" s="22">
        <f t="shared" si="163"/>
        <v>12.797938903165141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 t="e">
        <f>AI192*VLOOKUP('Données projet'!$B$10,Paramètres!$A$1:$I$89,3,0)*VLOOKUP('Données projet'!$B$10,Paramètres!$A$1:$I$89,5,0)</f>
        <v>#N/A</v>
      </c>
      <c r="AK192" s="13" t="e">
        <f t="shared" si="164"/>
        <v>#N/A</v>
      </c>
      <c r="AL192" s="20" t="e">
        <f t="shared" si="165"/>
        <v>#N/A</v>
      </c>
      <c r="AM192" s="59" t="e">
        <f t="shared" si="113"/>
        <v>#N/A</v>
      </c>
      <c r="AN192" s="59" t="e">
        <f ca="1">AVERAGE(OFFSET($AM$3,0,0,'Données projet'!$E$10+1,1))-AVERAGE(OFFSET($H$3,0,0,'Données projet'!$E$10+1,1))</f>
        <v>#N/A</v>
      </c>
      <c r="AO192" s="59" t="e">
        <f t="shared" si="144"/>
        <v>#N/A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 t="e">
        <f>EXP(-LN(2)/35)*AU191+(1-EXP(-LN(2)/35))/(LN(2)/35)*AQ192*AR192*VLOOKUP('Données projet'!$B$10,Paramètres!$A$1:$I$89,3,0)*0.475*44/12</f>
        <v>#N/A</v>
      </c>
      <c r="AV192" s="21" t="e">
        <f>EXP(-LN(2)/25)*AV191+(1-EXP(-LN(2)/25))/(LN(2)/25)*Calculateur!AQ192*Calculateur!AS192*VLOOKUP('Données projet'!$B$10,Paramètres!$A$1:$I$89,3,0)*0.475*44/12</f>
        <v>#N/A</v>
      </c>
      <c r="AW192" s="21" t="e">
        <f>EXP(-LN(2)/2)*AW191+(1-EXP(-LN(2)/2))/(LN(2)/2)*AQ192*AT192*VLOOKUP('Données projet'!$B$10,Paramètres!$A$1:$I$89,3,0)*0.475*44/12</f>
        <v>#N/A</v>
      </c>
      <c r="AX192" s="21" t="e">
        <f t="shared" si="166"/>
        <v>#N/A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140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67">
        <f t="shared" si="110"/>
        <v>256.66666666666669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-1.7053025658242404E-13</v>
      </c>
      <c r="O193" s="13">
        <f>N193*VLOOKUP('Données projet'!$B$9,Paramètres!$A$1:$I$89,3,0)*VLOOKUP('Données projet'!$B$9,Paramètres!$A$1:$I$89,5,0)</f>
        <v>-1.0197709343628959E-13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323.17232038705157</v>
      </c>
      <c r="T193" s="59">
        <f t="shared" si="142"/>
        <v>402.34685738619197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11.462184537375357</v>
      </c>
      <c r="AA193" s="21">
        <f>EXP(-LN(2)/25)*AA192+(1-EXP(-LN(2)/25))/(LN(2)/25)*Calculateur!V193*Calculateur!X193*VLOOKUP('Données projet'!$B$9,Paramètres!$A$1:$I$89,3,0)*0.475*44/12</f>
        <v>1.0762351394089822</v>
      </c>
      <c r="AB193" s="21">
        <f>EXP(-LN(2)/2)*AB192+(1-EXP(-LN(2)/2))/(LN(2)/2)*V193*Y193*VLOOKUP('Données projet'!$B$9,Paramètres!$A$1:$I$89,3,0)*0.475*44/12</f>
        <v>2.7380421974030783E-19</v>
      </c>
      <c r="AC193" s="22">
        <f t="shared" si="163"/>
        <v>12.53841967678434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 t="e">
        <f>AI193*VLOOKUP('Données projet'!$B$10,Paramètres!$A$1:$I$89,3,0)*VLOOKUP('Données projet'!$B$10,Paramètres!$A$1:$I$89,5,0)</f>
        <v>#N/A</v>
      </c>
      <c r="AK193" s="13" t="e">
        <f t="shared" si="164"/>
        <v>#N/A</v>
      </c>
      <c r="AL193" s="20" t="e">
        <f t="shared" si="165"/>
        <v>#N/A</v>
      </c>
      <c r="AM193" s="59" t="e">
        <f t="shared" si="113"/>
        <v>#N/A</v>
      </c>
      <c r="AN193" s="59" t="e">
        <f ca="1">AVERAGE(OFFSET($AM$3,0,0,'Données projet'!$E$10+1,1))-AVERAGE(OFFSET($H$3,0,0,'Données projet'!$E$10+1,1))</f>
        <v>#N/A</v>
      </c>
      <c r="AO193" s="59" t="e">
        <f t="shared" si="144"/>
        <v>#N/A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 t="e">
        <f>EXP(-LN(2)/35)*AU192+(1-EXP(-LN(2)/35))/(LN(2)/35)*AQ193*AR193*VLOOKUP('Données projet'!$B$10,Paramètres!$A$1:$I$89,3,0)*0.475*44/12</f>
        <v>#N/A</v>
      </c>
      <c r="AV193" s="21" t="e">
        <f>EXP(-LN(2)/25)*AV192+(1-EXP(-LN(2)/25))/(LN(2)/25)*Calculateur!AQ193*Calculateur!AS193*VLOOKUP('Données projet'!$B$10,Paramètres!$A$1:$I$89,3,0)*0.475*44/12</f>
        <v>#N/A</v>
      </c>
      <c r="AW193" s="21" t="e">
        <f>EXP(-LN(2)/2)*AW192+(1-EXP(-LN(2)/2))/(LN(2)/2)*AQ193*AT193*VLOOKUP('Données projet'!$B$10,Paramètres!$A$1:$I$89,3,0)*0.475*44/12</f>
        <v>#N/A</v>
      </c>
      <c r="AX193" s="21" t="e">
        <f t="shared" si="166"/>
        <v>#N/A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140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67">
        <f t="shared" si="110"/>
        <v>256.66666666666669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-1.7053025658242404E-13</v>
      </c>
      <c r="O194" s="13">
        <f>N194*VLOOKUP('Données projet'!$B$9,Paramètres!$A$1:$I$89,3,0)*VLOOKUP('Données projet'!$B$9,Paramètres!$A$1:$I$89,5,0)</f>
        <v>-1.0197709343628959E-13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323.17232038705157</v>
      </c>
      <c r="T194" s="59">
        <f t="shared" si="142"/>
        <v>402.34685738619197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11.237418089839666</v>
      </c>
      <c r="AA194" s="21">
        <f>EXP(-LN(2)/25)*AA193+(1-EXP(-LN(2)/25))/(LN(2)/25)*Calculateur!V194*Calculateur!X194*VLOOKUP('Données projet'!$B$9,Paramètres!$A$1:$I$89,3,0)*0.475*44/12</f>
        <v>1.0468054329250973</v>
      </c>
      <c r="AB194" s="21">
        <f>EXP(-LN(2)/2)*AB193+(1-EXP(-LN(2)/2))/(LN(2)/2)*V194*Y194*VLOOKUP('Données projet'!$B$9,Paramètres!$A$1:$I$89,3,0)*0.475*44/12</f>
        <v>1.9360882049586323E-19</v>
      </c>
      <c r="AC194" s="22">
        <f t="shared" si="163"/>
        <v>12.284223522764764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 t="e">
        <f>AI194*VLOOKUP('Données projet'!$B$10,Paramètres!$A$1:$I$89,3,0)*VLOOKUP('Données projet'!$B$10,Paramètres!$A$1:$I$89,5,0)</f>
        <v>#N/A</v>
      </c>
      <c r="AK194" s="13" t="e">
        <f t="shared" si="164"/>
        <v>#N/A</v>
      </c>
      <c r="AL194" s="20" t="e">
        <f t="shared" si="165"/>
        <v>#N/A</v>
      </c>
      <c r="AM194" s="59" t="e">
        <f t="shared" si="113"/>
        <v>#N/A</v>
      </c>
      <c r="AN194" s="59" t="e">
        <f ca="1">AVERAGE(OFFSET($AM$3,0,0,'Données projet'!$E$10+1,1))-AVERAGE(OFFSET($H$3,0,0,'Données projet'!$E$10+1,1))</f>
        <v>#N/A</v>
      </c>
      <c r="AO194" s="59" t="e">
        <f t="shared" si="144"/>
        <v>#N/A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 t="e">
        <f>EXP(-LN(2)/35)*AU193+(1-EXP(-LN(2)/35))/(LN(2)/35)*AQ194*AR194*VLOOKUP('Données projet'!$B$10,Paramètres!$A$1:$I$89,3,0)*0.475*44/12</f>
        <v>#N/A</v>
      </c>
      <c r="AV194" s="21" t="e">
        <f>EXP(-LN(2)/25)*AV193+(1-EXP(-LN(2)/25))/(LN(2)/25)*Calculateur!AQ194*Calculateur!AS194*VLOOKUP('Données projet'!$B$10,Paramètres!$A$1:$I$89,3,0)*0.475*44/12</f>
        <v>#N/A</v>
      </c>
      <c r="AW194" s="21" t="e">
        <f>EXP(-LN(2)/2)*AW193+(1-EXP(-LN(2)/2))/(LN(2)/2)*AQ194*AT194*VLOOKUP('Données projet'!$B$10,Paramètres!$A$1:$I$89,3,0)*0.475*44/12</f>
        <v>#N/A</v>
      </c>
      <c r="AX194" s="21" t="e">
        <f t="shared" si="166"/>
        <v>#N/A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140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67">
        <f t="shared" si="110"/>
        <v>256.66666666666669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-1.7053025658242404E-13</v>
      </c>
      <c r="O195" s="13">
        <f>N195*VLOOKUP('Données projet'!$B$9,Paramètres!$A$1:$I$89,3,0)*VLOOKUP('Données projet'!$B$9,Paramètres!$A$1:$I$89,5,0)</f>
        <v>-1.0197709343628959E-13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323.17232038705157</v>
      </c>
      <c r="T195" s="59">
        <f t="shared" si="142"/>
        <v>402.34685738619197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11.017059175246155</v>
      </c>
      <c r="AA195" s="21">
        <f>EXP(-LN(2)/25)*AA194+(1-EXP(-LN(2)/25))/(LN(2)/25)*Calculateur!V195*Calculateur!X195*VLOOKUP('Données projet'!$B$9,Paramètres!$A$1:$I$89,3,0)*0.475*44/12</f>
        <v>1.0181804833126553</v>
      </c>
      <c r="AB195" s="21">
        <f>EXP(-LN(2)/2)*AB194+(1-EXP(-LN(2)/2))/(LN(2)/2)*V195*Y195*VLOOKUP('Données projet'!$B$9,Paramètres!$A$1:$I$89,3,0)*0.475*44/12</f>
        <v>1.3690210987015392E-19</v>
      </c>
      <c r="AC195" s="22">
        <f t="shared" si="163"/>
        <v>12.03523965855881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 t="e">
        <f>AI195*VLOOKUP('Données projet'!$B$10,Paramètres!$A$1:$I$89,3,0)*VLOOKUP('Données projet'!$B$10,Paramètres!$A$1:$I$89,5,0)</f>
        <v>#N/A</v>
      </c>
      <c r="AK195" s="13" t="e">
        <f t="shared" si="164"/>
        <v>#N/A</v>
      </c>
      <c r="AL195" s="20" t="e">
        <f t="shared" si="165"/>
        <v>#N/A</v>
      </c>
      <c r="AM195" s="59" t="e">
        <f t="shared" si="113"/>
        <v>#N/A</v>
      </c>
      <c r="AN195" s="59" t="e">
        <f ca="1">AVERAGE(OFFSET($AM$3,0,0,'Données projet'!$E$10+1,1))-AVERAGE(OFFSET($H$3,0,0,'Données projet'!$E$10+1,1))</f>
        <v>#N/A</v>
      </c>
      <c r="AO195" s="59" t="e">
        <f t="shared" si="144"/>
        <v>#N/A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 t="e">
        <f>EXP(-LN(2)/35)*AU194+(1-EXP(-LN(2)/35))/(LN(2)/35)*AQ195*AR195*VLOOKUP('Données projet'!$B$10,Paramètres!$A$1:$I$89,3,0)*0.475*44/12</f>
        <v>#N/A</v>
      </c>
      <c r="AV195" s="21" t="e">
        <f>EXP(-LN(2)/25)*AV194+(1-EXP(-LN(2)/25))/(LN(2)/25)*Calculateur!AQ195*Calculateur!AS195*VLOOKUP('Données projet'!$B$10,Paramètres!$A$1:$I$89,3,0)*0.475*44/12</f>
        <v>#N/A</v>
      </c>
      <c r="AW195" s="21" t="e">
        <f>EXP(-LN(2)/2)*AW194+(1-EXP(-LN(2)/2))/(LN(2)/2)*AQ195*AT195*VLOOKUP('Données projet'!$B$10,Paramètres!$A$1:$I$89,3,0)*0.475*44/12</f>
        <v>#N/A</v>
      </c>
      <c r="AX195" s="21" t="e">
        <f t="shared" si="166"/>
        <v>#N/A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140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67">
        <f t="shared" ref="H196:H203" si="192">(B196+E196+F196)*44/12+(C196+D196)*0.475*44/12</f>
        <v>256.66666666666669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-1.7053025658242404E-13</v>
      </c>
      <c r="O196" s="13">
        <f>N196*VLOOKUP('Données projet'!$B$9,Paramètres!$A$1:$I$89,3,0)*VLOOKUP('Données projet'!$B$9,Paramètres!$A$1:$I$89,5,0)</f>
        <v>-1.0197709343628959E-13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323.17232038705157</v>
      </c>
      <c r="T196" s="59">
        <f t="shared" si="142"/>
        <v>402.34685738619197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10.801021364562155</v>
      </c>
      <c r="AA196" s="21">
        <f>EXP(-LN(2)/25)*AA195+(1-EXP(-LN(2)/25))/(LN(2)/25)*Calculateur!V196*Calculateur!X196*VLOOKUP('Données projet'!$B$9,Paramètres!$A$1:$I$89,3,0)*0.475*44/12</f>
        <v>0.99033828445268623</v>
      </c>
      <c r="AB196" s="21">
        <f>EXP(-LN(2)/2)*AB195+(1-EXP(-LN(2)/2))/(LN(2)/2)*V196*Y196*VLOOKUP('Données projet'!$B$9,Paramètres!$A$1:$I$89,3,0)*0.475*44/12</f>
        <v>9.6804410247931615E-20</v>
      </c>
      <c r="AC196" s="22">
        <f t="shared" si="163"/>
        <v>11.791359649014842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 t="e">
        <f>AI196*VLOOKUP('Données projet'!$B$10,Paramètres!$A$1:$I$89,3,0)*VLOOKUP('Données projet'!$B$10,Paramètres!$A$1:$I$89,5,0)</f>
        <v>#N/A</v>
      </c>
      <c r="AK196" s="13" t="e">
        <f t="shared" si="164"/>
        <v>#N/A</v>
      </c>
      <c r="AL196" s="20" t="e">
        <f t="shared" si="165"/>
        <v>#N/A</v>
      </c>
      <c r="AM196" s="59" t="e">
        <f t="shared" ref="AM196:AM203" si="193">AL196+(AD196+AE196)*44/12</f>
        <v>#N/A</v>
      </c>
      <c r="AN196" s="59" t="e">
        <f ca="1">AVERAGE(OFFSET($AM$3,0,0,'Données projet'!$E$10+1,1))-AVERAGE(OFFSET($H$3,0,0,'Données projet'!$E$10+1,1))</f>
        <v>#N/A</v>
      </c>
      <c r="AO196" s="59" t="e">
        <f t="shared" si="144"/>
        <v>#N/A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 t="e">
        <f>EXP(-LN(2)/35)*AU195+(1-EXP(-LN(2)/35))/(LN(2)/35)*AQ196*AR196*VLOOKUP('Données projet'!$B$10,Paramètres!$A$1:$I$89,3,0)*0.475*44/12</f>
        <v>#N/A</v>
      </c>
      <c r="AV196" s="21" t="e">
        <f>EXP(-LN(2)/25)*AV195+(1-EXP(-LN(2)/25))/(LN(2)/25)*Calculateur!AQ196*Calculateur!AS196*VLOOKUP('Données projet'!$B$10,Paramètres!$A$1:$I$89,3,0)*0.475*44/12</f>
        <v>#N/A</v>
      </c>
      <c r="AW196" s="21" t="e">
        <f>EXP(-LN(2)/2)*AW195+(1-EXP(-LN(2)/2))/(LN(2)/2)*AQ196*AT196*VLOOKUP('Données projet'!$B$10,Paramètres!$A$1:$I$89,3,0)*0.475*44/12</f>
        <v>#N/A</v>
      </c>
      <c r="AX196" s="21" t="e">
        <f t="shared" si="166"/>
        <v>#N/A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202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67">
        <f t="shared" si="192"/>
        <v>256.66666666666669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-1.7053025658242404E-13</v>
      </c>
      <c r="O197" s="13">
        <f>N197*VLOOKUP('Données projet'!$B$9,Paramètres!$A$1:$I$89,3,0)*VLOOKUP('Données projet'!$B$9,Paramètres!$A$1:$I$89,5,0)</f>
        <v>-1.0197709343628959E-13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323.17232038705157</v>
      </c>
      <c r="T197" s="59">
        <f t="shared" ref="T197:T203" si="204">$T$3</f>
        <v>402.34685738619197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10.589219923575616</v>
      </c>
      <c r="AA197" s="21">
        <f>EXP(-LN(2)/25)*AA196+(1-EXP(-LN(2)/25))/(LN(2)/25)*Calculateur!V197*Calculateur!X197*VLOOKUP('Données projet'!$B$9,Paramètres!$A$1:$I$89,3,0)*0.475*44/12</f>
        <v>0.9632574319847006</v>
      </c>
      <c r="AB197" s="21">
        <f>EXP(-LN(2)/2)*AB196+(1-EXP(-LN(2)/2))/(LN(2)/2)*V197*Y197*VLOOKUP('Données projet'!$B$9,Paramètres!$A$1:$I$89,3,0)*0.475*44/12</f>
        <v>6.8451054935076958E-20</v>
      </c>
      <c r="AC197" s="22">
        <f t="shared" si="163"/>
        <v>11.552477355560317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 t="e">
        <f>AI197*VLOOKUP('Données projet'!$B$10,Paramètres!$A$1:$I$89,3,0)*VLOOKUP('Données projet'!$B$10,Paramètres!$A$1:$I$89,5,0)</f>
        <v>#N/A</v>
      </c>
      <c r="AK197" s="13" t="e">
        <f t="shared" si="164"/>
        <v>#N/A</v>
      </c>
      <c r="AL197" s="20" t="e">
        <f t="shared" si="165"/>
        <v>#N/A</v>
      </c>
      <c r="AM197" s="59" t="e">
        <f t="shared" si="193"/>
        <v>#N/A</v>
      </c>
      <c r="AN197" s="59" t="e">
        <f ca="1">AVERAGE(OFFSET($AM$3,0,0,'Données projet'!$E$10+1,1))-AVERAGE(OFFSET($H$3,0,0,'Données projet'!$E$10+1,1))</f>
        <v>#N/A</v>
      </c>
      <c r="AO197" s="59" t="e">
        <f t="shared" ref="AO197:AO203" si="205">$AO$3</f>
        <v>#N/A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 t="e">
        <f>EXP(-LN(2)/35)*AU196+(1-EXP(-LN(2)/35))/(LN(2)/35)*AQ197*AR197*VLOOKUP('Données projet'!$B$10,Paramètres!$A$1:$I$89,3,0)*0.475*44/12</f>
        <v>#N/A</v>
      </c>
      <c r="AV197" s="21" t="e">
        <f>EXP(-LN(2)/25)*AV196+(1-EXP(-LN(2)/25))/(LN(2)/25)*Calculateur!AQ197*Calculateur!AS197*VLOOKUP('Données projet'!$B$10,Paramètres!$A$1:$I$89,3,0)*0.475*44/12</f>
        <v>#N/A</v>
      </c>
      <c r="AW197" s="21" t="e">
        <f>EXP(-LN(2)/2)*AW196+(1-EXP(-LN(2)/2))/(LN(2)/2)*AQ197*AT197*VLOOKUP('Données projet'!$B$10,Paramètres!$A$1:$I$89,3,0)*0.475*44/12</f>
        <v>#N/A</v>
      </c>
      <c r="AX197" s="21" t="e">
        <f t="shared" si="166"/>
        <v>#N/A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02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67">
        <f t="shared" si="192"/>
        <v>256.66666666666669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-1.7053025658242404E-13</v>
      </c>
      <c r="O198" s="13">
        <f>N198*VLOOKUP('Données projet'!$B$9,Paramètres!$A$1:$I$89,3,0)*VLOOKUP('Données projet'!$B$9,Paramètres!$A$1:$I$89,5,0)</f>
        <v>-1.0197709343628959E-13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323.17232038705157</v>
      </c>
      <c r="T198" s="59">
        <f t="shared" si="204"/>
        <v>402.34685738619197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10.3815717796607</v>
      </c>
      <c r="AA198" s="21">
        <f>EXP(-LN(2)/25)*AA197+(1-EXP(-LN(2)/25))/(LN(2)/25)*Calculateur!V198*Calculateur!X198*VLOOKUP('Données projet'!$B$9,Paramètres!$A$1:$I$89,3,0)*0.475*44/12</f>
        <v>0.93691710685157215</v>
      </c>
      <c r="AB198" s="21">
        <f>EXP(-LN(2)/2)*AB197+(1-EXP(-LN(2)/2))/(LN(2)/2)*V198*Y198*VLOOKUP('Données projet'!$B$9,Paramètres!$A$1:$I$89,3,0)*0.475*44/12</f>
        <v>4.8402205123965808E-20</v>
      </c>
      <c r="AC198" s="22">
        <f t="shared" si="163"/>
        <v>11.318488886512272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 t="e">
        <f>AI198*VLOOKUP('Données projet'!$B$10,Paramètres!$A$1:$I$89,3,0)*VLOOKUP('Données projet'!$B$10,Paramètres!$A$1:$I$89,5,0)</f>
        <v>#N/A</v>
      </c>
      <c r="AK198" s="13" t="e">
        <f t="shared" si="164"/>
        <v>#N/A</v>
      </c>
      <c r="AL198" s="20" t="e">
        <f t="shared" si="165"/>
        <v>#N/A</v>
      </c>
      <c r="AM198" s="59" t="e">
        <f t="shared" si="193"/>
        <v>#N/A</v>
      </c>
      <c r="AN198" s="59" t="e">
        <f ca="1">AVERAGE(OFFSET($AM$3,0,0,'Données projet'!$E$10+1,1))-AVERAGE(OFFSET($H$3,0,0,'Données projet'!$E$10+1,1))</f>
        <v>#N/A</v>
      </c>
      <c r="AO198" s="59" t="e">
        <f t="shared" si="205"/>
        <v>#N/A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 t="e">
        <f>EXP(-LN(2)/35)*AU197+(1-EXP(-LN(2)/35))/(LN(2)/35)*AQ198*AR198*VLOOKUP('Données projet'!$B$10,Paramètres!$A$1:$I$89,3,0)*0.475*44/12</f>
        <v>#N/A</v>
      </c>
      <c r="AV198" s="21" t="e">
        <f>EXP(-LN(2)/25)*AV197+(1-EXP(-LN(2)/25))/(LN(2)/25)*Calculateur!AQ198*Calculateur!AS198*VLOOKUP('Données projet'!$B$10,Paramètres!$A$1:$I$89,3,0)*0.475*44/12</f>
        <v>#N/A</v>
      </c>
      <c r="AW198" s="21" t="e">
        <f>EXP(-LN(2)/2)*AW197+(1-EXP(-LN(2)/2))/(LN(2)/2)*AQ198*AT198*VLOOKUP('Données projet'!$B$10,Paramètres!$A$1:$I$89,3,0)*0.475*44/12</f>
        <v>#N/A</v>
      </c>
      <c r="AX198" s="21" t="e">
        <f t="shared" si="166"/>
        <v>#N/A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02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67">
        <f t="shared" si="192"/>
        <v>256.66666666666669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-1.7053025658242404E-13</v>
      </c>
      <c r="O199" s="13">
        <f>N199*VLOOKUP('Données projet'!$B$9,Paramètres!$A$1:$I$89,3,0)*VLOOKUP('Données projet'!$B$9,Paramètres!$A$1:$I$89,5,0)</f>
        <v>-1.0197709343628959E-13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323.17232038705157</v>
      </c>
      <c r="T199" s="59">
        <f t="shared" si="204"/>
        <v>402.34685738619197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10.177995489195093</v>
      </c>
      <c r="AA199" s="21">
        <f>EXP(-LN(2)/25)*AA198+(1-EXP(-LN(2)/25))/(LN(2)/25)*Calculateur!V199*Calculateur!X199*VLOOKUP('Données projet'!$B$9,Paramètres!$A$1:$I$89,3,0)*0.475*44/12</f>
        <v>0.91129705929438665</v>
      </c>
      <c r="AB199" s="21">
        <f>EXP(-LN(2)/2)*AB198+(1-EXP(-LN(2)/2))/(LN(2)/2)*V199*Y199*VLOOKUP('Données projet'!$B$9,Paramètres!$A$1:$I$89,3,0)*0.475*44/12</f>
        <v>3.4225527467538479E-20</v>
      </c>
      <c r="AC199" s="22">
        <f t="shared" si="163"/>
        <v>11.08929254848948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 t="e">
        <f>AI199*VLOOKUP('Données projet'!$B$10,Paramètres!$A$1:$I$89,3,0)*VLOOKUP('Données projet'!$B$10,Paramètres!$A$1:$I$89,5,0)</f>
        <v>#N/A</v>
      </c>
      <c r="AK199" s="13" t="e">
        <f t="shared" si="164"/>
        <v>#N/A</v>
      </c>
      <c r="AL199" s="20" t="e">
        <f t="shared" si="165"/>
        <v>#N/A</v>
      </c>
      <c r="AM199" s="59" t="e">
        <f t="shared" si="193"/>
        <v>#N/A</v>
      </c>
      <c r="AN199" s="59" t="e">
        <f ca="1">AVERAGE(OFFSET($AM$3,0,0,'Données projet'!$E$10+1,1))-AVERAGE(OFFSET($H$3,0,0,'Données projet'!$E$10+1,1))</f>
        <v>#N/A</v>
      </c>
      <c r="AO199" s="59" t="e">
        <f t="shared" si="205"/>
        <v>#N/A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 t="e">
        <f>EXP(-LN(2)/35)*AU198+(1-EXP(-LN(2)/35))/(LN(2)/35)*AQ199*AR199*VLOOKUP('Données projet'!$B$10,Paramètres!$A$1:$I$89,3,0)*0.475*44/12</f>
        <v>#N/A</v>
      </c>
      <c r="AV199" s="21" t="e">
        <f>EXP(-LN(2)/25)*AV198+(1-EXP(-LN(2)/25))/(LN(2)/25)*Calculateur!AQ199*Calculateur!AS199*VLOOKUP('Données projet'!$B$10,Paramètres!$A$1:$I$89,3,0)*0.475*44/12</f>
        <v>#N/A</v>
      </c>
      <c r="AW199" s="21" t="e">
        <f>EXP(-LN(2)/2)*AW198+(1-EXP(-LN(2)/2))/(LN(2)/2)*AQ199*AT199*VLOOKUP('Données projet'!$B$10,Paramètres!$A$1:$I$89,3,0)*0.475*44/12</f>
        <v>#N/A</v>
      </c>
      <c r="AX199" s="21" t="e">
        <f t="shared" si="166"/>
        <v>#N/A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02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67">
        <f t="shared" si="192"/>
        <v>256.66666666666669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-1.7053025658242404E-13</v>
      </c>
      <c r="O200" s="13">
        <f>N200*VLOOKUP('Données projet'!$B$9,Paramètres!$A$1:$I$89,3,0)*VLOOKUP('Données projet'!$B$9,Paramètres!$A$1:$I$89,5,0)</f>
        <v>-1.0197709343628959E-13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323.17232038705157</v>
      </c>
      <c r="T200" s="59">
        <f t="shared" si="204"/>
        <v>402.34685738619197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9.97841120561624</v>
      </c>
      <c r="AA200" s="21">
        <f>EXP(-LN(2)/25)*AA199+(1-EXP(-LN(2)/25))/(LN(2)/25)*Calculateur!V200*Calculateur!X200*VLOOKUP('Données projet'!$B$9,Paramètres!$A$1:$I$89,3,0)*0.475*44/12</f>
        <v>0.88637759328495214</v>
      </c>
      <c r="AB200" s="21">
        <f>EXP(-LN(2)/2)*AB199+(1-EXP(-LN(2)/2))/(LN(2)/2)*V200*Y200*VLOOKUP('Données projet'!$B$9,Paramètres!$A$1:$I$89,3,0)*0.475*44/12</f>
        <v>2.4201102561982904E-20</v>
      </c>
      <c r="AC200" s="22">
        <f t="shared" si="163"/>
        <v>10.864788798901191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 t="e">
        <f>AI200*VLOOKUP('Données projet'!$B$10,Paramètres!$A$1:$I$89,3,0)*VLOOKUP('Données projet'!$B$10,Paramètres!$A$1:$I$89,5,0)</f>
        <v>#N/A</v>
      </c>
      <c r="AK200" s="13" t="e">
        <f t="shared" si="164"/>
        <v>#N/A</v>
      </c>
      <c r="AL200" s="20" t="e">
        <f t="shared" si="165"/>
        <v>#N/A</v>
      </c>
      <c r="AM200" s="59" t="e">
        <f t="shared" si="193"/>
        <v>#N/A</v>
      </c>
      <c r="AN200" s="59" t="e">
        <f ca="1">AVERAGE(OFFSET($AM$3,0,0,'Données projet'!$E$10+1,1))-AVERAGE(OFFSET($H$3,0,0,'Données projet'!$E$10+1,1))</f>
        <v>#N/A</v>
      </c>
      <c r="AO200" s="59" t="e">
        <f t="shared" si="205"/>
        <v>#N/A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 t="e">
        <f>EXP(-LN(2)/35)*AU199+(1-EXP(-LN(2)/35))/(LN(2)/35)*AQ200*AR200*VLOOKUP('Données projet'!$B$10,Paramètres!$A$1:$I$89,3,0)*0.475*44/12</f>
        <v>#N/A</v>
      </c>
      <c r="AV200" s="21" t="e">
        <f>EXP(-LN(2)/25)*AV199+(1-EXP(-LN(2)/25))/(LN(2)/25)*Calculateur!AQ200*Calculateur!AS200*VLOOKUP('Données projet'!$B$10,Paramètres!$A$1:$I$89,3,0)*0.475*44/12</f>
        <v>#N/A</v>
      </c>
      <c r="AW200" s="21" t="e">
        <f>EXP(-LN(2)/2)*AW199+(1-EXP(-LN(2)/2))/(LN(2)/2)*AQ200*AT200*VLOOKUP('Données projet'!$B$10,Paramètres!$A$1:$I$89,3,0)*0.475*44/12</f>
        <v>#N/A</v>
      </c>
      <c r="AX200" s="21" t="e">
        <f t="shared" si="166"/>
        <v>#N/A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02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67">
        <f t="shared" si="192"/>
        <v>256.66666666666669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-1.7053025658242404E-13</v>
      </c>
      <c r="O201" s="13">
        <f>N201*VLOOKUP('Données projet'!$B$9,Paramètres!$A$1:$I$89,3,0)*VLOOKUP('Données projet'!$B$9,Paramètres!$A$1:$I$89,5,0)</f>
        <v>-1.0197709343628959E-13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323.17232038705157</v>
      </c>
      <c r="T201" s="59">
        <f t="shared" si="204"/>
        <v>402.34685738619197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9.7827406481039763</v>
      </c>
      <c r="AA201" s="21">
        <f>EXP(-LN(2)/25)*AA200+(1-EXP(-LN(2)/25))/(LN(2)/25)*Calculateur!V201*Calculateur!X201*VLOOKUP('Données projet'!$B$9,Paramètres!$A$1:$I$89,3,0)*0.475*44/12</f>
        <v>0.86213955138400333</v>
      </c>
      <c r="AB201" s="21">
        <f>EXP(-LN(2)/2)*AB200+(1-EXP(-LN(2)/2))/(LN(2)/2)*V201*Y201*VLOOKUP('Données projet'!$B$9,Paramètres!$A$1:$I$89,3,0)*0.475*44/12</f>
        <v>1.711276373376924E-20</v>
      </c>
      <c r="AC201" s="22">
        <f t="shared" si="163"/>
        <v>10.644880199487979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 t="e">
        <f>AI201*VLOOKUP('Données projet'!$B$10,Paramètres!$A$1:$I$89,3,0)*VLOOKUP('Données projet'!$B$10,Paramètres!$A$1:$I$89,5,0)</f>
        <v>#N/A</v>
      </c>
      <c r="AK201" s="13" t="e">
        <f t="shared" si="164"/>
        <v>#N/A</v>
      </c>
      <c r="AL201" s="20" t="e">
        <f t="shared" si="165"/>
        <v>#N/A</v>
      </c>
      <c r="AM201" s="59" t="e">
        <f t="shared" si="193"/>
        <v>#N/A</v>
      </c>
      <c r="AN201" s="59" t="e">
        <f ca="1">AVERAGE(OFFSET($AM$3,0,0,'Données projet'!$E$10+1,1))-AVERAGE(OFFSET($H$3,0,0,'Données projet'!$E$10+1,1))</f>
        <v>#N/A</v>
      </c>
      <c r="AO201" s="59" t="e">
        <f t="shared" si="205"/>
        <v>#N/A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 t="e">
        <f>EXP(-LN(2)/35)*AU200+(1-EXP(-LN(2)/35))/(LN(2)/35)*AQ201*AR201*VLOOKUP('Données projet'!$B$10,Paramètres!$A$1:$I$89,3,0)*0.475*44/12</f>
        <v>#N/A</v>
      </c>
      <c r="AV201" s="21" t="e">
        <f>EXP(-LN(2)/25)*AV200+(1-EXP(-LN(2)/25))/(LN(2)/25)*Calculateur!AQ201*Calculateur!AS201*VLOOKUP('Données projet'!$B$10,Paramètres!$A$1:$I$89,3,0)*0.475*44/12</f>
        <v>#N/A</v>
      </c>
      <c r="AW201" s="21" t="e">
        <f>EXP(-LN(2)/2)*AW200+(1-EXP(-LN(2)/2))/(LN(2)/2)*AQ201*AT201*VLOOKUP('Données projet'!$B$10,Paramètres!$A$1:$I$89,3,0)*0.475*44/12</f>
        <v>#N/A</v>
      </c>
      <c r="AX201" s="21" t="e">
        <f t="shared" si="166"/>
        <v>#N/A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02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67">
        <f t="shared" si="192"/>
        <v>256.66666666666669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-1.7053025658242404E-13</v>
      </c>
      <c r="O202" s="13">
        <f>N202*VLOOKUP('Données projet'!$B$9,Paramètres!$A$1:$I$89,3,0)*VLOOKUP('Données projet'!$B$9,Paramètres!$A$1:$I$89,5,0)</f>
        <v>-1.0197709343628959E-13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323.17232038705157</v>
      </c>
      <c r="T202" s="59">
        <f t="shared" si="204"/>
        <v>402.34685738619197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9.5909070708772717</v>
      </c>
      <c r="AA202" s="21">
        <f>EXP(-LN(2)/25)*AA201+(1-EXP(-LN(2)/25))/(LN(2)/25)*Calculateur!V202*Calculateur!X202*VLOOKUP('Données projet'!$B$9,Paramètres!$A$1:$I$89,3,0)*0.475*44/12</f>
        <v>0.83856430001345916</v>
      </c>
      <c r="AB202" s="21">
        <f>EXP(-LN(2)/2)*AB201+(1-EXP(-LN(2)/2))/(LN(2)/2)*V202*Y202*VLOOKUP('Données projet'!$B$9,Paramètres!$A$1:$I$89,3,0)*0.475*44/12</f>
        <v>1.2100551280991452E-20</v>
      </c>
      <c r="AC202" s="22">
        <f t="shared" si="163"/>
        <v>10.429471370890731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 t="e">
        <f>AI202*VLOOKUP('Données projet'!$B$10,Paramètres!$A$1:$I$89,3,0)*VLOOKUP('Données projet'!$B$10,Paramètres!$A$1:$I$89,5,0)</f>
        <v>#N/A</v>
      </c>
      <c r="AK202" s="13" t="e">
        <f t="shared" si="164"/>
        <v>#N/A</v>
      </c>
      <c r="AL202" s="20" t="e">
        <f t="shared" si="165"/>
        <v>#N/A</v>
      </c>
      <c r="AM202" s="59" t="e">
        <f t="shared" si="193"/>
        <v>#N/A</v>
      </c>
      <c r="AN202" s="59" t="e">
        <f ca="1">AVERAGE(OFFSET($AM$3,0,0,'Données projet'!$E$10+1,1))-AVERAGE(OFFSET($H$3,0,0,'Données projet'!$E$10+1,1))</f>
        <v>#N/A</v>
      </c>
      <c r="AO202" s="59" t="e">
        <f t="shared" si="205"/>
        <v>#N/A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 t="e">
        <f>EXP(-LN(2)/35)*AU201+(1-EXP(-LN(2)/35))/(LN(2)/35)*AQ202*AR202*VLOOKUP('Données projet'!$B$10,Paramètres!$A$1:$I$89,3,0)*0.475*44/12</f>
        <v>#N/A</v>
      </c>
      <c r="AV202" s="21" t="e">
        <f>EXP(-LN(2)/25)*AV201+(1-EXP(-LN(2)/25))/(LN(2)/25)*Calculateur!AQ202*Calculateur!AS202*VLOOKUP('Données projet'!$B$10,Paramètres!$A$1:$I$89,3,0)*0.475*44/12</f>
        <v>#N/A</v>
      </c>
      <c r="AW202" s="21" t="e">
        <f>EXP(-LN(2)/2)*AW201+(1-EXP(-LN(2)/2))/(LN(2)/2)*AQ202*AT202*VLOOKUP('Données projet'!$B$10,Paramètres!$A$1:$I$89,3,0)*0.475*44/12</f>
        <v>#N/A</v>
      </c>
      <c r="AX202" s="21" t="e">
        <f t="shared" si="166"/>
        <v>#N/A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02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67">
        <f t="shared" si="192"/>
        <v>256.66666666666669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-1.7053025658242404E-13</v>
      </c>
      <c r="O203" s="13">
        <f>N203*VLOOKUP('Données projet'!$B$9,Paramètres!$A$1:$I$89,3,0)*VLOOKUP('Données projet'!$B$9,Paramètres!$A$1:$I$89,5,0)</f>
        <v>-1.0197709343628959E-13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323.17232038705157</v>
      </c>
      <c r="T203" s="59">
        <f t="shared" si="204"/>
        <v>402.34685738619197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9.4028352330930538</v>
      </c>
      <c r="AA203" s="21">
        <f>EXP(-LN(2)/25)*AA202+(1-EXP(-LN(2)/25))/(LN(2)/25)*Calculateur!V203*Calculateur!X203*VLOOKUP('Données projet'!$B$9,Paramètres!$A$1:$I$89,3,0)*0.475*44/12</f>
        <v>0.81563371513141114</v>
      </c>
      <c r="AB203" s="21">
        <f>EXP(-LN(2)/2)*AB202+(1-EXP(-LN(2)/2))/(LN(2)/2)*V203*Y203*VLOOKUP('Données projet'!$B$9,Paramètres!$A$1:$I$89,3,0)*0.475*44/12</f>
        <v>8.5563818668846198E-21</v>
      </c>
      <c r="AC203" s="22">
        <f t="shared" si="163"/>
        <v>10.218468948224466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 t="e">
        <f>AI203*VLOOKUP('Données projet'!$B$10,Paramètres!$A$1:$I$89,3,0)*VLOOKUP('Données projet'!$B$10,Paramètres!$A$1:$I$89,5,0)</f>
        <v>#N/A</v>
      </c>
      <c r="AK203" s="13" t="e">
        <f t="shared" si="164"/>
        <v>#N/A</v>
      </c>
      <c r="AL203" s="20" t="e">
        <f t="shared" si="165"/>
        <v>#N/A</v>
      </c>
      <c r="AM203" s="59" t="e">
        <f t="shared" si="193"/>
        <v>#N/A</v>
      </c>
      <c r="AN203" s="59" t="e">
        <f ca="1">AVERAGE(OFFSET($AM$3,0,0,'Données projet'!$E$10+1,1))-AVERAGE(OFFSET($H$3,0,0,'Données projet'!$E$10+1,1))</f>
        <v>#N/A</v>
      </c>
      <c r="AO203" s="59" t="e">
        <f t="shared" si="205"/>
        <v>#N/A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 t="e">
        <f>EXP(-LN(2)/35)*AU202+(1-EXP(-LN(2)/35))/(LN(2)/35)*AQ203*AR203*VLOOKUP('Données projet'!$B$10,Paramètres!$A$1:$I$89,3,0)*0.475*44/12</f>
        <v>#N/A</v>
      </c>
      <c r="AV203" s="21" t="e">
        <f>EXP(-LN(2)/25)*AV202+(1-EXP(-LN(2)/25))/(LN(2)/25)*Calculateur!AQ203*Calculateur!AS203*VLOOKUP('Données projet'!$B$10,Paramètres!$A$1:$I$89,3,0)*0.475*44/12</f>
        <v>#N/A</v>
      </c>
      <c r="AW203" s="21" t="e">
        <f>EXP(-LN(2)/2)*AW202+(1-EXP(-LN(2)/2))/(LN(2)/2)*AQ203*AT203*VLOOKUP('Données projet'!$B$10,Paramètres!$A$1:$I$89,3,0)*0.475*44/12</f>
        <v>#N/A</v>
      </c>
      <c r="AX203" s="21" t="e">
        <f t="shared" si="166"/>
        <v>#N/A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" thickBot="1" x14ac:dyDescent="0.4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1.3909694153327172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 t="e">
        <f>EXP(LN('Données projet'!B62)/'Données projet'!A62)</f>
        <v>#NUM!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72656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7265625" style="4" bestFit="1" customWidth="1"/>
    <col min="7" max="7" width="11.453125" style="4" bestFit="1" customWidth="1"/>
    <col min="8" max="8" width="39" style="4" bestFit="1" customWidth="1"/>
    <col min="9" max="9" width="16.72656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" thickBot="1" x14ac:dyDescent="0.4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" thickBot="1" x14ac:dyDescent="0.4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3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3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" thickBot="1" x14ac:dyDescent="0.4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" thickBot="1" x14ac:dyDescent="0.4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" thickBot="1" x14ac:dyDescent="0.4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3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3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4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5">
      <c r="A93" s="122" t="s">
        <v>208</v>
      </c>
    </row>
    <row r="94" spans="1:14" x14ac:dyDescent="0.35">
      <c r="A94" s="122" t="s">
        <v>209</v>
      </c>
    </row>
    <row r="95" spans="1:14" x14ac:dyDescent="0.3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zoomScale="90" zoomScaleNormal="90" workbookViewId="0">
      <selection activeCell="I8" sqref="I8"/>
    </sheetView>
  </sheetViews>
  <sheetFormatPr baseColWidth="10" defaultColWidth="11.453125" defaultRowHeight="14.5" x14ac:dyDescent="0.35"/>
  <cols>
    <col min="1" max="1" width="22.81640625" style="1" bestFit="1" customWidth="1"/>
    <col min="2" max="2" width="10.54296875" style="1" bestFit="1" customWidth="1"/>
    <col min="3" max="3" width="15.5429687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5" t="str">
        <f>IF('Données projet'!$B$9="","",'Données projet'!$B$9)</f>
        <v>Pin maritime</v>
      </c>
      <c r="B6" s="146">
        <f>'Données projet'!D9</f>
        <v>9.93</v>
      </c>
      <c r="C6" s="147">
        <f ca="1">IF(OR('Données projet'!B9="",'Données projet'!C9="",'Données projet'!C9=0%),0,Calculateur!S3)</f>
        <v>323.17232038705157</v>
      </c>
      <c r="D6" s="147">
        <f>IF(OR('Données projet'!B9="",'Données projet'!C9="",'Données projet'!C9=0%),0,Calculateur!T3)</f>
        <v>402.34685738619197</v>
      </c>
      <c r="E6" s="147">
        <f ca="1">MIN(C6,D6)</f>
        <v>323.17232038705157</v>
      </c>
      <c r="F6" s="147">
        <f ca="1">E6*B6</f>
        <v>3209.101141443422</v>
      </c>
      <c r="G6" s="147">
        <f ca="1">F6*(100%-'Données projet'!$C$24)*(100%-'Données projet'!$C$25)*(100%-'Données projet'!$C$26)*(100%-'Données projet'!$C$27)</f>
        <v>2454.9623732042178</v>
      </c>
      <c r="H6" s="148">
        <f>IF(OR('Données projet'!B9="",'Données projet'!C9="",'Données projet'!C9=0%),0,AVERAGE(Calculateur!$AC$3:$AC$33)*B6)</f>
        <v>129.27810504999528</v>
      </c>
      <c r="I6" s="149">
        <f>H6*(100%-'Données projet'!$C$24)*(100%-'Données projet'!$C$25)*(100%-'Données projet'!$C$26)*(100%-'Données projet'!$C$27)</f>
        <v>98.897750363246388</v>
      </c>
      <c r="J6" s="150">
        <f>IF(OR('Données projet'!B9="",'Données projet'!C9="",'Données projet'!C9=0%),0,SUM(Calculateur!$V$3:$V$33)*VLOOKUP('Données projet'!$B$9,Paramètres!$A$1:$I$89,9,0)*B6)</f>
        <v>852.39578307692307</v>
      </c>
      <c r="K6" s="151">
        <f>J6*(100%-'Données projet'!$C$24)*(100%-'Données projet'!$C$25)*(100%-'Données projet'!$C$26)*(100%-'Données projet'!$C$27)</f>
        <v>652.08277405384615</v>
      </c>
      <c r="L6" s="152">
        <f ca="1">G6+I6+K6</f>
        <v>3205.9428976213103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3" t="str">
        <f>IF('Données projet'!$B$10="","",'Données projet'!$B$10)</f>
        <v/>
      </c>
      <c r="B7" s="154">
        <f>'Données projet'!D10</f>
        <v>0</v>
      </c>
      <c r="C7" s="147">
        <f>IF(OR('Données projet'!B10="",'Données projet'!C10="",'Données projet'!C10=0%),0,Calculateur!AN3)</f>
        <v>0</v>
      </c>
      <c r="D7" s="147">
        <f>IF(OR('Données projet'!B10="",'Données projet'!C10="",'Données projet'!C10=0%),0,Calculateur!AO3)</f>
        <v>0</v>
      </c>
      <c r="E7" s="147">
        <f t="shared" ref="E7:E15" si="0">MIN(C7,D7)</f>
        <v>0</v>
      </c>
      <c r="F7" s="147">
        <f t="shared" ref="F7:F15" si="1">E7*B7</f>
        <v>0</v>
      </c>
      <c r="G7" s="147">
        <f>F7*(100%-'Données projet'!$C$24)*(100%-'Données projet'!$C$25)*(100%-'Données projet'!$C$26)*(100%-'Données projet'!$C$27)</f>
        <v>0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si="2">G7+I7+K7</f>
        <v>0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9"/>
      <c r="B16" s="213"/>
      <c r="C16" s="214"/>
      <c r="D16" s="23"/>
      <c r="E16" s="23"/>
      <c r="F16" s="165">
        <f t="shared" ref="F16:L16" ca="1" si="3">SUM(F6:F15)</f>
        <v>3209.101141443422</v>
      </c>
      <c r="G16" s="166">
        <f t="shared" ca="1" si="3"/>
        <v>2454.9623732042178</v>
      </c>
      <c r="H16" s="167">
        <f t="shared" si="3"/>
        <v>129.27810504999528</v>
      </c>
      <c r="I16" s="167">
        <f t="shared" si="3"/>
        <v>98.897750363246388</v>
      </c>
      <c r="J16" s="168">
        <f t="shared" si="3"/>
        <v>852.39578307692307</v>
      </c>
      <c r="K16" s="168">
        <f t="shared" si="3"/>
        <v>652.08277405384615</v>
      </c>
      <c r="L16" s="169">
        <f t="shared" ca="1" si="3"/>
        <v>3205.9428976213103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70" t="str">
        <f>A7</f>
        <v/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I10" zoomScale="80" zoomScaleNormal="80" workbookViewId="0">
      <selection activeCell="I21" sqref="I21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1796875" style="1" bestFit="1" customWidth="1"/>
    <col min="4" max="5" width="11.453125" style="1"/>
    <col min="6" max="6" width="14" style="1" customWidth="1"/>
    <col min="7" max="7" width="17.54296875" style="1" customWidth="1"/>
    <col min="8" max="8" width="21.72656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17968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2" t="s">
        <v>315</v>
      </c>
      <c r="I4" s="262"/>
      <c r="K4" s="286" t="s">
        <v>253</v>
      </c>
      <c r="L4" s="287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6" t="s">
        <v>310</v>
      </c>
      <c r="S7" s="297"/>
      <c r="T7" s="297"/>
      <c r="U7" s="297"/>
      <c r="V7" s="298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2813.7723139042273</v>
      </c>
      <c r="U10" s="178">
        <f>'Données projet'!D9</f>
        <v>9.93</v>
      </c>
      <c r="V10" s="177">
        <f>U10*T10</f>
        <v>27940.759077068975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/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0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/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30"/>
      <c r="G15" s="289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289"/>
      <c r="H16" s="190"/>
      <c r="I16" s="191"/>
      <c r="J16" s="202"/>
      <c r="K16" s="208"/>
      <c r="L16" s="286" t="s">
        <v>254</v>
      </c>
      <c r="M16" s="287"/>
      <c r="N16" s="2"/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9" t="s">
        <v>132</v>
      </c>
      <c r="C17" s="198" t="s">
        <v>132</v>
      </c>
      <c r="D17" s="197" t="s">
        <v>132</v>
      </c>
      <c r="E17" s="193"/>
      <c r="F17" s="230"/>
      <c r="G17" s="289"/>
      <c r="J17" s="202"/>
      <c r="K17" s="208"/>
      <c r="L17" s="259" t="s">
        <v>289</v>
      </c>
      <c r="M17" s="261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289"/>
      <c r="J18" s="202"/>
      <c r="K18" s="208"/>
      <c r="L18" s="259" t="s">
        <v>255</v>
      </c>
      <c r="M18" s="261"/>
      <c r="N18" s="192"/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289"/>
      <c r="H19" s="212" t="s">
        <v>178</v>
      </c>
      <c r="I19" s="212" t="s">
        <v>287</v>
      </c>
      <c r="J19" s="93"/>
      <c r="K19" s="173"/>
      <c r="L19" s="286" t="s">
        <v>288</v>
      </c>
      <c r="M19" s="287"/>
      <c r="N19" s="179">
        <f>N17*N18</f>
        <v>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289"/>
      <c r="H20" s="190">
        <v>1</v>
      </c>
      <c r="I20" s="191">
        <v>2336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/>
      <c r="I21" s="191"/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80">
        <f>'Données projet'!A36</f>
        <v>15</v>
      </c>
      <c r="B23" s="181">
        <f>'Données projet'!D36</f>
        <v>49.784615384615385</v>
      </c>
      <c r="C23" s="193">
        <v>10</v>
      </c>
      <c r="D23" s="182">
        <f>B23*C23</f>
        <v>497.84615384615387</v>
      </c>
      <c r="E23" s="193">
        <v>150</v>
      </c>
      <c r="F23" s="230"/>
      <c r="H23" s="190"/>
      <c r="I23" s="191"/>
      <c r="K23" s="208"/>
      <c r="L23" s="288" t="s">
        <v>260</v>
      </c>
      <c r="M23" s="288"/>
      <c r="N23" s="288"/>
      <c r="O23" s="23"/>
      <c r="P23" s="23"/>
      <c r="Q23" s="234"/>
      <c r="R23" s="23"/>
      <c r="S23" s="36" t="s">
        <v>264</v>
      </c>
      <c r="T23" s="30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5743.17056032256</v>
      </c>
      <c r="U23" s="301"/>
      <c r="V23" s="301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80">
        <f>'Données projet'!A37</f>
        <v>20</v>
      </c>
      <c r="B24" s="181">
        <f>'Données projet'!D37</f>
        <v>48.723076923076924</v>
      </c>
      <c r="C24" s="193">
        <v>10</v>
      </c>
      <c r="D24" s="182">
        <f t="shared" ref="D24:D42" si="2">B24*C24</f>
        <v>487.23076923076923</v>
      </c>
      <c r="E24" s="193">
        <v>150</v>
      </c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302">
        <f ca="1">'Scénario référence'!$B$8*$M$30*'Données projet'!$C$5+('Scénario référence'!B9+'Scénario référence'!B10+'Scénario référence'!F8+'Scénario référence'!F9)*$N$19/(1+M4)^N16*'Données projet'!$C$5</f>
        <v>42367.40559483887</v>
      </c>
      <c r="U24" s="302"/>
      <c r="V24" s="302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80">
        <f>'Données projet'!A38</f>
        <v>26</v>
      </c>
      <c r="B25" s="181">
        <f>'Données projet'!D38</f>
        <v>46.984615384615381</v>
      </c>
      <c r="C25" s="193">
        <v>18</v>
      </c>
      <c r="D25" s="182">
        <f t="shared" si="2"/>
        <v>845.72307692307686</v>
      </c>
      <c r="E25" s="193">
        <v>150</v>
      </c>
      <c r="F25" s="233"/>
      <c r="H25" s="190"/>
      <c r="I25" s="191"/>
      <c r="K25" s="208"/>
      <c r="L25" s="130" t="s">
        <v>285</v>
      </c>
      <c r="M25" s="130"/>
      <c r="N25" s="130"/>
      <c r="O25" s="130"/>
      <c r="P25" s="192">
        <v>200</v>
      </c>
      <c r="Q25" s="234"/>
      <c r="R25" s="23"/>
      <c r="S25" s="186" t="s">
        <v>266</v>
      </c>
      <c r="T25" s="303">
        <f ca="1">T23-T24</f>
        <v>-36624.235034516314</v>
      </c>
      <c r="U25" s="303"/>
      <c r="V25" s="303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80">
        <f>'Données projet'!A39</f>
        <v>32</v>
      </c>
      <c r="B26" s="181">
        <f>'Données projet'!D39</f>
        <v>64.523076923076914</v>
      </c>
      <c r="C26" s="193">
        <v>18</v>
      </c>
      <c r="D26" s="182">
        <f t="shared" si="2"/>
        <v>1161.4153846153845</v>
      </c>
      <c r="E26" s="193">
        <v>150</v>
      </c>
      <c r="F26" s="233"/>
      <c r="G26" s="229"/>
      <c r="H26" s="190"/>
      <c r="I26" s="191"/>
      <c r="K26" s="208"/>
      <c r="L26" s="290" t="s">
        <v>258</v>
      </c>
      <c r="M26" s="291"/>
      <c r="N26" s="291"/>
      <c r="O26" s="291"/>
      <c r="P26" s="292"/>
      <c r="Q26" s="234"/>
      <c r="R26" s="23"/>
      <c r="S26" s="186" t="s">
        <v>265</v>
      </c>
      <c r="T26" s="300" t="str">
        <f ca="1">IF(T25&lt;0,"Votre projet est additionnel","Votre projet n'est pas additionnel")</f>
        <v>Votre projet est additionnel</v>
      </c>
      <c r="U26" s="300"/>
      <c r="V26" s="300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80">
        <f>'Données projet'!A40</f>
        <v>40</v>
      </c>
      <c r="B27" s="181">
        <f>'Données projet'!D40</f>
        <v>92.661538461538456</v>
      </c>
      <c r="C27" s="193">
        <v>25</v>
      </c>
      <c r="D27" s="182">
        <f t="shared" si="2"/>
        <v>2316.5384615384614</v>
      </c>
      <c r="E27" s="193">
        <v>150</v>
      </c>
      <c r="F27" s="233"/>
      <c r="G27" s="229"/>
      <c r="H27" s="190"/>
      <c r="I27" s="191"/>
      <c r="K27" s="208"/>
      <c r="L27" s="293"/>
      <c r="M27" s="294"/>
      <c r="N27" s="294"/>
      <c r="O27" s="294"/>
      <c r="P27" s="295"/>
      <c r="Q27" s="234"/>
      <c r="R27" s="23"/>
      <c r="S27" s="299" t="s">
        <v>267</v>
      </c>
      <c r="T27" s="299"/>
      <c r="U27" s="299"/>
      <c r="V27" s="299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80">
        <f>'Données projet'!A41</f>
        <v>48</v>
      </c>
      <c r="B28" s="181">
        <f>'Données projet'!D41</f>
        <v>83.969230769230762</v>
      </c>
      <c r="C28" s="193">
        <v>35</v>
      </c>
      <c r="D28" s="182">
        <f t="shared" si="2"/>
        <v>2938.9230769230767</v>
      </c>
      <c r="E28" s="193">
        <v>150</v>
      </c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80">
        <f>'Données projet'!A42</f>
        <v>56</v>
      </c>
      <c r="B29" s="181">
        <f>'Données projet'!D42</f>
        <v>446.47692307692301</v>
      </c>
      <c r="C29" s="193">
        <v>35</v>
      </c>
      <c r="D29" s="182">
        <f t="shared" si="2"/>
        <v>15626.692307692305</v>
      </c>
      <c r="E29" s="193">
        <v>150</v>
      </c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80">
        <f>'Données projet'!A43</f>
        <v>0</v>
      </c>
      <c r="B30" s="181">
        <f>'Données projet'!D43</f>
        <v>0</v>
      </c>
      <c r="C30" s="193"/>
      <c r="D30" s="182">
        <f t="shared" si="2"/>
        <v>0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4266.6068071338241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200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191.38755980861245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183.14599024747605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175.25932081098188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167.71226871864297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160.49020930013683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153.57914765563336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146.96569153649125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140.63702539377158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134.58088554427903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128.78553640600865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123.23974775694609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4" t="str">
        <f>IF('Données projet'!$B$10="","",'Données projet'!$B$10)</f>
        <v/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117.93277297315417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112.85432820397527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107.99457244399551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9" t="s">
        <v>132</v>
      </c>
      <c r="C48" s="198" t="s">
        <v>132</v>
      </c>
      <c r="D48" s="197" t="s">
        <v>132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103.34408846315358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98.893864558041756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94.635277089035171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90.560073769411659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86.660357674078142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82.92857193691691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80">
        <f>'Données projet'!A62</f>
        <v>0</v>
      </c>
      <c r="B54" s="181">
        <f>'Données projet'!D62</f>
        <v>0</v>
      </c>
      <c r="C54" s="191"/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79.357485107097517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80">
        <f>'Données projet'!A63</f>
        <v>0</v>
      </c>
      <c r="B55" s="181">
        <f>'Données projet'!D63</f>
        <v>0</v>
      </c>
      <c r="C55" s="191"/>
      <c r="D55" s="179">
        <f t="shared" ref="D55:D73" si="4">B55*C55</f>
        <v>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75.940177135978502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80">
        <f>'Données projet'!A64</f>
        <v>0</v>
      </c>
      <c r="B56" s="181">
        <f>'Données projet'!D64</f>
        <v>0</v>
      </c>
      <c r="C56" s="191"/>
      <c r="D56" s="179">
        <f t="shared" si="4"/>
        <v>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72.67002596744355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80">
        <f>'Données projet'!A65</f>
        <v>0</v>
      </c>
      <c r="B57" s="181">
        <f>'Données projet'!D65</f>
        <v>0</v>
      </c>
      <c r="C57" s="191"/>
      <c r="D57" s="179">
        <f t="shared" si="4"/>
        <v>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69.540694705687613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80">
        <f>'Données projet'!A66</f>
        <v>0</v>
      </c>
      <c r="B58" s="181">
        <f>'Données projet'!D66</f>
        <v>0</v>
      </c>
      <c r="C58" s="191"/>
      <c r="D58" s="179">
        <f t="shared" si="4"/>
        <v>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66.546119335586241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80">
        <f>'Données projet'!A67</f>
        <v>0</v>
      </c>
      <c r="B59" s="181">
        <f>'Données projet'!D67</f>
        <v>0</v>
      </c>
      <c r="C59" s="191"/>
      <c r="D59" s="179">
        <f t="shared" si="4"/>
        <v>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63.680496971852875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80">
        <f>'Données projet'!A68</f>
        <v>0</v>
      </c>
      <c r="B60" s="181">
        <f>'Données projet'!D68</f>
        <v>0</v>
      </c>
      <c r="C60" s="191"/>
      <c r="D60" s="179">
        <f t="shared" si="4"/>
        <v>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60.938274614213277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58.314138386806981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55.803003240963605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53.4000031014006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51.100481436746975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48.899982236121538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46.79424137427899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44.779178348592339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42.850888371858694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41.005634805606419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39.23984191924059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37.550087960995789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35.933098527268697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34.385740217482017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32.905014562183752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31.488052212616033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4" t="str">
        <f>IF('Données projet'!B11="","",'Données projet'!B11)</f>
        <v/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30.132107380493814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28.834552517218963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27.592873222219101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9" t="s">
        <v>132</v>
      </c>
      <c r="C79" s="198" t="s">
        <v>132</v>
      </c>
      <c r="D79" s="197" t="s">
        <v>132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26.404663370544601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25.267620450281914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24.179541100748253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23.138316842821293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22.141929993130429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21.188449754191801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20.276028472910816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80">
        <f>'Données projet'!A89</f>
        <v>0</v>
      </c>
      <c r="B86" s="181">
        <f>'Données projet'!D89</f>
        <v>0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19.402898060201739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80">
        <f>'Données projet'!A90</f>
        <v>0</v>
      </c>
      <c r="B87" s="181">
        <f>'Données projet'!D90</f>
        <v>0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18.567366564786358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17.7678148945324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17.002693678978375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str">
        <f>IF(O89+1&lt;=MIN('Données projet'!$E$9:$E$18),O89+1,"STOP")</f>
        <v>STOP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742faf-fdf8-4591-b699-ecf8e70a4961">
      <Terms xmlns="http://schemas.microsoft.com/office/infopath/2007/PartnerControls"/>
    </lcf76f155ced4ddcb4097134ff3c332f>
    <TaxCatchAll xmlns="eafaa6b1-975f-439f-868f-fccf4e9d887f" xsi:nil="true"/>
    <Commentaire xmlns="7b742faf-fdf8-4591-b699-ecf8e70a496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7917BD1DD3FD43A53AD9CE171726C7" ma:contentTypeVersion="16" ma:contentTypeDescription="Create a new document." ma:contentTypeScope="" ma:versionID="49951f572a41aa882f04e9f42578a926">
  <xsd:schema xmlns:xsd="http://www.w3.org/2001/XMLSchema" xmlns:xs="http://www.w3.org/2001/XMLSchema" xmlns:p="http://schemas.microsoft.com/office/2006/metadata/properties" xmlns:ns2="7b742faf-fdf8-4591-b699-ecf8e70a4961" xmlns:ns3="eafaa6b1-975f-439f-868f-fccf4e9d887f" targetNamespace="http://schemas.microsoft.com/office/2006/metadata/properties" ma:root="true" ma:fieldsID="94df4027eaf4d90bb8314d13bfdb5452" ns2:_="" ns3:_="">
    <xsd:import namespace="7b742faf-fdf8-4591-b699-ecf8e70a4961"/>
    <xsd:import namespace="eafaa6b1-975f-439f-868f-fccf4e9d88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SearchProperties" minOccurs="0"/>
                <xsd:element ref="ns2:Commentair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742faf-fdf8-4591-b699-ecf8e70a49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eb2eb45c-587e-4e45-8178-5ab3ff3b751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Commentaire" ma:index="23" nillable="true" ma:displayName="Commentaire" ma:description="Description du contenu du dossier" ma:format="Dropdown" ma:internalName="Commentair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faa6b1-975f-439f-868f-fccf4e9d887f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8272ff4b-5daf-46ba-90d8-cf5c9fcfa8f5}" ma:internalName="TaxCatchAll" ma:showField="CatchAllData" ma:web="eafaa6b1-975f-439f-868f-fccf4e9d88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532ACBF-0596-4849-B361-598D23C68D24}">
  <ds:schemaRefs>
    <ds:schemaRef ds:uri="http://schemas.microsoft.com/office/2006/metadata/properties"/>
    <ds:schemaRef ds:uri="http://schemas.microsoft.com/office/infopath/2007/PartnerControls"/>
    <ds:schemaRef ds:uri="7b742faf-fdf8-4591-b699-ecf8e70a4961"/>
    <ds:schemaRef ds:uri="eafaa6b1-975f-439f-868f-fccf4e9d887f"/>
  </ds:schemaRefs>
</ds:datastoreItem>
</file>

<file path=customXml/itemProps2.xml><?xml version="1.0" encoding="utf-8"?>
<ds:datastoreItem xmlns:ds="http://schemas.openxmlformats.org/officeDocument/2006/customXml" ds:itemID="{44D080DA-78C4-44F5-B420-07E0A52FCF0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C0BC96F-FF85-4397-8BFF-06D8C8C789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742faf-fdf8-4591-b699-ecf8e70a4961"/>
    <ds:schemaRef ds:uri="eafaa6b1-975f-439f-868f-fccf4e9d88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Lou Gabrigs</cp:lastModifiedBy>
  <dcterms:created xsi:type="dcterms:W3CDTF">2021-02-01T08:22:39Z</dcterms:created>
  <dcterms:modified xsi:type="dcterms:W3CDTF">2024-09-25T14:12:09Z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0x010100B17917BD1DD3FD43A53AD9CE171726C7</vt:lpwstr>
  </property>
</Properties>
</file>