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Forestarn\ROQUECOURBE(81) - Lanta SWC A8\Dossier déposé le 28 11 2024\"/>
    </mc:Choice>
  </mc:AlternateContent>
  <xr:revisionPtr revIDLastSave="0" documentId="13_ncr:1_{5630E5DE-18D1-45F1-BDEA-0320624166D6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90" i="2" l="1" a="1"/>
  <c r="AH90" i="2" s="1"/>
  <c r="AH19" i="2" a="1"/>
  <c r="AH19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<sst xmlns="http://schemas.openxmlformats.org/spreadsheetml/2006/main" count="1167" uniqueCount="324">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</sst>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4.3926046297979076</c:v>
                </c:pt>
                <c:pt idx="2">
                  <c:v>8.3612614966873711</c:v>
                </c:pt>
                <c:pt idx="3">
                  <c:v>15.935083980933408</c:v>
                </c:pt>
                <c:pt idx="4">
                  <c:v>30.405468314778947</c:v>
                </c:pt>
                <c:pt idx="5">
                  <c:v>58.082485530805052</c:v>
                </c:pt>
                <c:pt idx="6">
                  <c:v>72.155748931369416</c:v>
                </c:pt>
                <c:pt idx="7">
                  <c:v>94.133673128860323</c:v>
                </c:pt>
                <c:pt idx="8">
                  <c:v>115.98283085356282</c:v>
                </c:pt>
                <c:pt idx="9">
                  <c:v>137.73104312742694</c:v>
                </c:pt>
                <c:pt idx="10">
                  <c:v>159.39654402501074</c:v>
                </c:pt>
                <c:pt idx="11">
                  <c:v>139.70382844505221</c:v>
                </c:pt>
                <c:pt idx="12">
                  <c:v>161.362507950626</c:v>
                </c:pt>
                <c:pt idx="13">
                  <c:v>182.95230030612535</c:v>
                </c:pt>
                <c:pt idx="14">
                  <c:v>204.48248491014036</c:v>
                </c:pt>
                <c:pt idx="15">
                  <c:v>225.96022281826015</c:v>
                </c:pt>
                <c:pt idx="16">
                  <c:v>211.90768212600287</c:v>
                </c:pt>
                <c:pt idx="17">
                  <c:v>231.02975966933766</c:v>
                </c:pt>
                <c:pt idx="18">
                  <c:v>250.11566977871595</c:v>
                </c:pt>
                <c:pt idx="19">
                  <c:v>269.16856029275453</c:v>
                </c:pt>
                <c:pt idx="20">
                  <c:v>288.19109683703851</c:v>
                </c:pt>
                <c:pt idx="21">
                  <c:v>277.32465175371152</c:v>
                </c:pt>
                <c:pt idx="22">
                  <c:v>293.62085999795471</c:v>
                </c:pt>
                <c:pt idx="23">
                  <c:v>309.89688707897216</c:v>
                </c:pt>
                <c:pt idx="24">
                  <c:v>326.1539420224164</c:v>
                </c:pt>
                <c:pt idx="25">
                  <c:v>342.39310348379212</c:v>
                </c:pt>
                <c:pt idx="26">
                  <c:v>334.27569654819109</c:v>
                </c:pt>
                <c:pt idx="27">
                  <c:v>347.41603793627536</c:v>
                </c:pt>
                <c:pt idx="28">
                  <c:v>360.54547259299108</c:v>
                </c:pt>
                <c:pt idx="29">
                  <c:v>373.66445368853493</c:v>
                </c:pt>
                <c:pt idx="30">
                  <c:v>386.77339997206712</c:v>
                </c:pt>
                <c:pt idx="31">
                  <c:v>380.60570876556693</c:v>
                </c:pt>
                <c:pt idx="32">
                  <c:v>391.78307456466808</c:v>
                </c:pt>
                <c:pt idx="33">
                  <c:v>402.95352523018465</c:v>
                </c:pt>
                <c:pt idx="34">
                  <c:v>414.1172795224561</c:v>
                </c:pt>
                <c:pt idx="35">
                  <c:v>425.27454344239999</c:v>
                </c:pt>
                <c:pt idx="36">
                  <c:v>421.04322924291415</c:v>
                </c:pt>
                <c:pt idx="37">
                  <c:v>430.2740205592209</c:v>
                </c:pt>
                <c:pt idx="38">
                  <c:v>439.50055712660497</c:v>
                </c:pt>
                <c:pt idx="39">
                  <c:v>448.72294089251392</c:v>
                </c:pt>
                <c:pt idx="40">
                  <c:v>457.94126927057533</c:v>
                </c:pt>
                <c:pt idx="41">
                  <c:v>456.02111397099492</c:v>
                </c:pt>
                <c:pt idx="42">
                  <c:v>465.6201790592072</c:v>
                </c:pt>
                <c:pt idx="43">
                  <c:v>475.2150257772908</c:v>
                </c:pt>
                <c:pt idx="44">
                  <c:v>484.80575132371115</c:v>
                </c:pt>
                <c:pt idx="45">
                  <c:v>494.39244873679655</c:v>
                </c:pt>
                <c:pt idx="46">
                  <c:v>4.7119831685935622E-12</c:v>
                </c:pt>
                <c:pt idx="47">
                  <c:v>4.7119831685935622E-12</c:v>
                </c:pt>
                <c:pt idx="48">
                  <c:v>4.7119831685935622E-12</c:v>
                </c:pt>
                <c:pt idx="49">
                  <c:v>4.7119831685935622E-12</c:v>
                </c:pt>
                <c:pt idx="50">
                  <c:v>4.7119831685935622E-12</c:v>
                </c:pt>
                <c:pt idx="51">
                  <c:v>4.7119831685935622E-12</c:v>
                </c:pt>
                <c:pt idx="52">
                  <c:v>4.7119831685935622E-12</c:v>
                </c:pt>
                <c:pt idx="53">
                  <c:v>4.7119831685935622E-12</c:v>
                </c:pt>
                <c:pt idx="54">
                  <c:v>4.7119831685935622E-12</c:v>
                </c:pt>
                <c:pt idx="55">
                  <c:v>4.7119831685935622E-12</c:v>
                </c:pt>
                <c:pt idx="56">
                  <c:v>4.7119831685935622E-12</c:v>
                </c:pt>
                <c:pt idx="57">
                  <c:v>4.7119831685935622E-12</c:v>
                </c:pt>
                <c:pt idx="58">
                  <c:v>4.7119831685935622E-12</c:v>
                </c:pt>
                <c:pt idx="59">
                  <c:v>4.7119831685935622E-12</c:v>
                </c:pt>
                <c:pt idx="60">
                  <c:v>4.7119831685935622E-12</c:v>
                </c:pt>
                <c:pt idx="61">
                  <c:v>4.7119831685935622E-12</c:v>
                </c:pt>
                <c:pt idx="62">
                  <c:v>4.7119831685935622E-12</c:v>
                </c:pt>
                <c:pt idx="63">
                  <c:v>4.7119831685935622E-12</c:v>
                </c:pt>
                <c:pt idx="64">
                  <c:v>4.7119831685935622E-12</c:v>
                </c:pt>
                <c:pt idx="65">
                  <c:v>4.7119831685935622E-12</c:v>
                </c:pt>
                <c:pt idx="66">
                  <c:v>4.7119831685935622E-12</c:v>
                </c:pt>
                <c:pt idx="67">
                  <c:v>4.7119831685935622E-12</c:v>
                </c:pt>
                <c:pt idx="68">
                  <c:v>4.7119831685935622E-12</c:v>
                </c:pt>
                <c:pt idx="69">
                  <c:v>4.7119831685935622E-12</c:v>
                </c:pt>
                <c:pt idx="70">
                  <c:v>4.7119831685935622E-12</c:v>
                </c:pt>
                <c:pt idx="71">
                  <c:v>4.7119831685935622E-12</c:v>
                </c:pt>
                <c:pt idx="72">
                  <c:v>4.7119831685935622E-12</c:v>
                </c:pt>
                <c:pt idx="73">
                  <c:v>4.7119831685935622E-12</c:v>
                </c:pt>
                <c:pt idx="74">
                  <c:v>4.7119831685935622E-12</c:v>
                </c:pt>
                <c:pt idx="75">
                  <c:v>4.7119831685935622E-12</c:v>
                </c:pt>
                <c:pt idx="76">
                  <c:v>4.7119831685935622E-12</c:v>
                </c:pt>
                <c:pt idx="77">
                  <c:v>4.7119831685935622E-12</c:v>
                </c:pt>
                <c:pt idx="78">
                  <c:v>4.7119831685935622E-12</c:v>
                </c:pt>
                <c:pt idx="79">
                  <c:v>4.7119831685935622E-12</c:v>
                </c:pt>
                <c:pt idx="80">
                  <c:v>4.7119831685935622E-12</c:v>
                </c:pt>
                <c:pt idx="81">
                  <c:v>4.7119831685935622E-12</c:v>
                </c:pt>
                <c:pt idx="82">
                  <c:v>4.7119831685935622E-12</c:v>
                </c:pt>
                <c:pt idx="83">
                  <c:v>4.7119831685935622E-12</c:v>
                </c:pt>
                <c:pt idx="84">
                  <c:v>4.7119831685935622E-12</c:v>
                </c:pt>
                <c:pt idx="85">
                  <c:v>4.7119831685935622E-12</c:v>
                </c:pt>
                <c:pt idx="86">
                  <c:v>4.7119831685935622E-12</c:v>
                </c:pt>
                <c:pt idx="87">
                  <c:v>4.7119831685935622E-12</c:v>
                </c:pt>
                <c:pt idx="88">
                  <c:v>4.7119831685935622E-12</c:v>
                </c:pt>
                <c:pt idx="89">
                  <c:v>4.7119831685935622E-12</c:v>
                </c:pt>
                <c:pt idx="90">
                  <c:v>4.7119831685935622E-12</c:v>
                </c:pt>
                <c:pt idx="91">
                  <c:v>4.7119831685935622E-12</c:v>
                </c:pt>
                <c:pt idx="92">
                  <c:v>4.7119831685935622E-12</c:v>
                </c:pt>
                <c:pt idx="93">
                  <c:v>4.7119831685935622E-12</c:v>
                </c:pt>
                <c:pt idx="94">
                  <c:v>4.7119831685935622E-12</c:v>
                </c:pt>
                <c:pt idx="95">
                  <c:v>4.7119831685935622E-12</c:v>
                </c:pt>
                <c:pt idx="96">
                  <c:v>4.7119831685935622E-12</c:v>
                </c:pt>
                <c:pt idx="97">
                  <c:v>4.7119831685935622E-12</c:v>
                </c:pt>
                <c:pt idx="98">
                  <c:v>4.7119831685935622E-12</c:v>
                </c:pt>
                <c:pt idx="99">
                  <c:v>4.7119831685935622E-12</c:v>
                </c:pt>
                <c:pt idx="100">
                  <c:v>4.7119831685935622E-12</c:v>
                </c:pt>
                <c:pt idx="101">
                  <c:v>4.7119831685935622E-12</c:v>
                </c:pt>
                <c:pt idx="102">
                  <c:v>4.7119831685935622E-12</c:v>
                </c:pt>
                <c:pt idx="103">
                  <c:v>4.7119831685935622E-12</c:v>
                </c:pt>
                <c:pt idx="104">
                  <c:v>4.7119831685935622E-12</c:v>
                </c:pt>
                <c:pt idx="105">
                  <c:v>4.7119831685935622E-12</c:v>
                </c:pt>
                <c:pt idx="106">
                  <c:v>4.7119831685935622E-12</c:v>
                </c:pt>
                <c:pt idx="107">
                  <c:v>4.7119831685935622E-12</c:v>
                </c:pt>
                <c:pt idx="108">
                  <c:v>4.7119831685935622E-12</c:v>
                </c:pt>
                <c:pt idx="109">
                  <c:v>4.7119831685935622E-12</c:v>
                </c:pt>
                <c:pt idx="110">
                  <c:v>4.7119831685935622E-12</c:v>
                </c:pt>
                <c:pt idx="111">
                  <c:v>4.7119831685935622E-12</c:v>
                </c:pt>
                <c:pt idx="112">
                  <c:v>4.7119831685935622E-12</c:v>
                </c:pt>
                <c:pt idx="113">
                  <c:v>4.7119831685935622E-12</c:v>
                </c:pt>
                <c:pt idx="114">
                  <c:v>4.7119831685935622E-12</c:v>
                </c:pt>
                <c:pt idx="115">
                  <c:v>4.7119831685935622E-12</c:v>
                </c:pt>
                <c:pt idx="116">
                  <c:v>4.7119831685935622E-12</c:v>
                </c:pt>
                <c:pt idx="117">
                  <c:v>4.7119831685935622E-12</c:v>
                </c:pt>
                <c:pt idx="118">
                  <c:v>4.7119831685935622E-12</c:v>
                </c:pt>
                <c:pt idx="119">
                  <c:v>4.7119831685935622E-12</c:v>
                </c:pt>
                <c:pt idx="120">
                  <c:v>4.7119831685935622E-12</c:v>
                </c:pt>
                <c:pt idx="121">
                  <c:v>4.7119831685935622E-12</c:v>
                </c:pt>
                <c:pt idx="122">
                  <c:v>4.7119831685935622E-12</c:v>
                </c:pt>
                <c:pt idx="123">
                  <c:v>4.7119831685935622E-12</c:v>
                </c:pt>
                <c:pt idx="124">
                  <c:v>4.7119831685935622E-12</c:v>
                </c:pt>
                <c:pt idx="125">
                  <c:v>4.7119831685935622E-12</c:v>
                </c:pt>
                <c:pt idx="126">
                  <c:v>4.7119831685935622E-12</c:v>
                </c:pt>
                <c:pt idx="127">
                  <c:v>4.7119831685935622E-12</c:v>
                </c:pt>
                <c:pt idx="128">
                  <c:v>4.7119831685935622E-12</c:v>
                </c:pt>
                <c:pt idx="129">
                  <c:v>4.7119831685935622E-12</c:v>
                </c:pt>
                <c:pt idx="130">
                  <c:v>4.7119831685935622E-12</c:v>
                </c:pt>
                <c:pt idx="131">
                  <c:v>4.7119831685935622E-12</c:v>
                </c:pt>
                <c:pt idx="132">
                  <c:v>4.7119831685935622E-12</c:v>
                </c:pt>
                <c:pt idx="133">
                  <c:v>4.7119831685935622E-12</c:v>
                </c:pt>
                <c:pt idx="134">
                  <c:v>4.7119831685935622E-12</c:v>
                </c:pt>
                <c:pt idx="135">
                  <c:v>4.7119831685935622E-12</c:v>
                </c:pt>
                <c:pt idx="136">
                  <c:v>4.7119831685935622E-12</c:v>
                </c:pt>
                <c:pt idx="137">
                  <c:v>4.7119831685935622E-12</c:v>
                </c:pt>
                <c:pt idx="138">
                  <c:v>4.7119831685935622E-12</c:v>
                </c:pt>
                <c:pt idx="139">
                  <c:v>4.7119831685935622E-12</c:v>
                </c:pt>
                <c:pt idx="140">
                  <c:v>4.7119831685935622E-12</c:v>
                </c:pt>
                <c:pt idx="141">
                  <c:v>4.7119831685935622E-12</c:v>
                </c:pt>
                <c:pt idx="142">
                  <c:v>4.7119831685935622E-12</c:v>
                </c:pt>
                <c:pt idx="143">
                  <c:v>4.7119831685935622E-12</c:v>
                </c:pt>
                <c:pt idx="144">
                  <c:v>4.7119831685935622E-12</c:v>
                </c:pt>
                <c:pt idx="145">
                  <c:v>4.7119831685935622E-12</c:v>
                </c:pt>
                <c:pt idx="146">
                  <c:v>4.7119831685935622E-12</c:v>
                </c:pt>
                <c:pt idx="147">
                  <c:v>4.7119831685935622E-12</c:v>
                </c:pt>
                <c:pt idx="148">
                  <c:v>4.7119831685935622E-12</c:v>
                </c:pt>
                <c:pt idx="149">
                  <c:v>4.7119831685935622E-12</c:v>
                </c:pt>
                <c:pt idx="150">
                  <c:v>4.7119831685935622E-12</c:v>
                </c:pt>
                <c:pt idx="151">
                  <c:v>4.7119831685935622E-12</c:v>
                </c:pt>
                <c:pt idx="152">
                  <c:v>4.7119831685935622E-12</c:v>
                </c:pt>
                <c:pt idx="153">
                  <c:v>4.7119831685935622E-12</c:v>
                </c:pt>
                <c:pt idx="154">
                  <c:v>4.7119831685935622E-12</c:v>
                </c:pt>
                <c:pt idx="155">
                  <c:v>4.7119831685935622E-12</c:v>
                </c:pt>
                <c:pt idx="156">
                  <c:v>4.7119831685935622E-12</c:v>
                </c:pt>
                <c:pt idx="157">
                  <c:v>4.7119831685935622E-12</c:v>
                </c:pt>
                <c:pt idx="158">
                  <c:v>4.7119831685935622E-12</c:v>
                </c:pt>
                <c:pt idx="159">
                  <c:v>4.7119831685935622E-12</c:v>
                </c:pt>
                <c:pt idx="160">
                  <c:v>4.7119831685935622E-12</c:v>
                </c:pt>
                <c:pt idx="161">
                  <c:v>4.7119831685935622E-12</c:v>
                </c:pt>
                <c:pt idx="162">
                  <c:v>4.7119831685935622E-12</c:v>
                </c:pt>
                <c:pt idx="163">
                  <c:v>4.7119831685935622E-12</c:v>
                </c:pt>
                <c:pt idx="164">
                  <c:v>4.7119831685935622E-12</c:v>
                </c:pt>
                <c:pt idx="165">
                  <c:v>4.7119831685935622E-12</c:v>
                </c:pt>
                <c:pt idx="166">
                  <c:v>4.7119831685935622E-12</c:v>
                </c:pt>
                <c:pt idx="167">
                  <c:v>4.7119831685935622E-12</c:v>
                </c:pt>
                <c:pt idx="168">
                  <c:v>4.7119831685935622E-12</c:v>
                </c:pt>
                <c:pt idx="169">
                  <c:v>4.7119831685935622E-12</c:v>
                </c:pt>
                <c:pt idx="170">
                  <c:v>4.7119831685935622E-12</c:v>
                </c:pt>
                <c:pt idx="171">
                  <c:v>4.7119831685935622E-12</c:v>
                </c:pt>
                <c:pt idx="172">
                  <c:v>4.7119831685935622E-12</c:v>
                </c:pt>
                <c:pt idx="173">
                  <c:v>4.7119831685935622E-12</c:v>
                </c:pt>
                <c:pt idx="174">
                  <c:v>4.7119831685935622E-12</c:v>
                </c:pt>
                <c:pt idx="175">
                  <c:v>4.7119831685935622E-12</c:v>
                </c:pt>
                <c:pt idx="176">
                  <c:v>4.7119831685935622E-12</c:v>
                </c:pt>
                <c:pt idx="177">
                  <c:v>4.7119831685935622E-12</c:v>
                </c:pt>
                <c:pt idx="178">
                  <c:v>4.7119831685935622E-12</c:v>
                </c:pt>
                <c:pt idx="179">
                  <c:v>4.7119831685935622E-12</c:v>
                </c:pt>
                <c:pt idx="180">
                  <c:v>4.7119831685935622E-12</c:v>
                </c:pt>
                <c:pt idx="181">
                  <c:v>4.7119831685935622E-12</c:v>
                </c:pt>
                <c:pt idx="182">
                  <c:v>4.7119831685935622E-12</c:v>
                </c:pt>
                <c:pt idx="183">
                  <c:v>4.7119831685935622E-12</c:v>
                </c:pt>
                <c:pt idx="184">
                  <c:v>4.7119831685935622E-12</c:v>
                </c:pt>
                <c:pt idx="185">
                  <c:v>4.7119831685935622E-12</c:v>
                </c:pt>
                <c:pt idx="186">
                  <c:v>4.7119831685935622E-12</c:v>
                </c:pt>
                <c:pt idx="187">
                  <c:v>4.7119831685935622E-12</c:v>
                </c:pt>
                <c:pt idx="188">
                  <c:v>4.7119831685935622E-12</c:v>
                </c:pt>
                <c:pt idx="189">
                  <c:v>4.7119831685935622E-12</c:v>
                </c:pt>
                <c:pt idx="190">
                  <c:v>4.7119831685935622E-12</c:v>
                </c:pt>
                <c:pt idx="191">
                  <c:v>4.7119831685935622E-12</c:v>
                </c:pt>
                <c:pt idx="192">
                  <c:v>4.7119831685935622E-12</c:v>
                </c:pt>
                <c:pt idx="193">
                  <c:v>4.7119831685935622E-12</c:v>
                </c:pt>
                <c:pt idx="194">
                  <c:v>4.7119831685935622E-12</c:v>
                </c:pt>
                <c:pt idx="195">
                  <c:v>4.7119831685935622E-12</c:v>
                </c:pt>
                <c:pt idx="196">
                  <c:v>4.7119831685935622E-12</c:v>
                </c:pt>
                <c:pt idx="197">
                  <c:v>4.7119831685935622E-12</c:v>
                </c:pt>
                <c:pt idx="198">
                  <c:v>4.7119831685935622E-12</c:v>
                </c:pt>
                <c:pt idx="199">
                  <c:v>4.7119831685935622E-12</c:v>
                </c:pt>
                <c:pt idx="200">
                  <c:v>4.7119831685935622E-12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6" zoomScale="90" zoomScaleNormal="90" workbookViewId="0">
      <selection activeCell="G73" sqref="G73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3.4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0.5</v>
      </c>
      <c r="D9" s="36">
        <f t="shared" ref="D9:D18" si="0">C9*$C$5</f>
        <v>1.7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44</v>
      </c>
      <c r="C10" s="35">
        <v>0.5</v>
      </c>
      <c r="D10" s="36">
        <f t="shared" si="0"/>
        <v>1.7</v>
      </c>
      <c r="E10" s="37">
        <v>45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3.4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269</v>
      </c>
      <c r="C39" s="63">
        <v>4</v>
      </c>
      <c r="D39" s="63">
        <v>0</v>
      </c>
      <c r="E39" s="54">
        <v>0.7</v>
      </c>
      <c r="F39" s="54"/>
      <c r="G39" s="54">
        <v>0.3</v>
      </c>
      <c r="H39" s="54"/>
      <c r="I39" s="52">
        <f t="shared" si="1"/>
        <v>15.142857142857142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34</v>
      </c>
      <c r="B40" s="63">
        <v>325</v>
      </c>
      <c r="C40" s="63">
        <v>5</v>
      </c>
      <c r="D40" s="63">
        <v>325</v>
      </c>
      <c r="E40" s="54">
        <v>0.7</v>
      </c>
      <c r="F40" s="54"/>
      <c r="G40" s="54">
        <v>0.3</v>
      </c>
      <c r="H40" s="54"/>
      <c r="I40" s="52">
        <f t="shared" si="1"/>
        <v>14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Robinier faux-acacia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5</v>
      </c>
      <c r="B62" s="63">
        <v>28</v>
      </c>
      <c r="C62" s="63">
        <v>1</v>
      </c>
      <c r="D62" s="63">
        <v>4</v>
      </c>
      <c r="E62" s="54"/>
      <c r="F62" s="54"/>
      <c r="G62" s="54"/>
      <c r="H62" s="54">
        <v>1</v>
      </c>
      <c r="I62" s="56">
        <f>IFERROR(B62/A62,"")</f>
        <v>5.6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10</v>
      </c>
      <c r="B63" s="63">
        <v>79</v>
      </c>
      <c r="C63" s="63">
        <v>2</v>
      </c>
      <c r="D63" s="63">
        <v>21</v>
      </c>
      <c r="E63" s="54"/>
      <c r="F63" s="54"/>
      <c r="G63" s="54"/>
      <c r="H63" s="54">
        <v>1</v>
      </c>
      <c r="I63" s="52">
        <f>IF(A63&lt;&gt;0,(B63-(B62-D62))/(A63-A62),"")</f>
        <v>11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15</v>
      </c>
      <c r="B64" s="63">
        <v>113</v>
      </c>
      <c r="C64" s="63">
        <v>3</v>
      </c>
      <c r="D64" s="63">
        <v>17</v>
      </c>
      <c r="E64" s="54"/>
      <c r="F64" s="54"/>
      <c r="G64" s="54"/>
      <c r="H64" s="54">
        <v>1</v>
      </c>
      <c r="I64" s="52">
        <f>IF(A64&lt;&gt;0,(B64-(B63-D63))/(A64-A63),"")</f>
        <v>11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20</v>
      </c>
      <c r="B65" s="63">
        <v>145</v>
      </c>
      <c r="C65" s="63">
        <v>4</v>
      </c>
      <c r="D65" s="63">
        <v>14</v>
      </c>
      <c r="E65" s="54">
        <v>0.2</v>
      </c>
      <c r="F65" s="54">
        <v>0.3</v>
      </c>
      <c r="G65" s="54"/>
      <c r="H65" s="54">
        <v>0.5</v>
      </c>
      <c r="I65" s="52">
        <f>IF(A65&lt;&gt;0,(B65-(B64-D64))/(A65-A64),"")</f>
        <v>9.8000000000000007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25</v>
      </c>
      <c r="B66" s="63">
        <v>173</v>
      </c>
      <c r="C66" s="63">
        <v>5</v>
      </c>
      <c r="D66" s="63">
        <v>11</v>
      </c>
      <c r="E66" s="54">
        <v>0.3</v>
      </c>
      <c r="F66" s="54">
        <v>0.2</v>
      </c>
      <c r="G66" s="54"/>
      <c r="H66" s="54">
        <v>0.5</v>
      </c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30</v>
      </c>
      <c r="B67" s="63">
        <v>196</v>
      </c>
      <c r="C67" s="63">
        <v>6</v>
      </c>
      <c r="D67" s="63">
        <v>9</v>
      </c>
      <c r="E67" s="54">
        <v>0.4</v>
      </c>
      <c r="F67" s="54">
        <v>0.2</v>
      </c>
      <c r="G67" s="54"/>
      <c r="H67" s="54">
        <v>0.4</v>
      </c>
      <c r="I67" s="52">
        <f t="shared" si="2"/>
        <v>6.8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35</v>
      </c>
      <c r="B68" s="63">
        <v>216</v>
      </c>
      <c r="C68" s="63">
        <v>7</v>
      </c>
      <c r="D68" s="63">
        <v>7</v>
      </c>
      <c r="E68" s="54"/>
      <c r="F68" s="54"/>
      <c r="G68" s="54"/>
      <c r="H68" s="54"/>
      <c r="I68" s="52">
        <f t="shared" si="2"/>
        <v>5.8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40</v>
      </c>
      <c r="B69" s="53">
        <v>233</v>
      </c>
      <c r="C69" s="53">
        <v>8</v>
      </c>
      <c r="D69" s="53">
        <v>6</v>
      </c>
      <c r="E69" s="54"/>
      <c r="F69" s="54"/>
      <c r="G69" s="54"/>
      <c r="H69" s="54"/>
      <c r="I69" s="52">
        <f t="shared" si="2"/>
        <v>4.8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45</v>
      </c>
      <c r="B70" s="53">
        <v>252</v>
      </c>
      <c r="C70" s="53">
        <v>9</v>
      </c>
      <c r="D70" s="53">
        <v>252</v>
      </c>
      <c r="E70" s="54"/>
      <c r="F70" s="54"/>
      <c r="G70" s="54"/>
      <c r="H70" s="54"/>
      <c r="I70" s="52">
        <f t="shared" si="2"/>
        <v>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L21" sqref="L2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Robinier faux-acacia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195.80903373714432</v>
      </c>
      <c r="T3" s="62">
        <f>IF('Données projet'!E9&gt;30,$R$33-$H$33,LOOKUP('Données projet'!$E$9,$A$3:$A$203,R3:R203)-LOOKUP('Données projet'!$E$9,$A$3:$A$203,$H$3:$H$203))</f>
        <v>388.30721786668977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302.6112905010138</v>
      </c>
      <c r="AO3" s="62">
        <f>IF('Données projet'!E10&gt;30,$AM$33-$H$33,LOOKUP('Données projet'!$E$10,$A$3:$A$203,AM3:AM203)-LOOKUP('Données projet'!$E$10,$A$3:$A$203,$H$3:$H$203))</f>
        <v>423.44006663873375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260.07163016944799</v>
      </c>
      <c r="S4" s="62">
        <f ca="1">AVERAGE(OFFSET($R$3,0,0,'Données projet'!$E$9+1,1))-AVERAGE(OFFSET($H$3,0,0,'Données projet'!$E$9+1,1))</f>
        <v>195.80903373714432</v>
      </c>
      <c r="T4" s="62">
        <f>$T$3</f>
        <v>388.30721786668977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5.6</v>
      </c>
      <c r="AI4" s="14">
        <f>IF('Données projet'!$A$62&gt;35,AI3+AH4-AQ3,IF(A4&lt;'Données projet'!$A$62,$AF$205^A4,IF(A4='Données projet'!$A$62,'Données projet'!$B$62,AI3+AH4-AQ3)))</f>
        <v>1.9472943612303364</v>
      </c>
      <c r="AJ4" s="14">
        <f>AI4*VLOOKUP('Données projet'!$B$10,Paramètres!$A$1:$I$89,3,0)*VLOOKUP('Données projet'!$B$10,Paramètres!$A$1:$I$89,5,0)</f>
        <v>1.7619119380412083</v>
      </c>
      <c r="AK4" s="14">
        <f>EXP(-1.0587+0.8836*LN(AJ4)+0.284)</f>
        <v>0.76015770586189668</v>
      </c>
      <c r="AL4" s="22">
        <f t="shared" ref="AL4:AL67" si="4">(AJ4+AK4)*0.475*44/12</f>
        <v>4.3926046297979076</v>
      </c>
      <c r="AM4" s="62">
        <f t="shared" ref="AM4:AM67" si="5">AL4+(AD4+AE4)*44/12</f>
        <v>262.28149351868677</v>
      </c>
      <c r="AN4" s="62">
        <f ca="1">AVERAGE(OFFSET($AM$3,0,0,'Données projet'!$E$10+1,1))-AVERAGE(OFFSET($H$3,0,0,'Données projet'!$E$10+1,1))</f>
        <v>302.6112905010138</v>
      </c>
      <c r="AO4" s="62">
        <f>$AO$3</f>
        <v>423.44006663873375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262.18386357747022</v>
      </c>
      <c r="S5" s="62">
        <f ca="1">AVERAGE(OFFSET($R$3,0,0,'Données projet'!$E$9+1,1))-AVERAGE(OFFSET($H$3,0,0,'Données projet'!$E$9+1,1))</f>
        <v>195.80903373714432</v>
      </c>
      <c r="T5" s="62">
        <f t="shared" ref="T5:T68" si="34">$T$3</f>
        <v>388.30721786668977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5.6</v>
      </c>
      <c r="AI5" s="14">
        <f>IF('Données projet'!$A$62&gt;35,AI4+AH5-AQ4,IF(A5&lt;'Données projet'!$A$62,$AF$205^A5,IF(A5='Données projet'!$A$62,'Données projet'!$B$62,AI4+AH5-AQ4)))</f>
        <v>3.7919553292794639</v>
      </c>
      <c r="AJ5" s="14">
        <f>AI5*VLOOKUP('Données projet'!$B$10,Paramètres!$A$1:$I$89,3,0)*VLOOKUP('Données projet'!$B$10,Paramètres!$A$1:$I$89,5,0)</f>
        <v>3.4309611819320587</v>
      </c>
      <c r="AK5" s="14">
        <f t="shared" ref="AK5:AK68" si="35">EXP(-1.0587+0.8836*LN(AJ5)+0.284)</f>
        <v>1.3697631223860498</v>
      </c>
      <c r="AL5" s="22">
        <f t="shared" si="4"/>
        <v>8.3612614966873711</v>
      </c>
      <c r="AM5" s="62">
        <f t="shared" si="5"/>
        <v>267.47237260779849</v>
      </c>
      <c r="AN5" s="62">
        <f ca="1">AVERAGE(OFFSET($AM$3,0,0,'Données projet'!$E$10+1,1))-AVERAGE(OFFSET($H$3,0,0,'Données projet'!$E$10+1,1))</f>
        <v>302.6112905010138</v>
      </c>
      <c r="AO5" s="62">
        <f t="shared" ref="AO5:AO68" si="36">$AO$3</f>
        <v>423.44006663873375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264.66058017412968</v>
      </c>
      <c r="S6" s="62">
        <f ca="1">AVERAGE(OFFSET($R$3,0,0,'Données projet'!$E$9+1,1))-AVERAGE(OFFSET($H$3,0,0,'Données projet'!$E$9+1,1))</f>
        <v>195.80903373714432</v>
      </c>
      <c r="T6" s="62">
        <f t="shared" si="34"/>
        <v>388.30721786668977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5.6</v>
      </c>
      <c r="AI6" s="14">
        <f>IF('Données projet'!$A$62&gt;35,AI5+AH6-AQ5,IF(A6&lt;'Données projet'!$A$62,$AF$205^A6,IF(A6='Données projet'!$A$62,'Données projet'!$B$62,AI5+AH6-AQ5)))</f>
        <v>7.3840532307432234</v>
      </c>
      <c r="AJ6" s="14">
        <f>AI6*VLOOKUP('Données projet'!$B$10,Paramètres!$A$1:$I$89,3,0)*VLOOKUP('Données projet'!$B$10,Paramètres!$A$1:$I$89,5,0)</f>
        <v>6.6810913631764679</v>
      </c>
      <c r="AK6" s="14">
        <f t="shared" si="35"/>
        <v>2.4682391521919964</v>
      </c>
      <c r="AL6" s="22">
        <f t="shared" si="4"/>
        <v>15.935083980933408</v>
      </c>
      <c r="AM6" s="62">
        <f t="shared" si="5"/>
        <v>276.26841731426674</v>
      </c>
      <c r="AN6" s="62">
        <f ca="1">AVERAGE(OFFSET($AM$3,0,0,'Données projet'!$E$10+1,1))-AVERAGE(OFFSET($H$3,0,0,'Données projet'!$E$10+1,1))</f>
        <v>302.6112905010138</v>
      </c>
      <c r="AO6" s="62">
        <f t="shared" si="36"/>
        <v>423.44006663873375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267.65165467591896</v>
      </c>
      <c r="S7" s="62">
        <f ca="1">AVERAGE(OFFSET($R$3,0,0,'Données projet'!$E$9+1,1))-AVERAGE(OFFSET($H$3,0,0,'Données projet'!$E$9+1,1))</f>
        <v>195.80903373714432</v>
      </c>
      <c r="T7" s="62">
        <f t="shared" si="34"/>
        <v>388.30721786668977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5.6</v>
      </c>
      <c r="AI7" s="14">
        <f>IF('Données projet'!$A$62&gt;35,AI6+AH7-AQ6,IF(A7&lt;'Données projet'!$A$62,$AF$205^A7,IF(A7='Données projet'!$A$62,'Données projet'!$B$62,AI6+AH7-AQ6)))</f>
        <v>14.378925219250927</v>
      </c>
      <c r="AJ7" s="14">
        <f>AI7*VLOOKUP('Données projet'!$B$10,Paramètres!$A$1:$I$89,3,0)*VLOOKUP('Données projet'!$B$10,Paramètres!$A$1:$I$89,5,0)</f>
        <v>13.010051538378239</v>
      </c>
      <c r="AK7" s="14">
        <f t="shared" si="35"/>
        <v>4.4476336184326453</v>
      </c>
      <c r="AL7" s="22">
        <f t="shared" si="4"/>
        <v>30.405468314778947</v>
      </c>
      <c r="AM7" s="62">
        <f t="shared" si="5"/>
        <v>291.96102387033449</v>
      </c>
      <c r="AN7" s="62">
        <f ca="1">AVERAGE(OFFSET($AM$3,0,0,'Données projet'!$E$10+1,1))-AVERAGE(OFFSET($H$3,0,0,'Données projet'!$E$10+1,1))</f>
        <v>302.6112905010138</v>
      </c>
      <c r="AO7" s="62">
        <f t="shared" si="36"/>
        <v>423.44006663873375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271.36882356072067</v>
      </c>
      <c r="S8" s="62">
        <f ca="1">AVERAGE(OFFSET($R$3,0,0,'Données projet'!$E$9+1,1))-AVERAGE(OFFSET($H$3,0,0,'Données projet'!$E$9+1,1))</f>
        <v>195.80903373714432</v>
      </c>
      <c r="T8" s="62">
        <f t="shared" si="34"/>
        <v>388.30721786668977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>
        <f>VLOOKUP(A8,'Données projet'!$A$61:$I$81,2,0)</f>
        <v>28</v>
      </c>
      <c r="AG8" s="13">
        <f>VLOOKUP(A8,'Données projet'!$A$61:$I$81,9,0)</f>
        <v>5.6</v>
      </c>
      <c r="AH8" s="13">
        <f t="array" ref="AH8">INDEX(AG:AG,MIN(IF(ISNUMBER(AG8:AG204),ROW(AG8:AG204),"")))</f>
        <v>5.6</v>
      </c>
      <c r="AI8" s="14">
        <f>IF('Données projet'!$A$62&gt;35,AI7+AH8-AQ7,IF(A8&lt;'Données projet'!$A$62,$AF$205^A8,IF(A8='Données projet'!$A$62,'Données projet'!$B$62,AI7+AH8-AQ7)))</f>
        <v>28</v>
      </c>
      <c r="AJ8" s="14">
        <f>AI8*VLOOKUP('Données projet'!$B$10,Paramètres!$A$1:$I$89,3,0)*VLOOKUP('Données projet'!$B$10,Paramètres!$A$1:$I$89,5,0)</f>
        <v>25.334399999999999</v>
      </c>
      <c r="AK8" s="14">
        <f t="shared" si="35"/>
        <v>8.0143955200794572</v>
      </c>
      <c r="AL8" s="22">
        <f t="shared" si="4"/>
        <v>58.082485530805052</v>
      </c>
      <c r="AM8" s="62">
        <f t="shared" si="5"/>
        <v>320.86026330858283</v>
      </c>
      <c r="AN8" s="62">
        <f ca="1">AVERAGE(OFFSET($AM$3,0,0,'Données projet'!$E$10+1,1))-AVERAGE(OFFSET($H$3,0,0,'Données projet'!$E$10+1,1))</f>
        <v>302.6112905010138</v>
      </c>
      <c r="AO8" s="62">
        <f t="shared" si="36"/>
        <v>423.44006663873375</v>
      </c>
      <c r="AP8" s="16">
        <f>IF(ISNA(VLOOKUP(A8,'Données projet'!$A$61:$I$81,3,0)),0,VLOOKUP(A8,'Données projet'!$A$61:$I$81,3,0))</f>
        <v>1</v>
      </c>
      <c r="AQ8" s="16">
        <f>IF(ISNA(VLOOKUP(A8,'Données projet'!$A$61:$I$81,4,0)),0,VLOOKUP(A8,'Données projet'!$A$61:$I$81,4,0))</f>
        <v>4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276.11130812041091</v>
      </c>
      <c r="S9" s="62">
        <f ca="1">AVERAGE(OFFSET($R$3,0,0,'Données projet'!$E$9+1,1))-AVERAGE(OFFSET($H$3,0,0,'Données projet'!$E$9+1,1))</f>
        <v>195.80903373714432</v>
      </c>
      <c r="T9" s="62">
        <f t="shared" si="34"/>
        <v>388.30721786668977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11</v>
      </c>
      <c r="AI9" s="14">
        <f>IF('Données projet'!$A$62&gt;35,AI8+AH9-AQ8,IF(A9&lt;'Données projet'!$A$62,$AF$205^A9,IF(A9='Données projet'!$A$62,'Données projet'!$B$62,AI8+AH9-AQ8)))</f>
        <v>35</v>
      </c>
      <c r="AJ9" s="14">
        <f>AI9*VLOOKUP('Données projet'!$B$10,Paramètres!$A$1:$I$89,3,0)*VLOOKUP('Données projet'!$B$10,Paramètres!$A$1:$I$89,5,0)</f>
        <v>31.667999999999996</v>
      </c>
      <c r="AK9" s="14">
        <f t="shared" si="35"/>
        <v>9.7611381424130652</v>
      </c>
      <c r="AL9" s="22">
        <f t="shared" si="4"/>
        <v>72.155748931369416</v>
      </c>
      <c r="AM9" s="62">
        <f t="shared" si="5"/>
        <v>336.15574893136943</v>
      </c>
      <c r="AN9" s="62">
        <f ca="1">AVERAGE(OFFSET($AM$3,0,0,'Données projet'!$E$10+1,1))-AVERAGE(OFFSET($H$3,0,0,'Données projet'!$E$10+1,1))</f>
        <v>302.6112905010138</v>
      </c>
      <c r="AO9" s="62">
        <f t="shared" si="36"/>
        <v>423.44006663873375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282.30208448518505</v>
      </c>
      <c r="S10" s="62">
        <f ca="1">AVERAGE(OFFSET($R$3,0,0,'Données projet'!$E$9+1,1))-AVERAGE(OFFSET($H$3,0,0,'Données projet'!$E$9+1,1))</f>
        <v>195.80903373714432</v>
      </c>
      <c r="T10" s="62">
        <f t="shared" si="34"/>
        <v>388.30721786668977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11</v>
      </c>
      <c r="AI10" s="14">
        <f>IF('Données projet'!$A$62&gt;35,AI9+AH10-AQ9,IF(A10&lt;'Données projet'!$A$62,$AF$205^A10,IF(A10='Données projet'!$A$62,'Données projet'!$B$62,AI9+AH10-AQ9)))</f>
        <v>46</v>
      </c>
      <c r="AJ10" s="14">
        <f>AI10*VLOOKUP('Données projet'!$B$10,Paramètres!$A$1:$I$89,3,0)*VLOOKUP('Données projet'!$B$10,Paramètres!$A$1:$I$89,5,0)</f>
        <v>41.620800000000003</v>
      </c>
      <c r="AK10" s="14">
        <f t="shared" si="35"/>
        <v>12.427241987862391</v>
      </c>
      <c r="AL10" s="22">
        <f t="shared" si="4"/>
        <v>94.133673128860323</v>
      </c>
      <c r="AM10" s="62">
        <f t="shared" si="5"/>
        <v>359.35589535108255</v>
      </c>
      <c r="AN10" s="62">
        <f ca="1">AVERAGE(OFFSET($AM$3,0,0,'Données projet'!$E$10+1,1))-AVERAGE(OFFSET($H$3,0,0,'Données projet'!$E$10+1,1))</f>
        <v>302.6112905010138</v>
      </c>
      <c r="AO10" s="62">
        <f t="shared" si="36"/>
        <v>423.44006663873375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290.53923755068712</v>
      </c>
      <c r="S11" s="62">
        <f ca="1">AVERAGE(OFFSET($R$3,0,0,'Données projet'!$E$9+1,1))-AVERAGE(OFFSET($H$3,0,0,'Données projet'!$E$9+1,1))</f>
        <v>195.80903373714432</v>
      </c>
      <c r="T11" s="62">
        <f t="shared" si="34"/>
        <v>388.30721786668977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11</v>
      </c>
      <c r="AI11" s="14">
        <f>IF('Données projet'!$A$62&gt;35,AI10+AH11-AQ10,IF(A11&lt;'Données projet'!$A$62,$AF$205^A11,IF(A11='Données projet'!$A$62,'Données projet'!$B$62,AI10+AH11-AQ10)))</f>
        <v>57</v>
      </c>
      <c r="AJ11" s="14">
        <f>AI11*VLOOKUP('Données projet'!$B$10,Paramètres!$A$1:$I$89,3,0)*VLOOKUP('Données projet'!$B$10,Paramètres!$A$1:$I$89,5,0)</f>
        <v>51.573599999999992</v>
      </c>
      <c r="AK11" s="14">
        <f t="shared" si="35"/>
        <v>15.019412930275323</v>
      </c>
      <c r="AL11" s="22">
        <f t="shared" si="4"/>
        <v>115.98283085356282</v>
      </c>
      <c r="AM11" s="62">
        <f t="shared" si="5"/>
        <v>382.42727529800726</v>
      </c>
      <c r="AN11" s="62">
        <f ca="1">AVERAGE(OFFSET($AM$3,0,0,'Données projet'!$E$10+1,1))-AVERAGE(OFFSET($H$3,0,0,'Données projet'!$E$10+1,1))</f>
        <v>302.6112905010138</v>
      </c>
      <c r="AO11" s="62">
        <f t="shared" si="36"/>
        <v>423.44006663873375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301.66868961206603</v>
      </c>
      <c r="S12" s="62">
        <f ca="1">AVERAGE(OFFSET($R$3,0,0,'Données projet'!$E$9+1,1))-AVERAGE(OFFSET($H$3,0,0,'Données projet'!$E$9+1,1))</f>
        <v>195.80903373714432</v>
      </c>
      <c r="T12" s="62">
        <f t="shared" si="34"/>
        <v>388.30721786668977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11</v>
      </c>
      <c r="AI12" s="14">
        <f>IF('Données projet'!$A$62&gt;35,AI11+AH12-AQ11,IF(A12&lt;'Données projet'!$A$62,$AF$205^A12,IF(A12='Données projet'!$A$62,'Données projet'!$B$62,AI11+AH12-AQ11)))</f>
        <v>68</v>
      </c>
      <c r="AJ12" s="14">
        <f>AI12*VLOOKUP('Données projet'!$B$10,Paramètres!$A$1:$I$89,3,0)*VLOOKUP('Données projet'!$B$10,Paramètres!$A$1:$I$89,5,0)</f>
        <v>61.526399999999995</v>
      </c>
      <c r="AK12" s="14">
        <f t="shared" si="35"/>
        <v>17.553624762159014</v>
      </c>
      <c r="AL12" s="22">
        <f t="shared" si="4"/>
        <v>137.73104312742694</v>
      </c>
      <c r="AM12" s="62">
        <f t="shared" si="5"/>
        <v>405.39770979409366</v>
      </c>
      <c r="AN12" s="62">
        <f ca="1">AVERAGE(OFFSET($AM$3,0,0,'Données projet'!$E$10+1,1))-AVERAGE(OFFSET($H$3,0,0,'Données projet'!$E$10+1,1))</f>
        <v>302.6112905010138</v>
      </c>
      <c r="AO12" s="62">
        <f t="shared" si="36"/>
        <v>423.44006663873375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316.88722481428681</v>
      </c>
      <c r="S13" s="62">
        <f ca="1">AVERAGE(OFFSET($R$3,0,0,'Données projet'!$E$9+1,1))-AVERAGE(OFFSET($H$3,0,0,'Données projet'!$E$9+1,1))</f>
        <v>195.80903373714432</v>
      </c>
      <c r="T13" s="62">
        <f t="shared" si="34"/>
        <v>388.30721786668977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79</v>
      </c>
      <c r="AG13" s="13">
        <f>VLOOKUP(A13,'Données projet'!$A$61:$I$81,9,0)</f>
        <v>11</v>
      </c>
      <c r="AH13" s="13">
        <f t="array" ref="AH13">INDEX(AG:AG,MIN(IF(ISNUMBER(AG13:AG209),ROW(AG13:AG209),"")))</f>
        <v>11</v>
      </c>
      <c r="AI13" s="14">
        <f>IF('Données projet'!$A$62&gt;35,AI12+AH13-AQ12,IF(A13&lt;'Données projet'!$A$62,$AF$205^A13,IF(A13='Données projet'!$A$62,'Données projet'!$B$62,AI12+AH13-AQ12)))</f>
        <v>79</v>
      </c>
      <c r="AJ13" s="14">
        <f>AI13*VLOOKUP('Données projet'!$B$10,Paramètres!$A$1:$I$89,3,0)*VLOOKUP('Données projet'!$B$10,Paramètres!$A$1:$I$89,5,0)</f>
        <v>71.479200000000006</v>
      </c>
      <c r="AK13" s="14">
        <f t="shared" si="35"/>
        <v>20.040346808618612</v>
      </c>
      <c r="AL13" s="22">
        <f t="shared" si="4"/>
        <v>159.39654402501074</v>
      </c>
      <c r="AM13" s="62">
        <f t="shared" si="5"/>
        <v>428.28543291389963</v>
      </c>
      <c r="AN13" s="62">
        <f ca="1">AVERAGE(OFFSET($AM$3,0,0,'Données projet'!$E$10+1,1))-AVERAGE(OFFSET($H$3,0,0,'Données projet'!$E$10+1,1))</f>
        <v>302.6112905010138</v>
      </c>
      <c r="AO13" s="62">
        <f t="shared" si="36"/>
        <v>423.44006663873375</v>
      </c>
      <c r="AP13" s="16">
        <f>IF(ISNA(VLOOKUP(A13,'Données projet'!$A$61:$I$81,3,0)),0,VLOOKUP(A13,'Données projet'!$A$61:$I$81,3,0))</f>
        <v>2</v>
      </c>
      <c r="AQ13" s="16">
        <f>IF(ISNA(VLOOKUP(A13,'Données projet'!$A$61:$I$81,4,0)),0,VLOOKUP(A13,'Données projet'!$A$61:$I$81,4,0))</f>
        <v>21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337.88846313652766</v>
      </c>
      <c r="S14" s="62">
        <f ca="1">AVERAGE(OFFSET($R$3,0,0,'Données projet'!$E$9+1,1))-AVERAGE(OFFSET($H$3,0,0,'Données projet'!$E$9+1,1))</f>
        <v>195.80903373714432</v>
      </c>
      <c r="T14" s="62">
        <f t="shared" si="34"/>
        <v>388.30721786668977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11</v>
      </c>
      <c r="AI14" s="14">
        <f>IF('Données projet'!$A$62&gt;35,AI13+AH14-AQ13,IF(A14&lt;'Données projet'!$A$62,$AF$205^A14,IF(A14='Données projet'!$A$62,'Données projet'!$B$62,AI13+AH14-AQ13)))</f>
        <v>69</v>
      </c>
      <c r="AJ14" s="14">
        <f>AI14*VLOOKUP('Données projet'!$B$10,Paramètres!$A$1:$I$89,3,0)*VLOOKUP('Données projet'!$B$10,Paramètres!$A$1:$I$89,5,0)</f>
        <v>62.431199999999997</v>
      </c>
      <c r="AK14" s="14">
        <f t="shared" si="35"/>
        <v>17.781524466058684</v>
      </c>
      <c r="AL14" s="22">
        <f t="shared" si="4"/>
        <v>139.70382844505221</v>
      </c>
      <c r="AM14" s="62">
        <f t="shared" si="5"/>
        <v>409.81493955616338</v>
      </c>
      <c r="AN14" s="62">
        <f ca="1">AVERAGE(OFFSET($AM$3,0,0,'Données projet'!$E$10+1,1))-AVERAGE(OFFSET($H$3,0,0,'Données projet'!$E$10+1,1))</f>
        <v>302.6112905010138</v>
      </c>
      <c r="AO14" s="62">
        <f t="shared" si="36"/>
        <v>423.44006663873375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367.06973543886363</v>
      </c>
      <c r="S15" s="62">
        <f ca="1">AVERAGE(OFFSET($R$3,0,0,'Données projet'!$E$9+1,1))-AVERAGE(OFFSET($H$3,0,0,'Données projet'!$E$9+1,1))</f>
        <v>195.80903373714432</v>
      </c>
      <c r="T15" s="62">
        <f t="shared" si="34"/>
        <v>388.30721786668977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11</v>
      </c>
      <c r="AI15" s="14">
        <f>IF('Données projet'!$A$62&gt;35,AI14+AH15-AQ14,IF(A15&lt;'Données projet'!$A$62,$AF$205^A15,IF(A15='Données projet'!$A$62,'Données projet'!$B$62,AI14+AH15-AQ14)))</f>
        <v>80</v>
      </c>
      <c r="AJ15" s="14">
        <f>AI15*VLOOKUP('Données projet'!$B$10,Paramètres!$A$1:$I$89,3,0)*VLOOKUP('Données projet'!$B$10,Paramètres!$A$1:$I$89,5,0)</f>
        <v>72.384</v>
      </c>
      <c r="AK15" s="14">
        <f t="shared" si="35"/>
        <v>20.264329923804397</v>
      </c>
      <c r="AL15" s="22">
        <f t="shared" si="4"/>
        <v>161.362507950626</v>
      </c>
      <c r="AM15" s="62">
        <f t="shared" si="5"/>
        <v>432.69584128395934</v>
      </c>
      <c r="AN15" s="62">
        <f ca="1">AVERAGE(OFFSET($AM$3,0,0,'Données projet'!$E$10+1,1))-AVERAGE(OFFSET($H$3,0,0,'Données projet'!$E$10+1,1))</f>
        <v>302.6112905010138</v>
      </c>
      <c r="AO15" s="62">
        <f t="shared" si="36"/>
        <v>423.44006663873375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407.82533175374891</v>
      </c>
      <c r="S16" s="62">
        <f ca="1">AVERAGE(OFFSET($R$3,0,0,'Données projet'!$E$9+1,1))-AVERAGE(OFFSET($H$3,0,0,'Données projet'!$E$9+1,1))</f>
        <v>195.80903373714432</v>
      </c>
      <c r="T16" s="62">
        <f t="shared" si="34"/>
        <v>388.30721786668977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11</v>
      </c>
      <c r="AI16" s="14">
        <f>IF('Données projet'!$A$62&gt;35,AI15+AH16-AQ15,IF(A16&lt;'Données projet'!$A$62,$AF$205^A16,IF(A16='Données projet'!$A$62,'Données projet'!$B$62,AI15+AH16-AQ15)))</f>
        <v>91</v>
      </c>
      <c r="AJ16" s="14">
        <f>AI16*VLOOKUP('Données projet'!$B$10,Paramètres!$A$1:$I$89,3,0)*VLOOKUP('Données projet'!$B$10,Paramètres!$A$1:$I$89,5,0)</f>
        <v>82.336799999999997</v>
      </c>
      <c r="AK16" s="14">
        <f t="shared" si="35"/>
        <v>22.707582950885364</v>
      </c>
      <c r="AL16" s="22">
        <f t="shared" si="4"/>
        <v>182.95230030612535</v>
      </c>
      <c r="AM16" s="62">
        <f t="shared" si="5"/>
        <v>455.50785586168092</v>
      </c>
      <c r="AN16" s="62">
        <f ca="1">AVERAGE(OFFSET($AM$3,0,0,'Données projet'!$E$10+1,1))-AVERAGE(OFFSET($H$3,0,0,'Données projet'!$E$10+1,1))</f>
        <v>302.6112905010138</v>
      </c>
      <c r="AO16" s="62">
        <f t="shared" si="36"/>
        <v>423.44006663873375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396.77003176132837</v>
      </c>
      <c r="S17" s="62">
        <f ca="1">AVERAGE(OFFSET($R$3,0,0,'Données projet'!$E$9+1,1))-AVERAGE(OFFSET($H$3,0,0,'Données projet'!$E$9+1,1))</f>
        <v>195.80903373714432</v>
      </c>
      <c r="T17" s="62">
        <f t="shared" si="34"/>
        <v>388.30721786668977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11</v>
      </c>
      <c r="AI17" s="14">
        <f>IF('Données projet'!$A$62&gt;35,AI16+AH17-AQ16,IF(A17&lt;'Données projet'!$A$62,$AF$205^A17,IF(A17='Données projet'!$A$62,'Données projet'!$B$62,AI16+AH17-AQ16)))</f>
        <v>102</v>
      </c>
      <c r="AJ17" s="14">
        <f>AI17*VLOOKUP('Données projet'!$B$10,Paramètres!$A$1:$I$89,3,0)*VLOOKUP('Données projet'!$B$10,Paramètres!$A$1:$I$89,5,0)</f>
        <v>92.289599999999993</v>
      </c>
      <c r="AK17" s="14">
        <f t="shared" si="35"/>
        <v>25.116611431659546</v>
      </c>
      <c r="AL17" s="22">
        <f t="shared" si="4"/>
        <v>204.48248491014036</v>
      </c>
      <c r="AM17" s="62">
        <f t="shared" si="5"/>
        <v>478.26026268791816</v>
      </c>
      <c r="AN17" s="62">
        <f ca="1">AVERAGE(OFFSET($AM$3,0,0,'Données projet'!$E$10+1,1))-AVERAGE(OFFSET($H$3,0,0,'Données projet'!$E$10+1,1))</f>
        <v>302.6112905010138</v>
      </c>
      <c r="AO17" s="62">
        <f t="shared" si="36"/>
        <v>423.44006663873375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422.26006612469439</v>
      </c>
      <c r="S18" s="62">
        <f ca="1">AVERAGE(OFFSET($R$3,0,0,'Données projet'!$E$9+1,1))-AVERAGE(OFFSET($H$3,0,0,'Données projet'!$E$9+1,1))</f>
        <v>195.80903373714432</v>
      </c>
      <c r="T18" s="62">
        <f t="shared" si="34"/>
        <v>388.30721786668977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113</v>
      </c>
      <c r="AG18" s="13">
        <f>VLOOKUP(A18,'Données projet'!$A$61:$I$81,9,0)</f>
        <v>11</v>
      </c>
      <c r="AH18" s="13">
        <f t="array" ref="AH18">INDEX(AG:AG,MIN(IF(ISNUMBER(AG18:AG214),ROW(AG18:AG214),"")))</f>
        <v>11</v>
      </c>
      <c r="AI18" s="14">
        <f>IF('Données projet'!$A$62&gt;35,AI17+AH18-AQ17,IF(A18&lt;'Données projet'!$A$62,$AF$205^A18,IF(A18='Données projet'!$A$62,'Données projet'!$B$62,AI17+AH18-AQ17)))</f>
        <v>113</v>
      </c>
      <c r="AJ18" s="14">
        <f>AI18*VLOOKUP('Données projet'!$B$10,Paramètres!$A$1:$I$89,3,0)*VLOOKUP('Données projet'!$B$10,Paramètres!$A$1:$I$89,5,0)</f>
        <v>102.24239999999999</v>
      </c>
      <c r="AK18" s="14">
        <f t="shared" si="35"/>
        <v>27.495526976991481</v>
      </c>
      <c r="AL18" s="22">
        <f t="shared" si="4"/>
        <v>225.96022281826015</v>
      </c>
      <c r="AM18" s="62">
        <f t="shared" si="5"/>
        <v>500.96022281826015</v>
      </c>
      <c r="AN18" s="62">
        <f ca="1">AVERAGE(OFFSET($AM$3,0,0,'Données projet'!$E$10+1,1))-AVERAGE(OFFSET($H$3,0,0,'Données projet'!$E$10+1,1))</f>
        <v>302.6112905010138</v>
      </c>
      <c r="AO18" s="62">
        <f t="shared" si="36"/>
        <v>423.44006663873375</v>
      </c>
      <c r="AP18" s="16">
        <f>IF(ISNA(VLOOKUP(A18,'Données projet'!$A$61:$I$81,3,0)),0,VLOOKUP(A18,'Données projet'!$A$61:$I$81,3,0))</f>
        <v>3</v>
      </c>
      <c r="AQ18" s="16">
        <f>IF(ISNA(VLOOKUP(A18,'Données projet'!$A$61:$I$81,4,0)),0,VLOOKUP(A18,'Données projet'!$A$61:$I$81,4,0))</f>
        <v>17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447.65437831933548</v>
      </c>
      <c r="S19" s="62">
        <f ca="1">AVERAGE(OFFSET($R$3,0,0,'Données projet'!$E$9+1,1))-AVERAGE(OFFSET($H$3,0,0,'Données projet'!$E$9+1,1))</f>
        <v>195.80903373714432</v>
      </c>
      <c r="T19" s="62">
        <f t="shared" si="34"/>
        <v>388.30721786668977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9.8000000000000007</v>
      </c>
      <c r="AI19" s="14">
        <f>IF('Données projet'!$A$62&gt;35,AI18+AH19-AQ18,IF(A19&lt;'Données projet'!$A$62,$AF$205^A19,IF(A19='Données projet'!$A$62,'Données projet'!$B$62,AI18+AH19-AQ18)))</f>
        <v>105.8</v>
      </c>
      <c r="AJ19" s="14">
        <f>AI19*VLOOKUP('Données projet'!$B$10,Paramètres!$A$1:$I$89,3,0)*VLOOKUP('Données projet'!$B$10,Paramètres!$A$1:$I$89,5,0)</f>
        <v>95.72784</v>
      </c>
      <c r="AK19" s="14">
        <f t="shared" si="35"/>
        <v>25.941642560384413</v>
      </c>
      <c r="AL19" s="22">
        <f t="shared" si="4"/>
        <v>211.90768212600287</v>
      </c>
      <c r="AM19" s="62">
        <f t="shared" si="5"/>
        <v>488.12990434822507</v>
      </c>
      <c r="AN19" s="62">
        <f ca="1">AVERAGE(OFFSET($AM$3,0,0,'Données projet'!$E$10+1,1))-AVERAGE(OFFSET($H$3,0,0,'Données projet'!$E$10+1,1))</f>
        <v>302.6112905010138</v>
      </c>
      <c r="AO19" s="62">
        <f t="shared" si="36"/>
        <v>423.44006663873375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472.9683877652933</v>
      </c>
      <c r="S20" s="62">
        <f ca="1">AVERAGE(OFFSET($R$3,0,0,'Données projet'!$E$9+1,1))-AVERAGE(OFFSET($H$3,0,0,'Données projet'!$E$9+1,1))</f>
        <v>195.80903373714432</v>
      </c>
      <c r="T20" s="62">
        <f t="shared" si="34"/>
        <v>388.30721786668977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9.8000000000000007</v>
      </c>
      <c r="AI20" s="14">
        <f>IF('Données projet'!$A$62&gt;35,AI19+AH20-AQ19,IF(A20&lt;'Données projet'!$A$62,$AF$205^A20,IF(A20='Données projet'!$A$62,'Données projet'!$B$62,AI19+AH20-AQ19)))</f>
        <v>115.6</v>
      </c>
      <c r="AJ20" s="14">
        <f>AI20*VLOOKUP('Données projet'!$B$10,Paramètres!$A$1:$I$89,3,0)*VLOOKUP('Données projet'!$B$10,Paramètres!$A$1:$I$89,5,0)</f>
        <v>104.59487999999999</v>
      </c>
      <c r="AK20" s="14">
        <f t="shared" si="35"/>
        <v>28.053785838854211</v>
      </c>
      <c r="AL20" s="22">
        <f t="shared" si="4"/>
        <v>231.02975966933766</v>
      </c>
      <c r="AM20" s="62">
        <f t="shared" si="5"/>
        <v>508.47420411378209</v>
      </c>
      <c r="AN20" s="62">
        <f ca="1">AVERAGE(OFFSET($AM$3,0,0,'Données projet'!$E$10+1,1))-AVERAGE(OFFSET($H$3,0,0,'Données projet'!$E$10+1,1))</f>
        <v>302.6112905010138</v>
      </c>
      <c r="AO20" s="62">
        <f t="shared" si="36"/>
        <v>423.44006663873375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498.21338863650169</v>
      </c>
      <c r="S21" s="62">
        <f ca="1">AVERAGE(OFFSET($R$3,0,0,'Données projet'!$E$9+1,1))-AVERAGE(OFFSET($H$3,0,0,'Données projet'!$E$9+1,1))</f>
        <v>195.80903373714432</v>
      </c>
      <c r="T21" s="62">
        <f t="shared" si="34"/>
        <v>388.30721786668977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9.8000000000000007</v>
      </c>
      <c r="AI21" s="14">
        <f>IF('Données projet'!$A$62&gt;35,AI20+AH21-AQ20,IF(A21&lt;'Données projet'!$A$62,$AF$205^A21,IF(A21='Données projet'!$A$62,'Données projet'!$B$62,AI20+AH21-AQ20)))</f>
        <v>125.39999999999999</v>
      </c>
      <c r="AJ21" s="14">
        <f>AI21*VLOOKUP('Données projet'!$B$10,Paramètres!$A$1:$I$89,3,0)*VLOOKUP('Données projet'!$B$10,Paramètres!$A$1:$I$89,5,0)</f>
        <v>113.46191999999998</v>
      </c>
      <c r="AK21" s="14">
        <f t="shared" si="35"/>
        <v>30.145163126535493</v>
      </c>
      <c r="AL21" s="22">
        <f t="shared" si="4"/>
        <v>250.11566977871595</v>
      </c>
      <c r="AM21" s="62">
        <f t="shared" si="5"/>
        <v>528.78233644538261</v>
      </c>
      <c r="AN21" s="62">
        <f ca="1">AVERAGE(OFFSET($AM$3,0,0,'Données projet'!$E$10+1,1))-AVERAGE(OFFSET($H$3,0,0,'Données projet'!$E$10+1,1))</f>
        <v>302.6112905010138</v>
      </c>
      <c r="AO21" s="62">
        <f t="shared" si="36"/>
        <v>423.44006663873375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470.75559780649564</v>
      </c>
      <c r="S22" s="62">
        <f ca="1">AVERAGE(OFFSET($R$3,0,0,'Données projet'!$E$9+1,1))-AVERAGE(OFFSET($H$3,0,0,'Données projet'!$E$9+1,1))</f>
        <v>195.80903373714432</v>
      </c>
      <c r="T22" s="62">
        <f t="shared" si="34"/>
        <v>388.30721786668977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9.8000000000000007</v>
      </c>
      <c r="AI22" s="14">
        <f>IF('Données projet'!$A$62&gt;35,AI21+AH22-AQ21,IF(A22&lt;'Données projet'!$A$62,$AF$205^A22,IF(A22='Données projet'!$A$62,'Données projet'!$B$62,AI21+AH22-AQ21)))</f>
        <v>135.19999999999999</v>
      </c>
      <c r="AJ22" s="14">
        <f>AI22*VLOOKUP('Données projet'!$B$10,Paramètres!$A$1:$I$89,3,0)*VLOOKUP('Données projet'!$B$10,Paramètres!$A$1:$I$89,5,0)</f>
        <v>122.32895999999998</v>
      </c>
      <c r="AK22" s="14">
        <f t="shared" si="35"/>
        <v>32.217581794883031</v>
      </c>
      <c r="AL22" s="22">
        <f t="shared" si="4"/>
        <v>269.16856029275453</v>
      </c>
      <c r="AM22" s="62">
        <f t="shared" si="5"/>
        <v>549.05744918164339</v>
      </c>
      <c r="AN22" s="62">
        <f ca="1">AVERAGE(OFFSET($AM$3,0,0,'Données projet'!$E$10+1,1))-AVERAGE(OFFSET($H$3,0,0,'Données projet'!$E$10+1,1))</f>
        <v>302.6112905010138</v>
      </c>
      <c r="AO22" s="62">
        <f t="shared" si="36"/>
        <v>423.44006663873375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494.98076446085526</v>
      </c>
      <c r="S23" s="62">
        <f ca="1">AVERAGE(OFFSET($R$3,0,0,'Données projet'!$E$9+1,1))-AVERAGE(OFFSET($H$3,0,0,'Données projet'!$E$9+1,1))</f>
        <v>195.80903373714432</v>
      </c>
      <c r="T23" s="62">
        <f t="shared" si="34"/>
        <v>388.30721786668977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145</v>
      </c>
      <c r="AG23" s="13">
        <f>VLOOKUP(A23,'Données projet'!$A$61:$I$81,9,0)</f>
        <v>9.8000000000000007</v>
      </c>
      <c r="AH23" s="13">
        <f t="array" ref="AH23">INDEX(AG:AG,MIN(IF(ISNUMBER(AG23:AG219),ROW(AG23:AG219),"")))</f>
        <v>9.8000000000000007</v>
      </c>
      <c r="AI23" s="14">
        <f>IF('Données projet'!$A$62&gt;35,AI22+AH23-AQ22,IF(A23&lt;'Données projet'!$A$62,$AF$205^A23,IF(A23='Données projet'!$A$62,'Données projet'!$B$62,AI22+AH23-AQ22)))</f>
        <v>145</v>
      </c>
      <c r="AJ23" s="14">
        <f>AI23*VLOOKUP('Données projet'!$B$10,Paramètres!$A$1:$I$89,3,0)*VLOOKUP('Données projet'!$B$10,Paramètres!$A$1:$I$89,5,0)</f>
        <v>131.196</v>
      </c>
      <c r="AK23" s="14">
        <f t="shared" si="35"/>
        <v>34.272572346624997</v>
      </c>
      <c r="AL23" s="22">
        <f t="shared" si="4"/>
        <v>288.19109683703851</v>
      </c>
      <c r="AM23" s="62">
        <f t="shared" si="5"/>
        <v>569.30220794814966</v>
      </c>
      <c r="AN23" s="62">
        <f ca="1">AVERAGE(OFFSET($AM$3,0,0,'Données projet'!$E$10+1,1))-AVERAGE(OFFSET($H$3,0,0,'Données projet'!$E$10+1,1))</f>
        <v>302.6112905010138</v>
      </c>
      <c r="AO23" s="62">
        <f t="shared" si="36"/>
        <v>423.44006663873375</v>
      </c>
      <c r="AP23" s="16">
        <f>IF(ISNA(VLOOKUP(A23,'Données projet'!$A$61:$I$81,3,0)),0,VLOOKUP(A23,'Données projet'!$A$61:$I$81,3,0))</f>
        <v>4</v>
      </c>
      <c r="AQ23" s="16">
        <f>IF(ISNA(VLOOKUP(A23,'Données projet'!$A$61:$I$81,4,0)),0,VLOOKUP(A23,'Données projet'!$A$61:$I$81,4,0))</f>
        <v>14</v>
      </c>
      <c r="AR23" s="17">
        <f>IF(ISNA(VLOOKUP(A23,'Données projet'!$A$61:$I$81,5,0)),0%,VLOOKUP(A23,'Données projet'!$A$61:$I$81,5,0)*VLOOKUP('Données projet'!$B$10,Paramètres!$A$1:$I$89,7,0))</f>
        <v>0.06</v>
      </c>
      <c r="AS23" s="17">
        <f>IF(ISNA(VLOOKUP(A23,'Données projet'!$A$61:$I$81,6,0)),0%,VLOOKUP(A23,'Données projet'!$A$61:$I$81,6,0)*VLOOKUP('Données projet'!$B$10,Paramètres!$A$1:$I$89,7,0))</f>
        <v>0.09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0.84019286349718703</v>
      </c>
      <c r="AV23" s="23">
        <f>EXP(-LN(2)/25)*AV22+(1-EXP(-LN(2)/25))/(LN(2)/25)*Calculateur!AQ23*Calculateur!AS23*VLOOKUP('Données projet'!$B$10,Paramètres!$A$1:$I$89,3,0)*0.475*44/12</f>
        <v>1.2553270560825289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2.0955199195797158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519.14894137493934</v>
      </c>
      <c r="S24" s="62">
        <f ca="1">AVERAGE(OFFSET($R$3,0,0,'Données projet'!$E$9+1,1))-AVERAGE(OFFSET($H$3,0,0,'Données projet'!$E$9+1,1))</f>
        <v>195.80903373714432</v>
      </c>
      <c r="T24" s="62">
        <f t="shared" si="34"/>
        <v>388.30721786668977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8.4</v>
      </c>
      <c r="AI24" s="14">
        <f>IF('Données projet'!$A$62&gt;35,AI23+AH24-AQ23,IF(A24&lt;'Données projet'!$A$62,$AF$205^A24,IF(A24='Données projet'!$A$62,'Données projet'!$B$62,AI23+AH24-AQ23)))</f>
        <v>139.4</v>
      </c>
      <c r="AJ24" s="14">
        <f>AI24*VLOOKUP('Données projet'!$B$10,Paramètres!$A$1:$I$89,3,0)*VLOOKUP('Données projet'!$B$10,Paramètres!$A$1:$I$89,5,0)</f>
        <v>126.12912000000001</v>
      </c>
      <c r="AK24" s="14">
        <f t="shared" si="35"/>
        <v>33.100345121748241</v>
      </c>
      <c r="AL24" s="22">
        <f t="shared" si="4"/>
        <v>277.32465175371152</v>
      </c>
      <c r="AM24" s="62">
        <f t="shared" si="5"/>
        <v>559.65798508704484</v>
      </c>
      <c r="AN24" s="62">
        <f ca="1">AVERAGE(OFFSET($AM$3,0,0,'Données projet'!$E$10+1,1))-AVERAGE(OFFSET($H$3,0,0,'Données projet'!$E$10+1,1))</f>
        <v>302.6112905010138</v>
      </c>
      <c r="AO24" s="62">
        <f t="shared" si="36"/>
        <v>423.44006663873375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0.82371719391105203</v>
      </c>
      <c r="AV24" s="23">
        <f>EXP(-LN(2)/25)*AV23+(1-EXP(-LN(2)/25))/(LN(2)/25)*Calculateur!AQ24*Calculateur!AS24*VLOOKUP('Données projet'!$B$10,Paramètres!$A$1:$I$89,3,0)*0.475*44/12</f>
        <v>1.2210000717191714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2.0447172656302235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543.26642667171188</v>
      </c>
      <c r="S25" s="62">
        <f ca="1">AVERAGE(OFFSET($R$3,0,0,'Données projet'!$E$9+1,1))-AVERAGE(OFFSET($H$3,0,0,'Données projet'!$E$9+1,1))</f>
        <v>195.80903373714432</v>
      </c>
      <c r="T25" s="62">
        <f t="shared" si="34"/>
        <v>388.30721786668977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8.4</v>
      </c>
      <c r="AI25" s="14">
        <f>IF('Données projet'!$A$62&gt;35,AI24+AH25-AQ24,IF(A25&lt;'Données projet'!$A$62,$AF$205^A25,IF(A25='Données projet'!$A$62,'Données projet'!$B$62,AI24+AH25-AQ24)))</f>
        <v>147.80000000000001</v>
      </c>
      <c r="AJ25" s="14">
        <f>AI25*VLOOKUP('Données projet'!$B$10,Paramètres!$A$1:$I$89,3,0)*VLOOKUP('Données projet'!$B$10,Paramètres!$A$1:$I$89,5,0)</f>
        <v>133.72944000000001</v>
      </c>
      <c r="AK25" s="14">
        <f t="shared" si="35"/>
        <v>34.856699711744326</v>
      </c>
      <c r="AL25" s="22">
        <f t="shared" si="4"/>
        <v>293.62085999795471</v>
      </c>
      <c r="AM25" s="62">
        <f t="shared" si="5"/>
        <v>577.1764155535102</v>
      </c>
      <c r="AN25" s="62">
        <f ca="1">AVERAGE(OFFSET($AM$3,0,0,'Données projet'!$E$10+1,1))-AVERAGE(OFFSET($H$3,0,0,'Données projet'!$E$10+1,1))</f>
        <v>302.6112905010138</v>
      </c>
      <c r="AO25" s="62">
        <f t="shared" si="36"/>
        <v>423.44006663873375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0.80756460215633497</v>
      </c>
      <c r="AV25" s="23">
        <f>EXP(-LN(2)/25)*AV24+(1-EXP(-LN(2)/25))/(LN(2)/25)*Calculateur!AQ25*Calculateur!AS25*VLOOKUP('Données projet'!$B$10,Paramètres!$A$1:$I$89,3,0)*0.475*44/12</f>
        <v>1.1876117605484076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1.9951763627047425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567.33831631272574</v>
      </c>
      <c r="S26" s="62">
        <f ca="1">AVERAGE(OFFSET($R$3,0,0,'Données projet'!$E$9+1,1))-AVERAGE(OFFSET($H$3,0,0,'Données projet'!$E$9+1,1))</f>
        <v>195.80903373714432</v>
      </c>
      <c r="T26" s="62">
        <f t="shared" si="34"/>
        <v>388.30721786668977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8.4</v>
      </c>
      <c r="AI26" s="14">
        <f>IF('Données projet'!$A$62&gt;35,AI25+AH26-AQ25,IF(A26&lt;'Données projet'!$A$62,$AF$205^A26,IF(A26='Données projet'!$A$62,'Données projet'!$B$62,AI25+AH26-AQ25)))</f>
        <v>156.20000000000002</v>
      </c>
      <c r="AJ26" s="14">
        <f>AI26*VLOOKUP('Données projet'!$B$10,Paramètres!$A$1:$I$89,3,0)*VLOOKUP('Données projet'!$B$10,Paramètres!$A$1:$I$89,5,0)</f>
        <v>141.32976000000002</v>
      </c>
      <c r="AK26" s="14">
        <f t="shared" si="35"/>
        <v>36.601467030988793</v>
      </c>
      <c r="AL26" s="22">
        <f t="shared" si="4"/>
        <v>309.89688707897216</v>
      </c>
      <c r="AM26" s="62">
        <f t="shared" si="5"/>
        <v>594.67466485674993</v>
      </c>
      <c r="AN26" s="62">
        <f ca="1">AVERAGE(OFFSET($AM$3,0,0,'Données projet'!$E$10+1,1))-AVERAGE(OFFSET($H$3,0,0,'Données projet'!$E$10+1,1))</f>
        <v>302.6112905010138</v>
      </c>
      <c r="AO26" s="62">
        <f t="shared" si="36"/>
        <v>423.44006663873375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0.79172875287381972</v>
      </c>
      <c r="AV26" s="23">
        <f>EXP(-LN(2)/25)*AV25+(1-EXP(-LN(2)/25))/(LN(2)/25)*Calculateur!AQ26*Calculateur!AS26*VLOOKUP('Données projet'!$B$10,Paramètres!$A$1:$I$89,3,0)*0.475*44/12</f>
        <v>1.1551364545024232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1.9468652073762429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15.142857142857142</v>
      </c>
      <c r="N27" s="14">
        <f>IF('Données projet'!$A$36&gt;35,N26+M27-V26,IF(A27&lt;'Données projet'!$A$36,$K$205^A27,IF(A27='Données projet'!$A$36,'Données projet'!$B$36,N26+M27-V26)))</f>
        <v>178.14285714285717</v>
      </c>
      <c r="O27" s="14">
        <f>N27*VLOOKUP('Données projet'!$B$9,Paramètres!$A$1:$I$89,3,0)*VLOOKUP('Données projet'!$B$9,Paramètres!$A$1:$I$89,5,0)</f>
        <v>106.5294285714286</v>
      </c>
      <c r="P27" s="14">
        <f t="shared" si="33"/>
        <v>28.511771457031461</v>
      </c>
      <c r="Q27" s="22">
        <f t="shared" si="2"/>
        <v>235.19675671623455</v>
      </c>
      <c r="R27" s="62">
        <f t="shared" si="0"/>
        <v>521.19675671623452</v>
      </c>
      <c r="S27" s="62">
        <f ca="1">AVERAGE(OFFSET($R$3,0,0,'Données projet'!$E$9+1,1))-AVERAGE(OFFSET($H$3,0,0,'Données projet'!$E$9+1,1))</f>
        <v>195.80903373714432</v>
      </c>
      <c r="T27" s="62">
        <f t="shared" si="34"/>
        <v>388.30721786668977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8.4</v>
      </c>
      <c r="AI27" s="14">
        <f>IF('Données projet'!$A$62&gt;35,AI26+AH27-AQ26,IF(A27&lt;'Données projet'!$A$62,$AF$205^A27,IF(A27='Données projet'!$A$62,'Données projet'!$B$62,AI26+AH27-AQ26)))</f>
        <v>164.60000000000002</v>
      </c>
      <c r="AJ27" s="14">
        <f>AI27*VLOOKUP('Données projet'!$B$10,Paramètres!$A$1:$I$89,3,0)*VLOOKUP('Données projet'!$B$10,Paramètres!$A$1:$I$89,5,0)</f>
        <v>148.93008</v>
      </c>
      <c r="AK27" s="14">
        <f t="shared" si="35"/>
        <v>38.335341256889777</v>
      </c>
      <c r="AL27" s="22">
        <f t="shared" si="4"/>
        <v>326.1539420224164</v>
      </c>
      <c r="AM27" s="62">
        <f t="shared" si="5"/>
        <v>612.15394202241646</v>
      </c>
      <c r="AN27" s="62">
        <f ca="1">AVERAGE(OFFSET($AM$3,0,0,'Données projet'!$E$10+1,1))-AVERAGE(OFFSET($H$3,0,0,'Données projet'!$E$10+1,1))</f>
        <v>302.6112905010138</v>
      </c>
      <c r="AO27" s="62">
        <f t="shared" si="36"/>
        <v>423.44006663873375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0.77620343493682031</v>
      </c>
      <c r="AV27" s="23">
        <f>EXP(-LN(2)/25)*AV26+(1-EXP(-LN(2)/25))/(LN(2)/25)*Calculateur!AQ27*Calculateur!AS27*VLOOKUP('Données projet'!$B$10,Paramètres!$A$1:$I$89,3,0)*0.475*44/12</f>
        <v>1.1235491874080683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1.8997526223448886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15.142857142857142</v>
      </c>
      <c r="N28" s="14">
        <f>IF('Données projet'!$A$36&gt;35,N27+M28-V27,IF(A28&lt;'Données projet'!$A$36,$K$205^A28,IF(A28='Données projet'!$A$36,'Données projet'!$B$36,N27+M28-V27)))</f>
        <v>193.28571428571431</v>
      </c>
      <c r="O28" s="14">
        <f>N28*VLOOKUP('Données projet'!$B$9,Paramètres!$A$1:$I$89,3,0)*VLOOKUP('Données projet'!$B$9,Paramètres!$A$1:$I$89,5,0)</f>
        <v>115.58485714285716</v>
      </c>
      <c r="P28" s="14">
        <f t="shared" si="33"/>
        <v>30.643003864758004</v>
      </c>
      <c r="Q28" s="22">
        <f t="shared" si="2"/>
        <v>254.68019125492972</v>
      </c>
      <c r="R28" s="62">
        <f t="shared" si="0"/>
        <v>541.90241347715198</v>
      </c>
      <c r="S28" s="62">
        <f ca="1">AVERAGE(OFFSET($R$3,0,0,'Données projet'!$E$9+1,1))-AVERAGE(OFFSET($H$3,0,0,'Données projet'!$E$9+1,1))</f>
        <v>195.80903373714432</v>
      </c>
      <c r="T28" s="62">
        <f t="shared" si="34"/>
        <v>388.30721786668977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173</v>
      </c>
      <c r="AG28" s="13">
        <f>VLOOKUP(A28,'Données projet'!$A$61:$I$81,9,0)</f>
        <v>8.4</v>
      </c>
      <c r="AH28" s="13">
        <f t="array" ref="AH28">INDEX(AG:AG,MIN(IF(ISNUMBER(AG28:AG224),ROW(AG28:AG224),"")))</f>
        <v>8.4</v>
      </c>
      <c r="AI28" s="14">
        <f>IF('Données projet'!$A$62&gt;35,AI27+AH28-AQ27,IF(A28&lt;'Données projet'!$A$62,$AF$205^A28,IF(A28='Données projet'!$A$62,'Données projet'!$B$62,AI27+AH28-AQ27)))</f>
        <v>173.00000000000003</v>
      </c>
      <c r="AJ28" s="14">
        <f>AI28*VLOOKUP('Données projet'!$B$10,Paramètres!$A$1:$I$89,3,0)*VLOOKUP('Données projet'!$B$10,Paramètres!$A$1:$I$89,5,0)</f>
        <v>156.53040000000001</v>
      </c>
      <c r="AK28" s="14">
        <f t="shared" si="35"/>
        <v>40.058941713182037</v>
      </c>
      <c r="AL28" s="22">
        <f t="shared" si="4"/>
        <v>342.39310348379212</v>
      </c>
      <c r="AM28" s="62">
        <f t="shared" si="5"/>
        <v>629.61532570601435</v>
      </c>
      <c r="AN28" s="62">
        <f ca="1">AVERAGE(OFFSET($AM$3,0,0,'Données projet'!$E$10+1,1))-AVERAGE(OFFSET($H$3,0,0,'Données projet'!$E$10+1,1))</f>
        <v>302.6112905010138</v>
      </c>
      <c r="AO28" s="62">
        <f t="shared" si="36"/>
        <v>423.44006663873375</v>
      </c>
      <c r="AP28" s="16">
        <f>IF(ISNA(VLOOKUP(A28,'Données projet'!$A$61:$I$81,3,0)),0,VLOOKUP(A28,'Données projet'!$A$61:$I$81,3,0))</f>
        <v>5</v>
      </c>
      <c r="AQ28" s="16">
        <f>IF(ISNA(VLOOKUP(A28,'Données projet'!$A$61:$I$81,4,0)),0,VLOOKUP(A28,'Données projet'!$A$61:$I$81,4,0))</f>
        <v>11</v>
      </c>
      <c r="AR28" s="17">
        <f>IF(ISNA(VLOOKUP(A28,'Données projet'!$A$61:$I$81,5,0)),0%,VLOOKUP(A28,'Données projet'!$A$61:$I$81,5,0)*VLOOKUP('Données projet'!$B$10,Paramètres!$A$1:$I$89,7,0))</f>
        <v>0.09</v>
      </c>
      <c r="AS28" s="17">
        <f>IF(ISNA(VLOOKUP(A28,'Données projet'!$A$61:$I$81,6,0)),0%,VLOOKUP(A28,'Données projet'!$A$61:$I$81,6,0)*VLOOKUP('Données projet'!$B$10,Paramètres!$A$1:$I$89,7,0))</f>
        <v>0.06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1.7512098624224557</v>
      </c>
      <c r="AV28" s="23">
        <f>EXP(-LN(2)/25)*AV27+(1-EXP(-LN(2)/25))/(LN(2)/25)*Calculateur!AQ28*Calculateur!AS28*VLOOKUP('Données projet'!$B$10,Paramètres!$A$1:$I$89,3,0)*0.475*44/12</f>
        <v>1.7503779432653119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3.5015878056877678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15.142857142857142</v>
      </c>
      <c r="N29" s="14">
        <f>IF('Données projet'!$A$36&gt;35,N28+M29-V28,IF(A29&lt;'Données projet'!$A$36,$K$205^A29,IF(A29='Données projet'!$A$36,'Données projet'!$B$36,N28+M29-V28)))</f>
        <v>208.42857142857144</v>
      </c>
      <c r="O29" s="14">
        <f>N29*VLOOKUP('Données projet'!$B$9,Paramètres!$A$1:$I$89,3,0)*VLOOKUP('Données projet'!$B$9,Paramètres!$A$1:$I$89,5,0)</f>
        <v>124.64028571428574</v>
      </c>
      <c r="P29" s="14">
        <f t="shared" si="33"/>
        <v>32.754868392894572</v>
      </c>
      <c r="Q29" s="22">
        <f t="shared" si="2"/>
        <v>274.129893403339</v>
      </c>
      <c r="R29" s="62">
        <f t="shared" si="0"/>
        <v>562.57433784778345</v>
      </c>
      <c r="S29" s="62">
        <f ca="1">AVERAGE(OFFSET($R$3,0,0,'Données projet'!$E$9+1,1))-AVERAGE(OFFSET($H$3,0,0,'Données projet'!$E$9+1,1))</f>
        <v>195.80903373714432</v>
      </c>
      <c r="T29" s="62">
        <f t="shared" si="34"/>
        <v>388.30721786668977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6.8</v>
      </c>
      <c r="AI29" s="14">
        <f>IF('Données projet'!$A$62&gt;35,AI28+AH29-AQ28,IF(A29&lt;'Données projet'!$A$62,$AF$205^A29,IF(A29='Données projet'!$A$62,'Données projet'!$B$62,AI28+AH29-AQ28)))</f>
        <v>168.80000000000004</v>
      </c>
      <c r="AJ29" s="14">
        <f>AI29*VLOOKUP('Données projet'!$B$10,Paramètres!$A$1:$I$89,3,0)*VLOOKUP('Données projet'!$B$10,Paramètres!$A$1:$I$89,5,0)</f>
        <v>152.73024000000001</v>
      </c>
      <c r="AK29" s="14">
        <f t="shared" si="35"/>
        <v>39.198389597047516</v>
      </c>
      <c r="AL29" s="22">
        <f t="shared" si="4"/>
        <v>334.27569654819109</v>
      </c>
      <c r="AM29" s="62">
        <f t="shared" si="5"/>
        <v>622.72014099263561</v>
      </c>
      <c r="AN29" s="62">
        <f ca="1">AVERAGE(OFFSET($AM$3,0,0,'Données projet'!$E$10+1,1))-AVERAGE(OFFSET($H$3,0,0,'Données projet'!$E$10+1,1))</f>
        <v>302.6112905010138</v>
      </c>
      <c r="AO29" s="62">
        <f t="shared" si="36"/>
        <v>423.44006663873375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1.7168697051528981</v>
      </c>
      <c r="AV29" s="23">
        <f>EXP(-LN(2)/25)*AV28+(1-EXP(-LN(2)/25))/(LN(2)/25)*Calculateur!AQ29*Calculateur!AS29*VLOOKUP('Données projet'!$B$10,Paramètres!$A$1:$I$89,3,0)*0.475*44/12</f>
        <v>1.7025137663583465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3.4193834715112446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15.142857142857142</v>
      </c>
      <c r="N30" s="14">
        <f>IF('Données projet'!$A$36&gt;35,N29+M30-V29,IF(A30&lt;'Données projet'!$A$36,$K$205^A30,IF(A30='Données projet'!$A$36,'Données projet'!$B$36,N29+M30-V29)))</f>
        <v>223.57142857142858</v>
      </c>
      <c r="O30" s="14">
        <f>N30*VLOOKUP('Données projet'!$B$9,Paramètres!$A$1:$I$89,3,0)*VLOOKUP('Données projet'!$B$9,Paramètres!$A$1:$I$89,5,0)</f>
        <v>133.6957142857143</v>
      </c>
      <c r="P30" s="14">
        <f t="shared" si="33"/>
        <v>34.848932189999701</v>
      </c>
      <c r="Q30" s="22">
        <f t="shared" si="2"/>
        <v>293.54859261186851</v>
      </c>
      <c r="R30" s="62">
        <f t="shared" si="0"/>
        <v>583.2152592785352</v>
      </c>
      <c r="S30" s="62">
        <f ca="1">AVERAGE(OFFSET($R$3,0,0,'Données projet'!$E$9+1,1))-AVERAGE(OFFSET($H$3,0,0,'Données projet'!$E$9+1,1))</f>
        <v>195.80903373714432</v>
      </c>
      <c r="T30" s="62">
        <f t="shared" si="34"/>
        <v>388.30721786668977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6.8</v>
      </c>
      <c r="AI30" s="14">
        <f>IF('Données projet'!$A$62&gt;35,AI29+AH30-AQ29,IF(A30&lt;'Données projet'!$A$62,$AF$205^A30,IF(A30='Données projet'!$A$62,'Données projet'!$B$62,AI29+AH30-AQ29)))</f>
        <v>175.60000000000005</v>
      </c>
      <c r="AJ30" s="14">
        <f>AI30*VLOOKUP('Données projet'!$B$10,Paramètres!$A$1:$I$89,3,0)*VLOOKUP('Données projet'!$B$10,Paramètres!$A$1:$I$89,5,0)</f>
        <v>158.88288000000006</v>
      </c>
      <c r="AK30" s="14">
        <f t="shared" si="35"/>
        <v>40.590443217000178</v>
      </c>
      <c r="AL30" s="22">
        <f t="shared" si="4"/>
        <v>347.41603793627536</v>
      </c>
      <c r="AM30" s="62">
        <f t="shared" si="5"/>
        <v>637.08270460294204</v>
      </c>
      <c r="AN30" s="62">
        <f ca="1">AVERAGE(OFFSET($AM$3,0,0,'Données projet'!$E$10+1,1))-AVERAGE(OFFSET($H$3,0,0,'Données projet'!$E$10+1,1))</f>
        <v>302.6112905010138</v>
      </c>
      <c r="AO30" s="62">
        <f t="shared" si="36"/>
        <v>423.44006663873375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1.6832029374219688</v>
      </c>
      <c r="AV30" s="23">
        <f>EXP(-LN(2)/25)*AV29+(1-EXP(-LN(2)/25))/(LN(2)/25)*Calculateur!AQ30*Calculateur!AS30*VLOOKUP('Données projet'!$B$10,Paramètres!$A$1:$I$89,3,0)*0.475*44/12</f>
        <v>1.6559584378859697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3.3391613753079383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15.142857142857142</v>
      </c>
      <c r="N31" s="14">
        <f>IF('Données projet'!$A$36&gt;35,N30+M31-V30,IF(A31&lt;'Données projet'!$A$36,$K$205^A31,IF(A31='Données projet'!$A$36,'Données projet'!$B$36,N30+M31-V30)))</f>
        <v>238.71428571428572</v>
      </c>
      <c r="O31" s="14">
        <f>N31*VLOOKUP('Données projet'!$B$9,Paramètres!$A$1:$I$89,3,0)*VLOOKUP('Données projet'!$B$9,Paramètres!$A$1:$I$89,5,0)</f>
        <v>142.75114285714287</v>
      </c>
      <c r="P31" s="14">
        <f t="shared" si="33"/>
        <v>36.926538099571019</v>
      </c>
      <c r="Q31" s="22">
        <f t="shared" si="2"/>
        <v>312.93862766627666</v>
      </c>
      <c r="R31" s="62">
        <f t="shared" si="0"/>
        <v>603.82751655516552</v>
      </c>
      <c r="S31" s="62">
        <f ca="1">AVERAGE(OFFSET($R$3,0,0,'Données projet'!$E$9+1,1))-AVERAGE(OFFSET($H$3,0,0,'Données projet'!$E$9+1,1))</f>
        <v>195.80903373714432</v>
      </c>
      <c r="T31" s="62">
        <f t="shared" si="34"/>
        <v>388.30721786668977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6.8</v>
      </c>
      <c r="AI31" s="14">
        <f>IF('Données projet'!$A$62&gt;35,AI30+AH31-AQ30,IF(A31&lt;'Données projet'!$A$62,$AF$205^A31,IF(A31='Données projet'!$A$62,'Données projet'!$B$62,AI30+AH31-AQ30)))</f>
        <v>182.40000000000006</v>
      </c>
      <c r="AJ31" s="14">
        <f>AI31*VLOOKUP('Données projet'!$B$10,Paramètres!$A$1:$I$89,3,0)*VLOOKUP('Données projet'!$B$10,Paramètres!$A$1:$I$89,5,0)</f>
        <v>165.03552000000005</v>
      </c>
      <c r="AK31" s="14">
        <f t="shared" si="35"/>
        <v>41.976234598846517</v>
      </c>
      <c r="AL31" s="22">
        <f t="shared" si="4"/>
        <v>360.54547259299108</v>
      </c>
      <c r="AM31" s="62">
        <f t="shared" si="5"/>
        <v>651.43436148187993</v>
      </c>
      <c r="AN31" s="62">
        <f ca="1">AVERAGE(OFFSET($AM$3,0,0,'Données projet'!$E$10+1,1))-AVERAGE(OFFSET($H$3,0,0,'Données projet'!$E$10+1,1))</f>
        <v>302.6112905010138</v>
      </c>
      <c r="AO31" s="62">
        <f t="shared" si="36"/>
        <v>423.44006663873375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1.6501963544715423</v>
      </c>
      <c r="AV31" s="23">
        <f>EXP(-LN(2)/25)*AV30+(1-EXP(-LN(2)/25))/(LN(2)/25)*Calculateur!AQ31*Calculateur!AS31*VLOOKUP('Données projet'!$B$10,Paramètres!$A$1:$I$89,3,0)*0.475*44/12</f>
        <v>1.6106761673189085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3.2608725217904508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15.142857142857142</v>
      </c>
      <c r="N32" s="14">
        <f>IF('Données projet'!$A$36&gt;35,N31+M32-V31,IF(A32&lt;'Données projet'!$A$36,$K$205^A32,IF(A32='Données projet'!$A$36,'Données projet'!$B$36,N31+M32-V31)))</f>
        <v>253.85714285714286</v>
      </c>
      <c r="O32" s="14">
        <f>N32*VLOOKUP('Données projet'!$B$9,Paramètres!$A$1:$I$89,3,0)*VLOOKUP('Données projet'!$B$9,Paramètres!$A$1:$I$89,5,0)</f>
        <v>151.80657142857146</v>
      </c>
      <c r="P32" s="14">
        <f t="shared" si="33"/>
        <v>38.988848967460292</v>
      </c>
      <c r="Q32" s="22">
        <f t="shared" si="2"/>
        <v>332.30202385642195</v>
      </c>
      <c r="R32" s="62">
        <f t="shared" si="0"/>
        <v>624.4131349675331</v>
      </c>
      <c r="S32" s="62">
        <f ca="1">AVERAGE(OFFSET($R$3,0,0,'Données projet'!$E$9+1,1))-AVERAGE(OFFSET($H$3,0,0,'Données projet'!$E$9+1,1))</f>
        <v>195.80903373714432</v>
      </c>
      <c r="T32" s="62">
        <f t="shared" si="34"/>
        <v>388.30721786668977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6.8</v>
      </c>
      <c r="AI32" s="14">
        <f>IF('Données projet'!$A$62&gt;35,AI31+AH32-AQ31,IF(A32&lt;'Données projet'!$A$62,$AF$205^A32,IF(A32='Données projet'!$A$62,'Données projet'!$B$62,AI31+AH32-AQ31)))</f>
        <v>189.20000000000007</v>
      </c>
      <c r="AJ32" s="14">
        <f>AI32*VLOOKUP('Données projet'!$B$10,Paramètres!$A$1:$I$89,3,0)*VLOOKUP('Données projet'!$B$10,Paramètres!$A$1:$I$89,5,0)</f>
        <v>171.18816000000007</v>
      </c>
      <c r="AK32" s="14">
        <f t="shared" si="35"/>
        <v>43.356023936000852</v>
      </c>
      <c r="AL32" s="22">
        <f t="shared" si="4"/>
        <v>373.66445368853493</v>
      </c>
      <c r="AM32" s="62">
        <f t="shared" si="5"/>
        <v>665.77556479964608</v>
      </c>
      <c r="AN32" s="62">
        <f ca="1">AVERAGE(OFFSET($AM$3,0,0,'Données projet'!$E$10+1,1))-AVERAGE(OFFSET($H$3,0,0,'Données projet'!$E$10+1,1))</f>
        <v>302.6112905010138</v>
      </c>
      <c r="AO32" s="62">
        <f t="shared" si="36"/>
        <v>423.44006663873375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1.617837010480746</v>
      </c>
      <c r="AV32" s="23">
        <f>EXP(-LN(2)/25)*AV31+(1-EXP(-LN(2)/25))/(LN(2)/25)*Calculateur!AQ32*Calculateur!AS32*VLOOKUP('Données projet'!$B$10,Paramètres!$A$1:$I$89,3,0)*0.475*44/12</f>
        <v>1.5666321428217946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3.1844691533025404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269</v>
      </c>
      <c r="L33" s="13">
        <f>VLOOKUP(A33,'Données projet'!$A$35:$I$55,9,0)</f>
        <v>15.142857142857142</v>
      </c>
      <c r="M33" s="13">
        <f t="array" ref="M33">INDEX(L:L,MIN(IF(ISNUMBER(L33:L229),ROW(L33:L229),"")))</f>
        <v>15.142857142857142</v>
      </c>
      <c r="N33" s="14">
        <f>IF('Données projet'!$A$36&gt;35,N32+M33-V32,IF(A33&lt;'Données projet'!$A$36,$K$205^A33,IF(A33='Données projet'!$A$36,'Données projet'!$B$36,N32+M33-V32)))</f>
        <v>269</v>
      </c>
      <c r="O33" s="14">
        <f>N33*VLOOKUP('Données projet'!$B$9,Paramètres!$A$1:$I$89,3,0)*VLOOKUP('Données projet'!$B$9,Paramètres!$A$1:$I$89,5,0)</f>
        <v>160.86200000000002</v>
      </c>
      <c r="P33" s="14">
        <f t="shared" si="33"/>
        <v>41.03688107178359</v>
      </c>
      <c r="Q33" s="22">
        <f t="shared" si="2"/>
        <v>351.64055120002314</v>
      </c>
      <c r="R33" s="62">
        <f t="shared" si="0"/>
        <v>644.97388453335645</v>
      </c>
      <c r="S33" s="62">
        <f ca="1">AVERAGE(OFFSET($R$3,0,0,'Données projet'!$E$9+1,1))-AVERAGE(OFFSET($H$3,0,0,'Données projet'!$E$9+1,1))</f>
        <v>195.80903373714432</v>
      </c>
      <c r="T33" s="62">
        <f t="shared" si="34"/>
        <v>388.30721786668977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0.315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0.3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196</v>
      </c>
      <c r="AG33" s="13">
        <f>VLOOKUP(A33,'Données projet'!$A$61:$I$81,9,0)</f>
        <v>6.8</v>
      </c>
      <c r="AH33" s="13">
        <f t="array" ref="AH33">INDEX(AG:AG,MIN(IF(ISNUMBER(AG33:AG229),ROW(AG33:AG229),"")))</f>
        <v>6.8</v>
      </c>
      <c r="AI33" s="14">
        <f>IF('Données projet'!$A$62&gt;35,AI32+AH33-AQ32,IF(A33&lt;'Données projet'!$A$62,$AF$205^A33,IF(A33='Données projet'!$A$62,'Données projet'!$B$62,AI32+AH33-AQ32)))</f>
        <v>196.00000000000009</v>
      </c>
      <c r="AJ33" s="14">
        <f>AI33*VLOOKUP('Données projet'!$B$10,Paramètres!$A$1:$I$89,3,0)*VLOOKUP('Données projet'!$B$10,Paramètres!$A$1:$I$89,5,0)</f>
        <v>177.34080000000006</v>
      </c>
      <c r="AK33" s="14">
        <f t="shared" si="35"/>
        <v>44.730051658603102</v>
      </c>
      <c r="AL33" s="22">
        <f t="shared" si="4"/>
        <v>386.77339997206712</v>
      </c>
      <c r="AM33" s="62">
        <f t="shared" si="5"/>
        <v>680.10673330540044</v>
      </c>
      <c r="AN33" s="62">
        <f ca="1">AVERAGE(OFFSET($AM$3,0,0,'Données projet'!$E$10+1,1))-AVERAGE(OFFSET($H$3,0,0,'Données projet'!$E$10+1,1))</f>
        <v>302.6112905010138</v>
      </c>
      <c r="AO33" s="62">
        <f t="shared" si="36"/>
        <v>423.44006663873375</v>
      </c>
      <c r="AP33" s="16">
        <f>IF(ISNA(VLOOKUP(A33,'Données projet'!$A$61:$I$81,3,0)),0,VLOOKUP(A33,'Données projet'!$A$61:$I$81,3,0))</f>
        <v>6</v>
      </c>
      <c r="AQ33" s="16">
        <f>IF(ISNA(VLOOKUP(A33,'Données projet'!$A$61:$I$81,4,0)),0,VLOOKUP(A33,'Données projet'!$A$61:$I$81,4,0))</f>
        <v>9</v>
      </c>
      <c r="AR33" s="17">
        <f>IF(ISNA(VLOOKUP(A33,'Données projet'!$A$61:$I$81,5,0)),0%,VLOOKUP(A33,'Données projet'!$A$61:$I$81,5,0)*VLOOKUP('Données projet'!$B$10,Paramètres!$A$1:$I$89,7,0))</f>
        <v>0.12</v>
      </c>
      <c r="AS33" s="17">
        <f>IF(ISNA(VLOOKUP(A33,'Données projet'!$A$61:$I$81,6,0)),0%,VLOOKUP(A33,'Données projet'!$A$61:$I$81,6,0)*VLOOKUP('Données projet'!$B$10,Paramètres!$A$1:$I$89,7,0))</f>
        <v>0.06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2.6663601808418846</v>
      </c>
      <c r="AV33" s="23">
        <f>EXP(-LN(2)/25)*AV32+(1-EXP(-LN(2)/25))/(LN(2)/25)*Calculateur!AQ33*Calculateur!AS33*VLOOKUP('Données projet'!$B$10,Paramètres!$A$1:$I$89,3,0)*0.475*44/12</f>
        <v>2.0617898142403841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4.7281499950822692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</v>
      </c>
      <c r="N34" s="14">
        <f>IF('Données projet'!$A$36&gt;35,N33+M34-V33,IF(A34&lt;'Données projet'!$A$36,$K$205^A34,IF(A34='Données projet'!$A$36,'Données projet'!$B$36,N33+M34-V33)))</f>
        <v>283</v>
      </c>
      <c r="O34" s="14">
        <f>N34*VLOOKUP('Données projet'!$B$9,Paramètres!$A$1:$I$89,3,0)*VLOOKUP('Données projet'!$B$9,Paramètres!$A$1:$I$89,5,0)</f>
        <v>169.23400000000001</v>
      </c>
      <c r="P34" s="14">
        <f t="shared" si="33"/>
        <v>42.918420001269354</v>
      </c>
      <c r="Q34" s="22">
        <f t="shared" si="2"/>
        <v>369.4987981688775</v>
      </c>
      <c r="R34" s="62">
        <f t="shared" si="0"/>
        <v>662.83213150221081</v>
      </c>
      <c r="S34" s="62">
        <f ca="1">AVERAGE(OFFSET($R$3,0,0,'Données projet'!$E$9+1,1))-AVERAGE(OFFSET($H$3,0,0,'Données projet'!$E$9+1,1))</f>
        <v>195.80903373714432</v>
      </c>
      <c r="T34" s="62">
        <f t="shared" si="34"/>
        <v>388.30721786668977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5.8</v>
      </c>
      <c r="AI34" s="14">
        <f>IF('Données projet'!$A$62&gt;35,AI33+AH34-AQ33,IF(A34&lt;'Données projet'!$A$62,$AF$205^A34,IF(A34='Données projet'!$A$62,'Données projet'!$B$62,AI33+AH34-AQ33)))</f>
        <v>192.8000000000001</v>
      </c>
      <c r="AJ34" s="14">
        <f>AI34*VLOOKUP('Données projet'!$B$10,Paramètres!$A$1:$I$89,3,0)*VLOOKUP('Données projet'!$B$10,Paramètres!$A$1:$I$89,5,0)</f>
        <v>174.4454400000001</v>
      </c>
      <c r="AK34" s="14">
        <f t="shared" si="35"/>
        <v>44.084153549607706</v>
      </c>
      <c r="AL34" s="22">
        <f t="shared" si="4"/>
        <v>380.60570876556693</v>
      </c>
      <c r="AM34" s="62">
        <f t="shared" si="5"/>
        <v>673.93904209890025</v>
      </c>
      <c r="AN34" s="62">
        <f ca="1">AVERAGE(OFFSET($AM$3,0,0,'Données projet'!$E$10+1,1))-AVERAGE(OFFSET($H$3,0,0,'Données projet'!$E$10+1,1))</f>
        <v>302.6112905010138</v>
      </c>
      <c r="AO34" s="62">
        <f t="shared" si="36"/>
        <v>423.44006663873375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2.6140744840146999</v>
      </c>
      <c r="AV34" s="23">
        <f>EXP(-LN(2)/25)*AV33+(1-EXP(-LN(2)/25))/(LN(2)/25)*Calculateur!AQ34*Calculateur!AS34*VLOOKUP('Données projet'!$B$10,Paramètres!$A$1:$I$89,3,0)*0.475*44/12</f>
        <v>2.0054100633451668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4.6194845473598667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</v>
      </c>
      <c r="N35" s="14">
        <f>IF('Données projet'!$A$36&gt;35,N34+M35-V34,IF(A35&lt;'Données projet'!$A$36,$K$205^A35,IF(A35='Données projet'!$A$36,'Données projet'!$B$36,N34+M35-V34)))</f>
        <v>297</v>
      </c>
      <c r="O35" s="14">
        <f>N35*VLOOKUP('Données projet'!$B$9,Paramètres!$A$1:$I$89,3,0)*VLOOKUP('Données projet'!$B$9,Paramètres!$A$1:$I$89,5,0)</f>
        <v>177.60600000000002</v>
      </c>
      <c r="P35" s="14">
        <f t="shared" si="33"/>
        <v>44.789150937858665</v>
      </c>
      <c r="Q35" s="22">
        <f t="shared" ref="Q35:Q66" si="53">(O35+P35)*0.475*44/12</f>
        <v>387.33822121677053</v>
      </c>
      <c r="R35" s="62">
        <f t="shared" si="0"/>
        <v>680.67155455010379</v>
      </c>
      <c r="S35" s="62">
        <f ca="1">AVERAGE(OFFSET($R$3,0,0,'Données projet'!$E$9+1,1))-AVERAGE(OFFSET($H$3,0,0,'Données projet'!$E$9+1,1))</f>
        <v>195.80903373714432</v>
      </c>
      <c r="T35" s="62">
        <f t="shared" si="34"/>
        <v>388.30721786668977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5.8</v>
      </c>
      <c r="AI35" s="14">
        <f>IF('Données projet'!$A$62&gt;35,AI34+AH35-AQ34,IF(A35&lt;'Données projet'!$A$62,$AF$205^A35,IF(A35='Données projet'!$A$62,'Données projet'!$B$62,AI34+AH35-AQ34)))</f>
        <v>198.60000000000011</v>
      </c>
      <c r="AJ35" s="14">
        <f>AI35*VLOOKUP('Données projet'!$B$10,Paramètres!$A$1:$I$89,3,0)*VLOOKUP('Données projet'!$B$10,Paramètres!$A$1:$I$89,5,0)</f>
        <v>179.6932800000001</v>
      </c>
      <c r="AK35" s="14">
        <f t="shared" si="35"/>
        <v>45.253939845742352</v>
      </c>
      <c r="AL35" s="22">
        <f t="shared" si="4"/>
        <v>391.78307456466808</v>
      </c>
      <c r="AM35" s="62">
        <f t="shared" si="5"/>
        <v>685.1164078980014</v>
      </c>
      <c r="AN35" s="62">
        <f ca="1">AVERAGE(OFFSET($AM$3,0,0,'Données projet'!$E$10+1,1))-AVERAGE(OFFSET($H$3,0,0,'Données projet'!$E$10+1,1))</f>
        <v>302.6112905010138</v>
      </c>
      <c r="AO35" s="62">
        <f t="shared" si="36"/>
        <v>423.44006663873375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2.5628140778111703</v>
      </c>
      <c r="AV35" s="23">
        <f>EXP(-LN(2)/25)*AV34+(1-EXP(-LN(2)/25))/(LN(2)/25)*Calculateur!AQ35*Calculateur!AS35*VLOOKUP('Données projet'!$B$10,Paramètres!$A$1:$I$89,3,0)*0.475*44/12</f>
        <v>1.9505720197030614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4.5133860975142319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</v>
      </c>
      <c r="N36" s="14">
        <f>IF('Données projet'!$A$36&gt;35,N35+M36-V35,IF(A36&lt;'Données projet'!$A$36,$K$205^A36,IF(A36='Données projet'!$A$36,'Données projet'!$B$36,N35+M36-V35)))</f>
        <v>311</v>
      </c>
      <c r="O36" s="14">
        <f>N36*VLOOKUP('Données projet'!$B$9,Paramètres!$A$1:$I$89,3,0)*VLOOKUP('Données projet'!$B$9,Paramètres!$A$1:$I$89,5,0)</f>
        <v>185.97800000000001</v>
      </c>
      <c r="P36" s="14">
        <f t="shared" si="33"/>
        <v>46.649641523668571</v>
      </c>
      <c r="Q36" s="22">
        <f t="shared" si="53"/>
        <v>405.15980898705612</v>
      </c>
      <c r="R36" s="62">
        <f t="shared" si="0"/>
        <v>698.49314232038944</v>
      </c>
      <c r="S36" s="62">
        <f ca="1">AVERAGE(OFFSET($R$3,0,0,'Données projet'!$E$9+1,1))-AVERAGE(OFFSET($H$3,0,0,'Données projet'!$E$9+1,1))</f>
        <v>195.80903373714432</v>
      </c>
      <c r="T36" s="62">
        <f t="shared" si="34"/>
        <v>388.30721786668977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5.8</v>
      </c>
      <c r="AI36" s="14">
        <f>IF('Données projet'!$A$62&gt;35,AI35+AH36-AQ35,IF(A36&lt;'Données projet'!$A$62,$AF$205^A36,IF(A36='Données projet'!$A$62,'Données projet'!$B$62,AI35+AH36-AQ35)))</f>
        <v>204.40000000000012</v>
      </c>
      <c r="AJ36" s="14">
        <f>AI36*VLOOKUP('Données projet'!$B$10,Paramètres!$A$1:$I$89,3,0)*VLOOKUP('Données projet'!$B$10,Paramètres!$A$1:$I$89,5,0)</f>
        <v>184.9411200000001</v>
      </c>
      <c r="AK36" s="14">
        <f t="shared" si="35"/>
        <v>46.419755730249477</v>
      </c>
      <c r="AL36" s="22">
        <f t="shared" si="4"/>
        <v>402.95352523018465</v>
      </c>
      <c r="AM36" s="62">
        <f t="shared" si="5"/>
        <v>696.28685856351797</v>
      </c>
      <c r="AN36" s="62">
        <f ca="1">AVERAGE(OFFSET($AM$3,0,0,'Données projet'!$E$10+1,1))-AVERAGE(OFFSET($H$3,0,0,'Données projet'!$E$10+1,1))</f>
        <v>302.6112905010138</v>
      </c>
      <c r="AO36" s="62">
        <f t="shared" si="36"/>
        <v>423.44006663873375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2.5125588569075314</v>
      </c>
      <c r="AV36" s="23">
        <f>EXP(-LN(2)/25)*AV35+(1-EXP(-LN(2)/25))/(LN(2)/25)*Calculateur!AQ36*Calculateur!AS36*VLOOKUP('Données projet'!$B$10,Paramètres!$A$1:$I$89,3,0)*0.475*44/12</f>
        <v>1.8972335252481567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4.4097923821556879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</v>
      </c>
      <c r="M37" s="13">
        <f t="array" ref="M37">INDEX(L:L,MIN(IF(ISNUMBER(L37:L233),ROW(L37:L233),"")))</f>
        <v>14</v>
      </c>
      <c r="N37" s="14">
        <f>IF('Données projet'!$A$36&gt;35,N36+M37-V36,IF(A37&lt;'Données projet'!$A$36,$K$205^A37,IF(A37='Données projet'!$A$36,'Données projet'!$B$36,N36+M37-V36)))</f>
        <v>325</v>
      </c>
      <c r="O37" s="14">
        <f>N37*VLOOKUP('Données projet'!$B$9,Paramètres!$A$1:$I$89,3,0)*VLOOKUP('Données projet'!$B$9,Paramètres!$A$1:$I$89,5,0)</f>
        <v>194.35</v>
      </c>
      <c r="P37" s="14">
        <f t="shared" si="33"/>
        <v>48.500405405690429</v>
      </c>
      <c r="Q37" s="22">
        <f t="shared" si="53"/>
        <v>422.96445608157745</v>
      </c>
      <c r="R37" s="62">
        <f t="shared" si="0"/>
        <v>716.29778941491077</v>
      </c>
      <c r="S37" s="62">
        <f ca="1">AVERAGE(OFFSET($R$3,0,0,'Données projet'!$E$9+1,1))-AVERAGE(OFFSET($H$3,0,0,'Données projet'!$E$9+1,1))</f>
        <v>195.80903373714432</v>
      </c>
      <c r="T37" s="62">
        <f t="shared" si="34"/>
        <v>388.30721786668977</v>
      </c>
      <c r="U37" s="16">
        <f>IF(ISNA(VLOOKUP(A37,'Données projet'!$A$35:$I$55,3,0)),0,VLOOKUP(A37,'Données projet'!$A$35:$I$55,3,0))</f>
        <v>5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5.8</v>
      </c>
      <c r="AI37" s="14">
        <f>IF('Données projet'!$A$62&gt;35,AI36+AH37-AQ36,IF(A37&lt;'Données projet'!$A$62,$AF$205^A37,IF(A37='Données projet'!$A$62,'Données projet'!$B$62,AI36+AH37-AQ36)))</f>
        <v>210.20000000000013</v>
      </c>
      <c r="AJ37" s="14">
        <f>AI37*VLOOKUP('Données projet'!$B$10,Paramètres!$A$1:$I$89,3,0)*VLOOKUP('Données projet'!$B$10,Paramètres!$A$1:$I$89,5,0)</f>
        <v>190.18896000000012</v>
      </c>
      <c r="AK37" s="14">
        <f t="shared" si="35"/>
        <v>47.581726807151739</v>
      </c>
      <c r="AL37" s="22">
        <f t="shared" si="4"/>
        <v>414.1172795224561</v>
      </c>
      <c r="AM37" s="62">
        <f t="shared" si="5"/>
        <v>707.45061285578936</v>
      </c>
      <c r="AN37" s="62">
        <f ca="1">AVERAGE(OFFSET($AM$3,0,0,'Données projet'!$E$10+1,1))-AVERAGE(OFFSET($H$3,0,0,'Données projet'!$E$10+1,1))</f>
        <v>302.6112905010138</v>
      </c>
      <c r="AO37" s="62">
        <f t="shared" si="36"/>
        <v>423.44006663873375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2.4632891102331547</v>
      </c>
      <c r="AV37" s="23">
        <f>EXP(-LN(2)/25)*AV36+(1-EXP(-LN(2)/25))/(LN(2)/25)*Calculateur!AQ37*Calculateur!AS37*VLOOKUP('Données projet'!$B$10,Paramètres!$A$1:$I$89,3,0)*0.475*44/12</f>
        <v>1.845353574729071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4.3086426849622255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195.80903373714432</v>
      </c>
      <c r="T38" s="62">
        <f t="shared" si="34"/>
        <v>388.30721786668977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216</v>
      </c>
      <c r="AG38" s="13">
        <f>VLOOKUP(A38,'Données projet'!$A$61:$I$81,9,0)</f>
        <v>5.8</v>
      </c>
      <c r="AH38" s="13">
        <f t="array" ref="AH38">INDEX(AG:AG,MIN(IF(ISNUMBER(AG38:AG234),ROW(AG38:AG234),"")))</f>
        <v>5.8</v>
      </c>
      <c r="AI38" s="14">
        <f>IF('Données projet'!$A$62&gt;35,AI37+AH38-AQ37,IF(A38&lt;'Données projet'!$A$62,$AF$205^A38,IF(A38='Données projet'!$A$62,'Données projet'!$B$62,AI37+AH38-AQ37)))</f>
        <v>216.00000000000014</v>
      </c>
      <c r="AJ38" s="14">
        <f>AI38*VLOOKUP('Données projet'!$B$10,Paramètres!$A$1:$I$89,3,0)*VLOOKUP('Données projet'!$B$10,Paramètres!$A$1:$I$89,5,0)</f>
        <v>195.43680000000012</v>
      </c>
      <c r="AK38" s="14">
        <f t="shared" si="35"/>
        <v>48.739971354487892</v>
      </c>
      <c r="AL38" s="22">
        <f t="shared" si="4"/>
        <v>425.27454344239999</v>
      </c>
      <c r="AM38" s="62">
        <f t="shared" si="5"/>
        <v>718.6078767757333</v>
      </c>
      <c r="AN38" s="62">
        <f ca="1">AVERAGE(OFFSET($AM$3,0,0,'Données projet'!$E$10+1,1))-AVERAGE(OFFSET($H$3,0,0,'Données projet'!$E$10+1,1))</f>
        <v>302.6112905010138</v>
      </c>
      <c r="AO38" s="62">
        <f t="shared" si="36"/>
        <v>423.44006663873375</v>
      </c>
      <c r="AP38" s="16">
        <f>IF(ISNA(VLOOKUP(A38,'Données projet'!$A$61:$I$81,3,0)),0,VLOOKUP(A38,'Données projet'!$A$61:$I$81,3,0))</f>
        <v>7</v>
      </c>
      <c r="AQ38" s="16">
        <f>IF(ISNA(VLOOKUP(A38,'Données projet'!$A$61:$I$81,4,0)),0,VLOOKUP(A38,'Données projet'!$A$61:$I$81,4,0))</f>
        <v>7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2.4149855132394844</v>
      </c>
      <c r="AV38" s="23">
        <f>EXP(-LN(2)/25)*AV37+(1-EXP(-LN(2)/25))/(LN(2)/25)*Calculateur!AQ38*Calculateur!AS38*VLOOKUP('Données projet'!$B$10,Paramètres!$A$1:$I$89,3,0)*0.475*44/12</f>
        <v>1.7948922841851778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4.2098777974246619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195.80903373714432</v>
      </c>
      <c r="T39" s="62">
        <f t="shared" si="34"/>
        <v>388.30721786668977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4.8</v>
      </c>
      <c r="AI39" s="14">
        <f>IF('Données projet'!$A$62&gt;35,AI38+AH39-AQ38,IF(A39&lt;'Données projet'!$A$62,$AF$205^A39,IF(A39='Données projet'!$A$62,'Données projet'!$B$62,AI38+AH39-AQ38)))</f>
        <v>213.80000000000015</v>
      </c>
      <c r="AJ39" s="14">
        <f>AI39*VLOOKUP('Données projet'!$B$10,Paramètres!$A$1:$I$89,3,0)*VLOOKUP('Données projet'!$B$10,Paramètres!$A$1:$I$89,5,0)</f>
        <v>193.44624000000013</v>
      </c>
      <c r="AK39" s="14">
        <f t="shared" si="35"/>
        <v>48.301068656218547</v>
      </c>
      <c r="AL39" s="22">
        <f t="shared" si="4"/>
        <v>421.04322924291415</v>
      </c>
      <c r="AM39" s="62">
        <f t="shared" si="5"/>
        <v>714.37656257624747</v>
      </c>
      <c r="AN39" s="62">
        <f ca="1">AVERAGE(OFFSET($AM$3,0,0,'Données projet'!$E$10+1,1))-AVERAGE(OFFSET($H$3,0,0,'Données projet'!$E$10+1,1))</f>
        <v>302.6112905010138</v>
      </c>
      <c r="AO39" s="62">
        <f t="shared" si="36"/>
        <v>423.44006663873375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2.3676291203205748</v>
      </c>
      <c r="AV39" s="23">
        <f>EXP(-LN(2)/25)*AV38+(1-EXP(-LN(2)/25))/(LN(2)/25)*Calculateur!AQ39*Calculateur!AS39*VLOOKUP('Données projet'!$B$10,Paramètres!$A$1:$I$89,3,0)*0.475*44/12</f>
        <v>1.7458108602848512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4.1134399806054258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195.80903373714432</v>
      </c>
      <c r="T40" s="62">
        <f t="shared" si="34"/>
        <v>388.30721786668977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4.8</v>
      </c>
      <c r="AI40" s="14">
        <f>IF('Données projet'!$A$62&gt;35,AI39+AH40-AQ39,IF(A40&lt;'Données projet'!$A$62,$AF$205^A40,IF(A40='Données projet'!$A$62,'Données projet'!$B$62,AI39+AH40-AQ39)))</f>
        <v>218.60000000000016</v>
      </c>
      <c r="AJ40" s="14">
        <f>AI40*VLOOKUP('Données projet'!$B$10,Paramètres!$A$1:$I$89,3,0)*VLOOKUP('Données projet'!$B$10,Paramètres!$A$1:$I$89,5,0)</f>
        <v>197.78928000000013</v>
      </c>
      <c r="AK40" s="14">
        <f t="shared" si="35"/>
        <v>49.258004531609984</v>
      </c>
      <c r="AL40" s="22">
        <f t="shared" si="4"/>
        <v>430.2740205592209</v>
      </c>
      <c r="AM40" s="62">
        <f t="shared" si="5"/>
        <v>723.60735389255422</v>
      </c>
      <c r="AN40" s="62">
        <f ca="1">AVERAGE(OFFSET($AM$3,0,0,'Données projet'!$E$10+1,1))-AVERAGE(OFFSET($H$3,0,0,'Données projet'!$E$10+1,1))</f>
        <v>302.6112905010138</v>
      </c>
      <c r="AO40" s="62">
        <f t="shared" si="36"/>
        <v>423.44006663873375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2.3212013573822574</v>
      </c>
      <c r="AV40" s="23">
        <f>EXP(-LN(2)/25)*AV39+(1-EXP(-LN(2)/25))/(LN(2)/25)*Calculateur!AQ40*Calculateur!AS40*VLOOKUP('Données projet'!$B$10,Paramètres!$A$1:$I$89,3,0)*0.475*44/12</f>
        <v>1.698071570502159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4.0192729278844164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195.80903373714432</v>
      </c>
      <c r="T41" s="62">
        <f t="shared" si="34"/>
        <v>388.30721786668977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4.8</v>
      </c>
      <c r="AI41" s="14">
        <f>IF('Données projet'!$A$62&gt;35,AI40+AH41-AQ40,IF(A41&lt;'Données projet'!$A$62,$AF$205^A41,IF(A41='Données projet'!$A$62,'Données projet'!$B$62,AI40+AH41-AQ40)))</f>
        <v>223.40000000000018</v>
      </c>
      <c r="AJ41" s="14">
        <f>AI41*VLOOKUP('Données projet'!$B$10,Paramètres!$A$1:$I$89,3,0)*VLOOKUP('Données projet'!$B$10,Paramètres!$A$1:$I$89,5,0)</f>
        <v>202.13232000000013</v>
      </c>
      <c r="AK41" s="14">
        <f t="shared" si="35"/>
        <v>50.21249748895967</v>
      </c>
      <c r="AL41" s="22">
        <f t="shared" si="4"/>
        <v>439.50055712660497</v>
      </c>
      <c r="AM41" s="62">
        <f t="shared" si="5"/>
        <v>732.83389045993829</v>
      </c>
      <c r="AN41" s="62">
        <f ca="1">AVERAGE(OFFSET($AM$3,0,0,'Données projet'!$E$10+1,1))-AVERAGE(OFFSET($H$3,0,0,'Données projet'!$E$10+1,1))</f>
        <v>302.6112905010138</v>
      </c>
      <c r="AO41" s="62">
        <f t="shared" si="36"/>
        <v>423.44006663873375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2.2756840145570214</v>
      </c>
      <c r="AV41" s="23">
        <f>EXP(-LN(2)/25)*AV40+(1-EXP(-LN(2)/25))/(LN(2)/25)*Calculateur!AQ41*Calculateur!AS41*VLOOKUP('Données projet'!$B$10,Paramètres!$A$1:$I$89,3,0)*0.475*44/12</f>
        <v>1.6516377141090746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3.927321728666096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195.80903373714432</v>
      </c>
      <c r="T42" s="62">
        <f t="shared" si="34"/>
        <v>388.30721786668977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4.8</v>
      </c>
      <c r="AI42" s="14">
        <f>IF('Données projet'!$A$62&gt;35,AI41+AH42-AQ41,IF(A42&lt;'Données projet'!$A$62,$AF$205^A42,IF(A42='Données projet'!$A$62,'Données projet'!$B$62,AI41+AH42-AQ41)))</f>
        <v>228.20000000000019</v>
      </c>
      <c r="AJ42" s="14">
        <f>AI42*VLOOKUP('Données projet'!$B$10,Paramètres!$A$1:$I$89,3,0)*VLOOKUP('Données projet'!$B$10,Paramètres!$A$1:$I$89,5,0)</f>
        <v>206.47536000000017</v>
      </c>
      <c r="AK42" s="14">
        <f t="shared" si="35"/>
        <v>51.164606062687312</v>
      </c>
      <c r="AL42" s="22">
        <f t="shared" si="4"/>
        <v>448.72294089251392</v>
      </c>
      <c r="AM42" s="62">
        <f t="shared" si="5"/>
        <v>742.05627422584723</v>
      </c>
      <c r="AN42" s="62">
        <f ca="1">AVERAGE(OFFSET($AM$3,0,0,'Données projet'!$E$10+1,1))-AVERAGE(OFFSET($H$3,0,0,'Données projet'!$E$10+1,1))</f>
        <v>302.6112905010138</v>
      </c>
      <c r="AO42" s="62">
        <f t="shared" si="36"/>
        <v>423.44006663873375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2.2310592390617505</v>
      </c>
      <c r="AV42" s="23">
        <f>EXP(-LN(2)/25)*AV41+(1-EXP(-LN(2)/25))/(LN(2)/25)*Calculateur!AQ42*Calculateur!AS42*VLOOKUP('Données projet'!$B$10,Paramètres!$A$1:$I$89,3,0)*0.475*44/12</f>
        <v>1.6064735939609094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3.8375328330226601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195.80903373714432</v>
      </c>
      <c r="T43" s="62">
        <f t="shared" si="34"/>
        <v>388.30721786668977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233</v>
      </c>
      <c r="AG43" s="13">
        <f>VLOOKUP(A43,'Données projet'!$A$61:$I$81,9,0)</f>
        <v>4.8</v>
      </c>
      <c r="AH43" s="13">
        <f t="array" ref="AH43">INDEX(AG:AG,MIN(IF(ISNUMBER(AG43:AG239),ROW(AG43:AG239),"")))</f>
        <v>4.8</v>
      </c>
      <c r="AI43" s="14">
        <f>IF('Données projet'!$A$62&gt;35,AI42+AH43-AQ42,IF(A43&lt;'Données projet'!$A$62,$AF$205^A43,IF(A43='Données projet'!$A$62,'Données projet'!$B$62,AI42+AH43-AQ42)))</f>
        <v>233.0000000000002</v>
      </c>
      <c r="AJ43" s="14">
        <f>AI43*VLOOKUP('Données projet'!$B$10,Paramètres!$A$1:$I$89,3,0)*VLOOKUP('Données projet'!$B$10,Paramètres!$A$1:$I$89,5,0)</f>
        <v>210.81840000000017</v>
      </c>
      <c r="AK43" s="14">
        <f t="shared" si="35"/>
        <v>52.114386184062248</v>
      </c>
      <c r="AL43" s="22">
        <f t="shared" si="4"/>
        <v>457.94126927057533</v>
      </c>
      <c r="AM43" s="62">
        <f t="shared" si="5"/>
        <v>751.27460260390865</v>
      </c>
      <c r="AN43" s="62">
        <f ca="1">AVERAGE(OFFSET($AM$3,0,0,'Données projet'!$E$10+1,1))-AVERAGE(OFFSET($H$3,0,0,'Données projet'!$E$10+1,1))</f>
        <v>302.6112905010138</v>
      </c>
      <c r="AO43" s="62">
        <f t="shared" si="36"/>
        <v>423.44006663873375</v>
      </c>
      <c r="AP43" s="16">
        <f>IF(ISNA(VLOOKUP(A43,'Données projet'!$A$61:$I$81,3,0)),0,VLOOKUP(A43,'Données projet'!$A$61:$I$81,3,0))</f>
        <v>8</v>
      </c>
      <c r="AQ43" s="16">
        <f>IF(ISNA(VLOOKUP(A43,'Données projet'!$A$61:$I$81,4,0)),0,VLOOKUP(A43,'Données projet'!$A$61:$I$81,4,0))</f>
        <v>6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2.1873095281955166</v>
      </c>
      <c r="AV43" s="23">
        <f>EXP(-LN(2)/25)*AV42+(1-EXP(-LN(2)/25))/(LN(2)/25)*Calculateur!AQ43*Calculateur!AS43*VLOOKUP('Données projet'!$B$10,Paramètres!$A$1:$I$89,3,0)*0.475*44/12</f>
        <v>1.5625444890532736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3.74985401724879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195.80903373714432</v>
      </c>
      <c r="T44" s="62">
        <f t="shared" si="34"/>
        <v>388.30721786668977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5</v>
      </c>
      <c r="AI44" s="14">
        <f>IF('Données projet'!$A$62&gt;35,AI43+AH44-AQ43,IF(A44&lt;'Données projet'!$A$62,$AF$205^A44,IF(A44='Données projet'!$A$62,'Données projet'!$B$62,AI43+AH44-AQ43)))</f>
        <v>232.0000000000002</v>
      </c>
      <c r="AJ44" s="14">
        <f>AI44*VLOOKUP('Données projet'!$B$10,Paramètres!$A$1:$I$89,3,0)*VLOOKUP('Données projet'!$B$10,Paramètres!$A$1:$I$89,5,0)</f>
        <v>209.9136000000002</v>
      </c>
      <c r="AK44" s="14">
        <f t="shared" si="35"/>
        <v>51.916704672341361</v>
      </c>
      <c r="AL44" s="22">
        <f t="shared" si="4"/>
        <v>456.02111397099492</v>
      </c>
      <c r="AM44" s="62">
        <f t="shared" si="5"/>
        <v>749.35444730432823</v>
      </c>
      <c r="AN44" s="62">
        <f ca="1">AVERAGE(OFFSET($AM$3,0,0,'Données projet'!$E$10+1,1))-AVERAGE(OFFSET($H$3,0,0,'Données projet'!$E$10+1,1))</f>
        <v>302.6112905010138</v>
      </c>
      <c r="AO44" s="62">
        <f t="shared" si="36"/>
        <v>423.44006663873375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2.1444177224746808</v>
      </c>
      <c r="AV44" s="23">
        <f>EXP(-LN(2)/25)*AV43+(1-EXP(-LN(2)/25))/(LN(2)/25)*Calculateur!AQ44*Calculateur!AS44*VLOOKUP('Données projet'!$B$10,Paramètres!$A$1:$I$89,3,0)*0.475*44/12</f>
        <v>1.5198166278294685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3.6642343503041492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195.80903373714432</v>
      </c>
      <c r="T45" s="62">
        <f t="shared" si="34"/>
        <v>388.30721786668977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5</v>
      </c>
      <c r="AI45" s="14">
        <f>IF('Données projet'!$A$62&gt;35,AI44+AH45-AQ44,IF(A45&lt;'Données projet'!$A$62,$AF$205^A45,IF(A45='Données projet'!$A$62,'Données projet'!$B$62,AI44+AH45-AQ44)))</f>
        <v>237.0000000000002</v>
      </c>
      <c r="AJ45" s="14">
        <f>AI45*VLOOKUP('Données projet'!$B$10,Paramètres!$A$1:$I$89,3,0)*VLOOKUP('Données projet'!$B$10,Paramètres!$A$1:$I$89,5,0)</f>
        <v>214.43760000000015</v>
      </c>
      <c r="AK45" s="14">
        <f t="shared" si="35"/>
        <v>52.904129603372425</v>
      </c>
      <c r="AL45" s="22">
        <f t="shared" si="4"/>
        <v>465.6201790592072</v>
      </c>
      <c r="AM45" s="62">
        <f t="shared" si="5"/>
        <v>758.95351239254046</v>
      </c>
      <c r="AN45" s="62">
        <f ca="1">AVERAGE(OFFSET($AM$3,0,0,'Données projet'!$E$10+1,1))-AVERAGE(OFFSET($H$3,0,0,'Données projet'!$E$10+1,1))</f>
        <v>302.6112905010138</v>
      </c>
      <c r="AO45" s="62">
        <f t="shared" si="36"/>
        <v>423.44006663873375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2.1023669989026121</v>
      </c>
      <c r="AV45" s="23">
        <f>EXP(-LN(2)/25)*AV44+(1-EXP(-LN(2)/25))/(LN(2)/25)*Calculateur!AQ45*Calculateur!AS45*VLOOKUP('Données projet'!$B$10,Paramètres!$A$1:$I$89,3,0)*0.475*44/12</f>
        <v>1.4782571622177887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3.5806241611204008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195.80903373714432</v>
      </c>
      <c r="T46" s="62">
        <f t="shared" si="34"/>
        <v>388.30721786668977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5</v>
      </c>
      <c r="AI46" s="14">
        <f>IF('Données projet'!$A$62&gt;35,AI45+AH46-AQ45,IF(A46&lt;'Données projet'!$A$62,$AF$205^A46,IF(A46='Données projet'!$A$62,'Données projet'!$B$62,AI45+AH46-AQ45)))</f>
        <v>242.0000000000002</v>
      </c>
      <c r="AJ46" s="14">
        <f>AI46*VLOOKUP('Données projet'!$B$10,Paramètres!$A$1:$I$89,3,0)*VLOOKUP('Données projet'!$B$10,Paramètres!$A$1:$I$89,5,0)</f>
        <v>218.96160000000017</v>
      </c>
      <c r="AK46" s="14">
        <f t="shared" si="35"/>
        <v>53.889132503707479</v>
      </c>
      <c r="AL46" s="22">
        <f t="shared" si="4"/>
        <v>475.2150257772908</v>
      </c>
      <c r="AM46" s="62">
        <f t="shared" si="5"/>
        <v>768.54835911062412</v>
      </c>
      <c r="AN46" s="62">
        <f ca="1">AVERAGE(OFFSET($AM$3,0,0,'Données projet'!$E$10+1,1))-AVERAGE(OFFSET($H$3,0,0,'Données projet'!$E$10+1,1))</f>
        <v>302.6112905010138</v>
      </c>
      <c r="AO46" s="62">
        <f t="shared" si="36"/>
        <v>423.44006663873375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2.0611408643713829</v>
      </c>
      <c r="AV46" s="23">
        <f>EXP(-LN(2)/25)*AV45+(1-EXP(-LN(2)/25))/(LN(2)/25)*Calculateur!AQ46*Calculateur!AS46*VLOOKUP('Données projet'!$B$10,Paramètres!$A$1:$I$89,3,0)*0.475*44/12</f>
        <v>1.4378341423787777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3.4989750067501606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195.80903373714432</v>
      </c>
      <c r="T47" s="62">
        <f t="shared" si="34"/>
        <v>388.30721786668977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5</v>
      </c>
      <c r="AI47" s="14">
        <f>IF('Données projet'!$A$62&gt;35,AI46+AH47-AQ46,IF(A47&lt;'Données projet'!$A$62,$AF$205^A47,IF(A47='Données projet'!$A$62,'Données projet'!$B$62,AI46+AH47-AQ46)))</f>
        <v>247.0000000000002</v>
      </c>
      <c r="AJ47" s="14">
        <f>AI47*VLOOKUP('Données projet'!$B$10,Paramètres!$A$1:$I$89,3,0)*VLOOKUP('Données projet'!$B$10,Paramètres!$A$1:$I$89,5,0)</f>
        <v>223.48560000000018</v>
      </c>
      <c r="AK47" s="14">
        <f t="shared" si="35"/>
        <v>54.87176918107798</v>
      </c>
      <c r="AL47" s="22">
        <f t="shared" si="4"/>
        <v>484.80575132371115</v>
      </c>
      <c r="AM47" s="62">
        <f t="shared" si="5"/>
        <v>778.13908465704446</v>
      </c>
      <c r="AN47" s="62">
        <f ca="1">AVERAGE(OFFSET($AM$3,0,0,'Données projet'!$E$10+1,1))-AVERAGE(OFFSET($H$3,0,0,'Données projet'!$E$10+1,1))</f>
        <v>302.6112905010138</v>
      </c>
      <c r="AO47" s="62">
        <f t="shared" si="36"/>
        <v>423.44006663873375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2.0207231491928521</v>
      </c>
      <c r="AV47" s="23">
        <f>EXP(-LN(2)/25)*AV46+(1-EXP(-LN(2)/25))/(LN(2)/25)*Calculateur!AQ47*Calculateur!AS47*VLOOKUP('Données projet'!$B$10,Paramètres!$A$1:$I$89,3,0)*0.475*44/12</f>
        <v>1.3985164921430187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3.4192396413358708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195.80903373714432</v>
      </c>
      <c r="T48" s="62">
        <f t="shared" si="34"/>
        <v>388.30721786668977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252</v>
      </c>
      <c r="AG48" s="13">
        <f>VLOOKUP(A48,'Données projet'!$A$61:$I$81,9,0)</f>
        <v>5</v>
      </c>
      <c r="AH48" s="13">
        <f t="array" ref="AH48">INDEX(AG:AG,MIN(IF(ISNUMBER(AG48:AG244),ROW(AG48:AG244),"")))</f>
        <v>5</v>
      </c>
      <c r="AI48" s="14">
        <f>IF('Données projet'!$A$62&gt;35,AI47+AH48-AQ47,IF(A48&lt;'Données projet'!$A$62,$AF$205^A48,IF(A48='Données projet'!$A$62,'Données projet'!$B$62,AI47+AH48-AQ47)))</f>
        <v>252.0000000000002</v>
      </c>
      <c r="AJ48" s="14">
        <f>AI48*VLOOKUP('Données projet'!$B$10,Paramètres!$A$1:$I$89,3,0)*VLOOKUP('Données projet'!$B$10,Paramètres!$A$1:$I$89,5,0)</f>
        <v>228.00960000000018</v>
      </c>
      <c r="AK48" s="14">
        <f t="shared" si="35"/>
        <v>55.852093054619878</v>
      </c>
      <c r="AL48" s="22">
        <f t="shared" si="4"/>
        <v>494.39244873679655</v>
      </c>
      <c r="AM48" s="62">
        <f t="shared" si="5"/>
        <v>787.72578207012987</v>
      </c>
      <c r="AN48" s="62">
        <f ca="1">AVERAGE(OFFSET($AM$3,0,0,'Données projet'!$E$10+1,1))-AVERAGE(OFFSET($H$3,0,0,'Données projet'!$E$10+1,1))</f>
        <v>302.6112905010138</v>
      </c>
      <c r="AO48" s="62">
        <f t="shared" si="36"/>
        <v>423.44006663873375</v>
      </c>
      <c r="AP48" s="16">
        <f>IF(ISNA(VLOOKUP(A48,'Données projet'!$A$61:$I$81,3,0)),0,VLOOKUP(A48,'Données projet'!$A$61:$I$81,3,0))</f>
        <v>9</v>
      </c>
      <c r="AQ48" s="16">
        <f>IF(ISNA(VLOOKUP(A48,'Données projet'!$A$61:$I$81,4,0)),0,VLOOKUP(A48,'Données projet'!$A$61:$I$81,4,0))</f>
        <v>252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1.9810980007566001</v>
      </c>
      <c r="AV48" s="23">
        <f>EXP(-LN(2)/25)*AV47+(1-EXP(-LN(2)/25))/(LN(2)/25)*Calculateur!AQ48*Calculateur!AS48*VLOOKUP('Données projet'!$B$10,Paramètres!$A$1:$I$89,3,0)*0.475*44/12</f>
        <v>1.3602739851205818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3.3413719858771822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195.80903373714432</v>
      </c>
      <c r="T49" s="62">
        <f t="shared" si="34"/>
        <v>388.30721786668977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1.9895196601282805E-13</v>
      </c>
      <c r="AJ49" s="14">
        <f>AI49*VLOOKUP('Données projet'!$B$10,Paramètres!$A$1:$I$89,3,0)*VLOOKUP('Données projet'!$B$10,Paramètres!$A$1:$I$89,5,0)</f>
        <v>1.8001173884840681E-13</v>
      </c>
      <c r="AK49" s="14">
        <f t="shared" si="35"/>
        <v>2.5254331426407198E-12</v>
      </c>
      <c r="AL49" s="22">
        <f t="shared" si="4"/>
        <v>4.7119831685935622E-12</v>
      </c>
      <c r="AM49" s="62">
        <f t="shared" si="5"/>
        <v>293.33333333333803</v>
      </c>
      <c r="AN49" s="62">
        <f ca="1">AVERAGE(OFFSET($AM$3,0,0,'Données projet'!$E$10+1,1))-AVERAGE(OFFSET($H$3,0,0,'Données projet'!$E$10+1,1))</f>
        <v>302.6112905010138</v>
      </c>
      <c r="AO49" s="62">
        <f t="shared" si="36"/>
        <v>423.44006663873375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1.942249877312229</v>
      </c>
      <c r="AV49" s="23">
        <f>EXP(-LN(2)/25)*AV48+(1-EXP(-LN(2)/25))/(LN(2)/25)*Calculateur!AQ49*Calculateur!AS49*VLOOKUP('Données projet'!$B$10,Paramètres!$A$1:$I$89,3,0)*0.475*44/12</f>
        <v>1.3230772214637596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3.2653270987759884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195.80903373714432</v>
      </c>
      <c r="T50" s="62">
        <f t="shared" si="34"/>
        <v>388.30721786668977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1.9895196601282805E-13</v>
      </c>
      <c r="AJ50" s="14">
        <f>AI50*VLOOKUP('Données projet'!$B$10,Paramètres!$A$1:$I$89,3,0)*VLOOKUP('Données projet'!$B$10,Paramètres!$A$1:$I$89,5,0)</f>
        <v>1.8001173884840681E-13</v>
      </c>
      <c r="AK50" s="14">
        <f t="shared" si="35"/>
        <v>2.5254331426407198E-12</v>
      </c>
      <c r="AL50" s="22">
        <f t="shared" si="4"/>
        <v>4.7119831685935622E-12</v>
      </c>
      <c r="AM50" s="62">
        <f t="shared" si="5"/>
        <v>293.33333333333803</v>
      </c>
      <c r="AN50" s="62">
        <f ca="1">AVERAGE(OFFSET($AM$3,0,0,'Données projet'!$E$10+1,1))-AVERAGE(OFFSET($H$3,0,0,'Données projet'!$E$10+1,1))</f>
        <v>302.6112905010138</v>
      </c>
      <c r="AO50" s="62">
        <f t="shared" si="36"/>
        <v>423.44006663873375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1.9041635418735863</v>
      </c>
      <c r="AV50" s="23">
        <f>EXP(-LN(2)/25)*AV49+(1-EXP(-LN(2)/25))/(LN(2)/25)*Calculateur!AQ50*Calculateur!AS50*VLOOKUP('Données projet'!$B$10,Paramètres!$A$1:$I$89,3,0)*0.475*44/12</f>
        <v>1.2868976052652259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3.1910611471388122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195.80903373714432</v>
      </c>
      <c r="T51" s="62">
        <f t="shared" si="34"/>
        <v>388.30721786668977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1.9895196601282805E-13</v>
      </c>
      <c r="AJ51" s="14">
        <f>AI51*VLOOKUP('Données projet'!$B$10,Paramètres!$A$1:$I$89,3,0)*VLOOKUP('Données projet'!$B$10,Paramètres!$A$1:$I$89,5,0)</f>
        <v>1.8001173884840681E-13</v>
      </c>
      <c r="AK51" s="14">
        <f t="shared" si="35"/>
        <v>2.5254331426407198E-12</v>
      </c>
      <c r="AL51" s="22">
        <f t="shared" si="4"/>
        <v>4.7119831685935622E-12</v>
      </c>
      <c r="AM51" s="62">
        <f t="shared" si="5"/>
        <v>293.33333333333803</v>
      </c>
      <c r="AN51" s="62">
        <f ca="1">AVERAGE(OFFSET($AM$3,0,0,'Données projet'!$E$10+1,1))-AVERAGE(OFFSET($H$3,0,0,'Données projet'!$E$10+1,1))</f>
        <v>302.6112905010138</v>
      </c>
      <c r="AO51" s="62">
        <f t="shared" si="36"/>
        <v>423.44006663873375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1.8668240562425247</v>
      </c>
      <c r="AV51" s="23">
        <f>EXP(-LN(2)/25)*AV50+(1-EXP(-LN(2)/25))/(LN(2)/25)*Calculateur!AQ51*Calculateur!AS51*VLOOKUP('Données projet'!$B$10,Paramètres!$A$1:$I$89,3,0)*0.475*44/12</f>
        <v>1.2517073225742446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3.118531378816769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195.80903373714432</v>
      </c>
      <c r="T52" s="62">
        <f t="shared" si="34"/>
        <v>388.30721786668977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1.9895196601282805E-13</v>
      </c>
      <c r="AJ52" s="14">
        <f>AI52*VLOOKUP('Données projet'!$B$10,Paramètres!$A$1:$I$89,3,0)*VLOOKUP('Données projet'!$B$10,Paramètres!$A$1:$I$89,5,0)</f>
        <v>1.8001173884840681E-13</v>
      </c>
      <c r="AK52" s="14">
        <f t="shared" si="35"/>
        <v>2.5254331426407198E-12</v>
      </c>
      <c r="AL52" s="22">
        <f t="shared" si="4"/>
        <v>4.7119831685935622E-12</v>
      </c>
      <c r="AM52" s="62">
        <f t="shared" si="5"/>
        <v>293.33333333333803</v>
      </c>
      <c r="AN52" s="62">
        <f ca="1">AVERAGE(OFFSET($AM$3,0,0,'Données projet'!$E$10+1,1))-AVERAGE(OFFSET($H$3,0,0,'Données projet'!$E$10+1,1))</f>
        <v>302.6112905010138</v>
      </c>
      <c r="AO52" s="62">
        <f t="shared" si="36"/>
        <v>423.44006663873375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1.8302167751498506</v>
      </c>
      <c r="AV52" s="23">
        <f>EXP(-LN(2)/25)*AV51+(1-EXP(-LN(2)/25))/(LN(2)/25)*Calculateur!AQ52*Calculateur!AS52*VLOOKUP('Données projet'!$B$10,Paramètres!$A$1:$I$89,3,0)*0.475*44/12</f>
        <v>1.2174793200140246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3.0476960951638752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195.80903373714432</v>
      </c>
      <c r="T53" s="62">
        <f t="shared" si="34"/>
        <v>388.30721786668977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1.9895196601282805E-13</v>
      </c>
      <c r="AJ53" s="14">
        <f>AI53*VLOOKUP('Données projet'!$B$10,Paramètres!$A$1:$I$89,3,0)*VLOOKUP('Données projet'!$B$10,Paramètres!$A$1:$I$89,5,0)</f>
        <v>1.8001173884840681E-13</v>
      </c>
      <c r="AK53" s="14">
        <f t="shared" si="35"/>
        <v>2.5254331426407198E-12</v>
      </c>
      <c r="AL53" s="22">
        <f t="shared" si="4"/>
        <v>4.7119831685935622E-12</v>
      </c>
      <c r="AM53" s="62">
        <f t="shared" si="5"/>
        <v>293.33333333333803</v>
      </c>
      <c r="AN53" s="62">
        <f ca="1">AVERAGE(OFFSET($AM$3,0,0,'Données projet'!$E$10+1,1))-AVERAGE(OFFSET($H$3,0,0,'Données projet'!$E$10+1,1))</f>
        <v>302.6112905010138</v>
      </c>
      <c r="AO53" s="62">
        <f t="shared" si="36"/>
        <v>423.44006663873375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1.7943273405111673</v>
      </c>
      <c r="AV53" s="23">
        <f>EXP(-LN(2)/25)*AV52+(1-EXP(-LN(2)/25))/(LN(2)/25)*Calculateur!AQ53*Calculateur!AS53*VLOOKUP('Données projet'!$B$10,Paramètres!$A$1:$I$89,3,0)*0.475*44/12</f>
        <v>1.1841872839837861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2.9785146244949532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195.80903373714432</v>
      </c>
      <c r="T54" s="62">
        <f t="shared" si="34"/>
        <v>388.30721786668977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1.9895196601282805E-13</v>
      </c>
      <c r="AJ54" s="14">
        <f>AI54*VLOOKUP('Données projet'!$B$10,Paramètres!$A$1:$I$89,3,0)*VLOOKUP('Données projet'!$B$10,Paramètres!$A$1:$I$89,5,0)</f>
        <v>1.8001173884840681E-13</v>
      </c>
      <c r="AK54" s="14">
        <f t="shared" si="35"/>
        <v>2.5254331426407198E-12</v>
      </c>
      <c r="AL54" s="22">
        <f t="shared" si="4"/>
        <v>4.7119831685935622E-12</v>
      </c>
      <c r="AM54" s="62">
        <f t="shared" si="5"/>
        <v>293.33333333333803</v>
      </c>
      <c r="AN54" s="62">
        <f ca="1">AVERAGE(OFFSET($AM$3,0,0,'Données projet'!$E$10+1,1))-AVERAGE(OFFSET($H$3,0,0,'Données projet'!$E$10+1,1))</f>
        <v>302.6112905010138</v>
      </c>
      <c r="AO54" s="62">
        <f t="shared" si="36"/>
        <v>423.44006663873375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1.7591416757953549</v>
      </c>
      <c r="AV54" s="23">
        <f>EXP(-LN(2)/25)*AV53+(1-EXP(-LN(2)/25))/(LN(2)/25)*Calculateur!AQ54*Calculateur!AS54*VLOOKUP('Données projet'!$B$10,Paramètres!$A$1:$I$89,3,0)*0.475*44/12</f>
        <v>1.1518056204295468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2.9109472962249017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195.80903373714432</v>
      </c>
      <c r="T55" s="62">
        <f t="shared" si="34"/>
        <v>388.30721786668977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1.9895196601282805E-13</v>
      </c>
      <c r="AJ55" s="14">
        <f>AI55*VLOOKUP('Données projet'!$B$10,Paramètres!$A$1:$I$89,3,0)*VLOOKUP('Données projet'!$B$10,Paramètres!$A$1:$I$89,5,0)</f>
        <v>1.8001173884840681E-13</v>
      </c>
      <c r="AK55" s="14">
        <f t="shared" si="35"/>
        <v>2.5254331426407198E-12</v>
      </c>
      <c r="AL55" s="22">
        <f t="shared" si="4"/>
        <v>4.7119831685935622E-12</v>
      </c>
      <c r="AM55" s="62">
        <f t="shared" si="5"/>
        <v>293.33333333333803</v>
      </c>
      <c r="AN55" s="62">
        <f ca="1">AVERAGE(OFFSET($AM$3,0,0,'Données projet'!$E$10+1,1))-AVERAGE(OFFSET($H$3,0,0,'Données projet'!$E$10+1,1))</f>
        <v>302.6112905010138</v>
      </c>
      <c r="AO55" s="62">
        <f t="shared" si="36"/>
        <v>423.44006663873375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1.7246459805034831</v>
      </c>
      <c r="AV55" s="23">
        <f>EXP(-LN(2)/25)*AV54+(1-EXP(-LN(2)/25))/(LN(2)/25)*Calculateur!AQ55*Calculateur!AS55*VLOOKUP('Données projet'!$B$10,Paramètres!$A$1:$I$89,3,0)*0.475*44/12</f>
        <v>1.1203094351680758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2.8449554156715591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195.80903373714432</v>
      </c>
      <c r="T56" s="62">
        <f t="shared" si="34"/>
        <v>388.30721786668977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1.9895196601282805E-13</v>
      </c>
      <c r="AJ56" s="14">
        <f>AI56*VLOOKUP('Données projet'!$B$10,Paramètres!$A$1:$I$89,3,0)*VLOOKUP('Données projet'!$B$10,Paramètres!$A$1:$I$89,5,0)</f>
        <v>1.8001173884840681E-13</v>
      </c>
      <c r="AK56" s="14">
        <f t="shared" si="35"/>
        <v>2.5254331426407198E-12</v>
      </c>
      <c r="AL56" s="22">
        <f t="shared" si="4"/>
        <v>4.7119831685935622E-12</v>
      </c>
      <c r="AM56" s="62">
        <f t="shared" si="5"/>
        <v>293.33333333333803</v>
      </c>
      <c r="AN56" s="62">
        <f ca="1">AVERAGE(OFFSET($AM$3,0,0,'Données projet'!$E$10+1,1))-AVERAGE(OFFSET($H$3,0,0,'Données projet'!$E$10+1,1))</f>
        <v>302.6112905010138</v>
      </c>
      <c r="AO56" s="62">
        <f t="shared" si="36"/>
        <v>423.44006663873375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1.6908267247559883</v>
      </c>
      <c r="AV56" s="23">
        <f>EXP(-LN(2)/25)*AV55+(1-EXP(-LN(2)/25))/(LN(2)/25)*Calculateur!AQ56*Calculateur!AS56*VLOOKUP('Données projet'!$B$10,Paramètres!$A$1:$I$89,3,0)*0.475*44/12</f>
        <v>1.089674514748892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2.78050123950488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195.80903373714432</v>
      </c>
      <c r="T57" s="62">
        <f t="shared" si="34"/>
        <v>388.30721786668977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1.9895196601282805E-13</v>
      </c>
      <c r="AJ57" s="14">
        <f>AI57*VLOOKUP('Données projet'!$B$10,Paramètres!$A$1:$I$89,3,0)*VLOOKUP('Données projet'!$B$10,Paramètres!$A$1:$I$89,5,0)</f>
        <v>1.8001173884840681E-13</v>
      </c>
      <c r="AK57" s="14">
        <f t="shared" si="35"/>
        <v>2.5254331426407198E-12</v>
      </c>
      <c r="AL57" s="22">
        <f t="shared" si="4"/>
        <v>4.7119831685935622E-12</v>
      </c>
      <c r="AM57" s="62">
        <f t="shared" si="5"/>
        <v>293.33333333333803</v>
      </c>
      <c r="AN57" s="62">
        <f ca="1">AVERAGE(OFFSET($AM$3,0,0,'Données projet'!$E$10+1,1))-AVERAGE(OFFSET($H$3,0,0,'Données projet'!$E$10+1,1))</f>
        <v>302.6112905010138</v>
      </c>
      <c r="AO57" s="62">
        <f t="shared" si="36"/>
        <v>423.44006663873375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1.6576706439859927</v>
      </c>
      <c r="AV57" s="23">
        <f>EXP(-LN(2)/25)*AV56+(1-EXP(-LN(2)/25))/(LN(2)/25)*Calculateur!AQ57*Calculateur!AS57*VLOOKUP('Données projet'!$B$10,Paramètres!$A$1:$I$89,3,0)*0.475*44/12</f>
        <v>1.0598773078395913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2.7175479518255843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195.80903373714432</v>
      </c>
      <c r="T58" s="62">
        <f t="shared" si="34"/>
        <v>388.30721786668977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1.9895196601282805E-13</v>
      </c>
      <c r="AJ58" s="14">
        <f>AI58*VLOOKUP('Données projet'!$B$10,Paramètres!$A$1:$I$89,3,0)*VLOOKUP('Données projet'!$B$10,Paramètres!$A$1:$I$89,5,0)</f>
        <v>1.8001173884840681E-13</v>
      </c>
      <c r="AK58" s="14">
        <f t="shared" si="35"/>
        <v>2.5254331426407198E-12</v>
      </c>
      <c r="AL58" s="22">
        <f t="shared" si="4"/>
        <v>4.7119831685935622E-12</v>
      </c>
      <c r="AM58" s="62">
        <f t="shared" si="5"/>
        <v>293.33333333333803</v>
      </c>
      <c r="AN58" s="62">
        <f ca="1">AVERAGE(OFFSET($AM$3,0,0,'Données projet'!$E$10+1,1))-AVERAGE(OFFSET($H$3,0,0,'Données projet'!$E$10+1,1))</f>
        <v>302.6112905010138</v>
      </c>
      <c r="AO58" s="62">
        <f t="shared" si="36"/>
        <v>423.44006663873375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1.6251647337366844</v>
      </c>
      <c r="AV58" s="23">
        <f>EXP(-LN(2)/25)*AV57+(1-EXP(-LN(2)/25))/(LN(2)/25)*Calculateur!AQ58*Calculateur!AS58*VLOOKUP('Données projet'!$B$10,Paramètres!$A$1:$I$89,3,0)*0.475*44/12</f>
        <v>1.0308949071201925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2.6560596408568768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195.80903373714432</v>
      </c>
      <c r="T59" s="62">
        <f t="shared" si="34"/>
        <v>388.30721786668977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1.9895196601282805E-13</v>
      </c>
      <c r="AJ59" s="14">
        <f>AI59*VLOOKUP('Données projet'!$B$10,Paramètres!$A$1:$I$89,3,0)*VLOOKUP('Données projet'!$B$10,Paramètres!$A$1:$I$89,5,0)</f>
        <v>1.8001173884840681E-13</v>
      </c>
      <c r="AK59" s="14">
        <f t="shared" si="35"/>
        <v>2.5254331426407198E-12</v>
      </c>
      <c r="AL59" s="22">
        <f t="shared" si="4"/>
        <v>4.7119831685935622E-12</v>
      </c>
      <c r="AM59" s="62">
        <f t="shared" si="5"/>
        <v>293.33333333333803</v>
      </c>
      <c r="AN59" s="62">
        <f ca="1">AVERAGE(OFFSET($AM$3,0,0,'Données projet'!$E$10+1,1))-AVERAGE(OFFSET($H$3,0,0,'Données projet'!$E$10+1,1))</f>
        <v>302.6112905010138</v>
      </c>
      <c r="AO59" s="62">
        <f t="shared" si="36"/>
        <v>423.44006663873375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1.5932962445607175</v>
      </c>
      <c r="AV59" s="23">
        <f>EXP(-LN(2)/25)*AV58+(1-EXP(-LN(2)/25))/(LN(2)/25)*Calculateur!AQ59*Calculateur!AS59*VLOOKUP('Données projet'!$B$10,Paramètres!$A$1:$I$89,3,0)*0.475*44/12</f>
        <v>1.0027050316725838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2.5960012762333013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195.80903373714432</v>
      </c>
      <c r="T60" s="62">
        <f t="shared" si="34"/>
        <v>388.30721786668977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1.9895196601282805E-13</v>
      </c>
      <c r="AJ60" s="14">
        <f>AI60*VLOOKUP('Données projet'!$B$10,Paramètres!$A$1:$I$89,3,0)*VLOOKUP('Données projet'!$B$10,Paramètres!$A$1:$I$89,5,0)</f>
        <v>1.8001173884840681E-13</v>
      </c>
      <c r="AK60" s="14">
        <f t="shared" si="35"/>
        <v>2.5254331426407198E-12</v>
      </c>
      <c r="AL60" s="22">
        <f t="shared" si="4"/>
        <v>4.7119831685935622E-12</v>
      </c>
      <c r="AM60" s="62">
        <f t="shared" si="5"/>
        <v>293.33333333333803</v>
      </c>
      <c r="AN60" s="62">
        <f ca="1">AVERAGE(OFFSET($AM$3,0,0,'Données projet'!$E$10+1,1))-AVERAGE(OFFSET($H$3,0,0,'Données projet'!$E$10+1,1))</f>
        <v>302.6112905010138</v>
      </c>
      <c r="AO60" s="62">
        <f t="shared" si="36"/>
        <v>423.44006663873375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1.5620526770196324</v>
      </c>
      <c r="AV60" s="23">
        <f>EXP(-LN(2)/25)*AV59+(1-EXP(-LN(2)/25))/(LN(2)/25)*Calculateur!AQ60*Calculateur!AS60*VLOOKUP('Données projet'!$B$10,Paramètres!$A$1:$I$89,3,0)*0.475*44/12</f>
        <v>0.97528600985153113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2.5373386868711636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195.80903373714432</v>
      </c>
      <c r="T61" s="62">
        <f t="shared" si="34"/>
        <v>388.30721786668977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1.9895196601282805E-13</v>
      </c>
      <c r="AJ61" s="14">
        <f>AI61*VLOOKUP('Données projet'!$B$10,Paramètres!$A$1:$I$89,3,0)*VLOOKUP('Données projet'!$B$10,Paramètres!$A$1:$I$89,5,0)</f>
        <v>1.8001173884840681E-13</v>
      </c>
      <c r="AK61" s="14">
        <f t="shared" si="35"/>
        <v>2.5254331426407198E-12</v>
      </c>
      <c r="AL61" s="22">
        <f t="shared" si="4"/>
        <v>4.7119831685935622E-12</v>
      </c>
      <c r="AM61" s="62">
        <f t="shared" si="5"/>
        <v>293.33333333333803</v>
      </c>
      <c r="AN61" s="62">
        <f ca="1">AVERAGE(OFFSET($AM$3,0,0,'Données projet'!$E$10+1,1))-AVERAGE(OFFSET($H$3,0,0,'Données projet'!$E$10+1,1))</f>
        <v>302.6112905010138</v>
      </c>
      <c r="AO61" s="62">
        <f t="shared" si="36"/>
        <v>423.44006663873375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1.5314217767813334</v>
      </c>
      <c r="AV61" s="23">
        <f>EXP(-LN(2)/25)*AV60+(1-EXP(-LN(2)/25))/(LN(2)/25)*Calculateur!AQ61*Calculateur!AS61*VLOOKUP('Données projet'!$B$10,Paramètres!$A$1:$I$89,3,0)*0.475*44/12</f>
        <v>0.94861676262407879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2.4800385394054123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195.80903373714432</v>
      </c>
      <c r="T62" s="62">
        <f t="shared" si="34"/>
        <v>388.30721786668977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1.9895196601282805E-13</v>
      </c>
      <c r="AJ62" s="14">
        <f>AI62*VLOOKUP('Données projet'!$B$10,Paramètres!$A$1:$I$89,3,0)*VLOOKUP('Données projet'!$B$10,Paramètres!$A$1:$I$89,5,0)</f>
        <v>1.8001173884840681E-13</v>
      </c>
      <c r="AK62" s="14">
        <f t="shared" si="35"/>
        <v>2.5254331426407198E-12</v>
      </c>
      <c r="AL62" s="22">
        <f t="shared" si="4"/>
        <v>4.7119831685935622E-12</v>
      </c>
      <c r="AM62" s="62">
        <f t="shared" si="5"/>
        <v>293.33333333333803</v>
      </c>
      <c r="AN62" s="62">
        <f ca="1">AVERAGE(OFFSET($AM$3,0,0,'Données projet'!$E$10+1,1))-AVERAGE(OFFSET($H$3,0,0,'Données projet'!$E$10+1,1))</f>
        <v>302.6112905010138</v>
      </c>
      <c r="AO62" s="62">
        <f t="shared" si="36"/>
        <v>423.44006663873375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1.5013915298137031</v>
      </c>
      <c r="AV62" s="23">
        <f>EXP(-LN(2)/25)*AV61+(1-EXP(-LN(2)/25))/(LN(2)/25)*Calculateur!AQ62*Calculateur!AS62*VLOOKUP('Données projet'!$B$10,Paramètres!$A$1:$I$89,3,0)*0.475*44/12</f>
        <v>0.92267678736453596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2.4240683171782389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195.80903373714432</v>
      </c>
      <c r="T63" s="62">
        <f t="shared" si="34"/>
        <v>388.30721786668977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1.9895196601282805E-13</v>
      </c>
      <c r="AJ63" s="14">
        <f>AI63*VLOOKUP('Données projet'!$B$10,Paramètres!$A$1:$I$89,3,0)*VLOOKUP('Données projet'!$B$10,Paramètres!$A$1:$I$89,5,0)</f>
        <v>1.8001173884840681E-13</v>
      </c>
      <c r="AK63" s="14">
        <f t="shared" si="35"/>
        <v>2.5254331426407198E-12</v>
      </c>
      <c r="AL63" s="22">
        <f t="shared" si="4"/>
        <v>4.7119831685935622E-12</v>
      </c>
      <c r="AM63" s="62">
        <f t="shared" si="5"/>
        <v>293.33333333333803</v>
      </c>
      <c r="AN63" s="62">
        <f ca="1">AVERAGE(OFFSET($AM$3,0,0,'Données projet'!$E$10+1,1))-AVERAGE(OFFSET($H$3,0,0,'Données projet'!$E$10+1,1))</f>
        <v>302.6112905010138</v>
      </c>
      <c r="AO63" s="62">
        <f t="shared" si="36"/>
        <v>423.44006663873375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1.4719501576724658</v>
      </c>
      <c r="AV63" s="23">
        <f>EXP(-LN(2)/25)*AV62+(1-EXP(-LN(2)/25))/(LN(2)/25)*Calculateur!AQ63*Calculateur!AS63*VLOOKUP('Données projet'!$B$10,Paramètres!$A$1:$I$89,3,0)*0.475*44/12</f>
        <v>0.89744614209258933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2.3693962997650551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195.80903373714432</v>
      </c>
      <c r="T64" s="62">
        <f t="shared" si="34"/>
        <v>388.30721786668977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1.9895196601282805E-13</v>
      </c>
      <c r="AJ64" s="14">
        <f>AI64*VLOOKUP('Données projet'!$B$10,Paramètres!$A$1:$I$89,3,0)*VLOOKUP('Données projet'!$B$10,Paramètres!$A$1:$I$89,5,0)</f>
        <v>1.8001173884840681E-13</v>
      </c>
      <c r="AK64" s="14">
        <f t="shared" si="35"/>
        <v>2.5254331426407198E-12</v>
      </c>
      <c r="AL64" s="22">
        <f t="shared" si="4"/>
        <v>4.7119831685935622E-12</v>
      </c>
      <c r="AM64" s="62">
        <f t="shared" si="5"/>
        <v>293.33333333333803</v>
      </c>
      <c r="AN64" s="62">
        <f ca="1">AVERAGE(OFFSET($AM$3,0,0,'Données projet'!$E$10+1,1))-AVERAGE(OFFSET($H$3,0,0,'Données projet'!$E$10+1,1))</f>
        <v>302.6112905010138</v>
      </c>
      <c r="AO64" s="62">
        <f t="shared" si="36"/>
        <v>423.44006663873375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1.4430861128814545</v>
      </c>
      <c r="AV64" s="23">
        <f>EXP(-LN(2)/25)*AV63+(1-EXP(-LN(2)/25))/(LN(2)/25)*Calculateur!AQ64*Calculateur!AS64*VLOOKUP('Données projet'!$B$10,Paramètres!$A$1:$I$89,3,0)*0.475*44/12</f>
        <v>0.87290543014242605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2.3159915430238804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195.80903373714432</v>
      </c>
      <c r="T65" s="62">
        <f t="shared" si="34"/>
        <v>388.30721786668977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1.9895196601282805E-13</v>
      </c>
      <c r="AJ65" s="14">
        <f>AI65*VLOOKUP('Données projet'!$B$10,Paramètres!$A$1:$I$89,3,0)*VLOOKUP('Données projet'!$B$10,Paramètres!$A$1:$I$89,5,0)</f>
        <v>1.8001173884840681E-13</v>
      </c>
      <c r="AK65" s="14">
        <f t="shared" si="35"/>
        <v>2.5254331426407198E-12</v>
      </c>
      <c r="AL65" s="22">
        <f t="shared" si="4"/>
        <v>4.7119831685935622E-12</v>
      </c>
      <c r="AM65" s="62">
        <f t="shared" si="5"/>
        <v>293.33333333333803</v>
      </c>
      <c r="AN65" s="62">
        <f ca="1">AVERAGE(OFFSET($AM$3,0,0,'Données projet'!$E$10+1,1))-AVERAGE(OFFSET($H$3,0,0,'Données projet'!$E$10+1,1))</f>
        <v>302.6112905010138</v>
      </c>
      <c r="AO65" s="62">
        <f t="shared" si="36"/>
        <v>423.44006663873375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1.414788074403466</v>
      </c>
      <c r="AV65" s="23">
        <f>EXP(-LN(2)/25)*AV64+(1-EXP(-LN(2)/25))/(LN(2)/25)*Calculateur!AQ65*Calculateur!AS65*VLOOKUP('Données projet'!$B$10,Paramètres!$A$1:$I$89,3,0)*0.475*44/12</f>
        <v>0.84903578525107992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2.2638238596545461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195.80903373714432</v>
      </c>
      <c r="T66" s="62">
        <f t="shared" si="34"/>
        <v>388.30721786668977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1.9895196601282805E-13</v>
      </c>
      <c r="AJ66" s="14">
        <f>AI66*VLOOKUP('Données projet'!$B$10,Paramètres!$A$1:$I$89,3,0)*VLOOKUP('Données projet'!$B$10,Paramètres!$A$1:$I$89,5,0)</f>
        <v>1.8001173884840681E-13</v>
      </c>
      <c r="AK66" s="14">
        <f t="shared" si="35"/>
        <v>2.5254331426407198E-12</v>
      </c>
      <c r="AL66" s="22">
        <f t="shared" si="4"/>
        <v>4.7119831685935622E-12</v>
      </c>
      <c r="AM66" s="62">
        <f t="shared" si="5"/>
        <v>293.33333333333803</v>
      </c>
      <c r="AN66" s="62">
        <f ca="1">AVERAGE(OFFSET($AM$3,0,0,'Données projet'!$E$10+1,1))-AVERAGE(OFFSET($H$3,0,0,'Données projet'!$E$10+1,1))</f>
        <v>302.6112905010138</v>
      </c>
      <c r="AO66" s="62">
        <f t="shared" si="36"/>
        <v>423.44006663873375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1.3870449431999317</v>
      </c>
      <c r="AV66" s="23">
        <f>EXP(-LN(2)/25)*AV65+(1-EXP(-LN(2)/25))/(LN(2)/25)*Calculateur!AQ66*Calculateur!AS66*VLOOKUP('Données projet'!$B$10,Paramètres!$A$1:$I$89,3,0)*0.475*44/12</f>
        <v>0.82581885705453772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2.2128638002544694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195.80903373714432</v>
      </c>
      <c r="T67" s="62">
        <f t="shared" si="34"/>
        <v>388.30721786668977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1.9895196601282805E-13</v>
      </c>
      <c r="AJ67" s="14">
        <f>AI67*VLOOKUP('Données projet'!$B$10,Paramètres!$A$1:$I$89,3,0)*VLOOKUP('Données projet'!$B$10,Paramètres!$A$1:$I$89,5,0)</f>
        <v>1.8001173884840681E-13</v>
      </c>
      <c r="AK67" s="14">
        <f t="shared" si="35"/>
        <v>2.5254331426407198E-12</v>
      </c>
      <c r="AL67" s="22">
        <f t="shared" si="4"/>
        <v>4.7119831685935622E-12</v>
      </c>
      <c r="AM67" s="62">
        <f t="shared" si="5"/>
        <v>293.33333333333803</v>
      </c>
      <c r="AN67" s="62">
        <f ca="1">AVERAGE(OFFSET($AM$3,0,0,'Données projet'!$E$10+1,1))-AVERAGE(OFFSET($H$3,0,0,'Données projet'!$E$10+1,1))</f>
        <v>302.6112905010138</v>
      </c>
      <c r="AO67" s="62">
        <f t="shared" si="36"/>
        <v>423.44006663873375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1.3598458378776594</v>
      </c>
      <c r="AV67" s="23">
        <f>EXP(-LN(2)/25)*AV66+(1-EXP(-LN(2)/25))/(LN(2)/25)*Calculateur!AQ67*Calculateur!AS67*VLOOKUP('Données projet'!$B$10,Paramètres!$A$1:$I$89,3,0)*0.475*44/12</f>
        <v>0.80323679698045514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2.1630826348581147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195.80903373714432</v>
      </c>
      <c r="T68" s="62">
        <f t="shared" si="34"/>
        <v>388.30721786668977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1.9895196601282805E-13</v>
      </c>
      <c r="AJ68" s="14">
        <f>AI68*VLOOKUP('Données projet'!$B$10,Paramètres!$A$1:$I$89,3,0)*VLOOKUP('Données projet'!$B$10,Paramètres!$A$1:$I$89,5,0)</f>
        <v>1.8001173884840681E-13</v>
      </c>
      <c r="AK68" s="14">
        <f t="shared" si="35"/>
        <v>2.5254331426407198E-12</v>
      </c>
      <c r="AL68" s="22">
        <f t="shared" ref="AL68:AL131" si="58">(AJ68+AK68)*0.475*44/12</f>
        <v>4.7119831685935622E-12</v>
      </c>
      <c r="AM68" s="62">
        <f t="shared" ref="AM68:AM131" si="59">AL68+(AD68+AE68)*44/12</f>
        <v>293.33333333333803</v>
      </c>
      <c r="AN68" s="62">
        <f ca="1">AVERAGE(OFFSET($AM$3,0,0,'Données projet'!$E$10+1,1))-AVERAGE(OFFSET($H$3,0,0,'Données projet'!$E$10+1,1))</f>
        <v>302.6112905010138</v>
      </c>
      <c r="AO68" s="62">
        <f t="shared" si="36"/>
        <v>423.44006663873375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1.3331800904209408</v>
      </c>
      <c r="AV68" s="23">
        <f>EXP(-LN(2)/25)*AV67+(1-EXP(-LN(2)/25))/(LN(2)/25)*Calculateur!AQ68*Calculateur!AS68*VLOOKUP('Données projet'!$B$10,Paramètres!$A$1:$I$89,3,0)*0.475*44/12</f>
        <v>0.78127224452663724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2.1144523349475781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195.80903373714432</v>
      </c>
      <c r="T69" s="62">
        <f t="shared" ref="T69:T132" si="88">$T$3</f>
        <v>388.30721786668977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1.9895196601282805E-13</v>
      </c>
      <c r="AJ69" s="14">
        <f>AI69*VLOOKUP('Données projet'!$B$10,Paramètres!$A$1:$I$89,3,0)*VLOOKUP('Données projet'!$B$10,Paramètres!$A$1:$I$89,5,0)</f>
        <v>1.8001173884840681E-13</v>
      </c>
      <c r="AK69" s="14">
        <f t="shared" ref="AK69:AK132" si="89">EXP(-1.0587+0.8836*LN(AJ69)+0.284)</f>
        <v>2.5254331426407198E-12</v>
      </c>
      <c r="AL69" s="22">
        <f t="shared" si="58"/>
        <v>4.7119831685935622E-12</v>
      </c>
      <c r="AM69" s="62">
        <f t="shared" si="59"/>
        <v>293.33333333333803</v>
      </c>
      <c r="AN69" s="62">
        <f ca="1">AVERAGE(OFFSET($AM$3,0,0,'Données projet'!$E$10+1,1))-AVERAGE(OFFSET($H$3,0,0,'Données projet'!$E$10+1,1))</f>
        <v>302.6112905010138</v>
      </c>
      <c r="AO69" s="62">
        <f t="shared" ref="AO69:AO132" si="90">$AO$3</f>
        <v>423.44006663873375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1.3070372420073484</v>
      </c>
      <c r="AV69" s="23">
        <f>EXP(-LN(2)/25)*AV68+(1-EXP(-LN(2)/25))/(LN(2)/25)*Calculateur!AQ69*Calculateur!AS69*VLOOKUP('Données projet'!$B$10,Paramètres!$A$1:$I$89,3,0)*0.475*44/12</f>
        <v>0.75990831391473468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2.0669455559220831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195.80903373714432</v>
      </c>
      <c r="T70" s="62">
        <f t="shared" si="88"/>
        <v>388.30721786668977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1.9895196601282805E-13</v>
      </c>
      <c r="AJ70" s="14">
        <f>AI70*VLOOKUP('Données projet'!$B$10,Paramètres!$A$1:$I$89,3,0)*VLOOKUP('Données projet'!$B$10,Paramètres!$A$1:$I$89,5,0)</f>
        <v>1.8001173884840681E-13</v>
      </c>
      <c r="AK70" s="14">
        <f t="shared" si="89"/>
        <v>2.5254331426407198E-12</v>
      </c>
      <c r="AL70" s="22">
        <f t="shared" si="58"/>
        <v>4.7119831685935622E-12</v>
      </c>
      <c r="AM70" s="62">
        <f t="shared" si="59"/>
        <v>293.33333333333803</v>
      </c>
      <c r="AN70" s="62">
        <f ca="1">AVERAGE(OFFSET($AM$3,0,0,'Données projet'!$E$10+1,1))-AVERAGE(OFFSET($H$3,0,0,'Données projet'!$E$10+1,1))</f>
        <v>302.6112905010138</v>
      </c>
      <c r="AO70" s="62">
        <f t="shared" si="90"/>
        <v>423.44006663873375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1.2814070389055836</v>
      </c>
      <c r="AV70" s="23">
        <f>EXP(-LN(2)/25)*AV69+(1-EXP(-LN(2)/25))/(LN(2)/25)*Calculateur!AQ70*Calculateur!AS70*VLOOKUP('Données projet'!$B$10,Paramètres!$A$1:$I$89,3,0)*0.475*44/12</f>
        <v>0.73912858110889479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2.0205356200144786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195.80903373714432</v>
      </c>
      <c r="T71" s="62">
        <f t="shared" si="88"/>
        <v>388.30721786668977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1.9895196601282805E-13</v>
      </c>
      <c r="AJ71" s="14">
        <f>AI71*VLOOKUP('Données projet'!$B$10,Paramètres!$A$1:$I$89,3,0)*VLOOKUP('Données projet'!$B$10,Paramètres!$A$1:$I$89,5,0)</f>
        <v>1.8001173884840681E-13</v>
      </c>
      <c r="AK71" s="14">
        <f t="shared" si="89"/>
        <v>2.5254331426407198E-12</v>
      </c>
      <c r="AL71" s="22">
        <f t="shared" si="58"/>
        <v>4.7119831685935622E-12</v>
      </c>
      <c r="AM71" s="62">
        <f t="shared" si="59"/>
        <v>293.33333333333803</v>
      </c>
      <c r="AN71" s="62">
        <f ca="1">AVERAGE(OFFSET($AM$3,0,0,'Données projet'!$E$10+1,1))-AVERAGE(OFFSET($H$3,0,0,'Données projet'!$E$10+1,1))</f>
        <v>302.6112905010138</v>
      </c>
      <c r="AO71" s="62">
        <f t="shared" si="90"/>
        <v>423.44006663873375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1.2562794284537642</v>
      </c>
      <c r="AV71" s="23">
        <f>EXP(-LN(2)/25)*AV70+(1-EXP(-LN(2)/25))/(LN(2)/25)*Calculateur!AQ71*Calculateur!AS71*VLOOKUP('Données projet'!$B$10,Paramètres!$A$1:$I$89,3,0)*0.475*44/12</f>
        <v>0.7189170711893893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1.9751964996431535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195.80903373714432</v>
      </c>
      <c r="T72" s="62">
        <f t="shared" si="88"/>
        <v>388.30721786668977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1.9895196601282805E-13</v>
      </c>
      <c r="AJ72" s="14">
        <f>AI72*VLOOKUP('Données projet'!$B$10,Paramètres!$A$1:$I$89,3,0)*VLOOKUP('Données projet'!$B$10,Paramètres!$A$1:$I$89,5,0)</f>
        <v>1.8001173884840681E-13</v>
      </c>
      <c r="AK72" s="14">
        <f t="shared" si="89"/>
        <v>2.5254331426407198E-12</v>
      </c>
      <c r="AL72" s="22">
        <f t="shared" si="58"/>
        <v>4.7119831685935622E-12</v>
      </c>
      <c r="AM72" s="62">
        <f t="shared" si="59"/>
        <v>293.33333333333803</v>
      </c>
      <c r="AN72" s="62">
        <f ca="1">AVERAGE(OFFSET($AM$3,0,0,'Données projet'!$E$10+1,1))-AVERAGE(OFFSET($H$3,0,0,'Données projet'!$E$10+1,1))</f>
        <v>302.6112905010138</v>
      </c>
      <c r="AO72" s="62">
        <f t="shared" si="90"/>
        <v>423.44006663873375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1.2316445551165758</v>
      </c>
      <c r="AV72" s="23">
        <f>EXP(-LN(2)/25)*AV71+(1-EXP(-LN(2)/25))/(LN(2)/25)*Calculateur!AQ72*Calculateur!AS72*VLOOKUP('Données projet'!$B$10,Paramètres!$A$1:$I$89,3,0)*0.475*44/12</f>
        <v>0.69925824607150977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1.9309028011880855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195.80903373714432</v>
      </c>
      <c r="T73" s="62">
        <f t="shared" si="88"/>
        <v>388.30721786668977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1.9895196601282805E-13</v>
      </c>
      <c r="AJ73" s="14">
        <f>AI73*VLOOKUP('Données projet'!$B$10,Paramètres!$A$1:$I$89,3,0)*VLOOKUP('Données projet'!$B$10,Paramètres!$A$1:$I$89,5,0)</f>
        <v>1.8001173884840681E-13</v>
      </c>
      <c r="AK73" s="14">
        <f t="shared" si="89"/>
        <v>2.5254331426407198E-12</v>
      </c>
      <c r="AL73" s="22">
        <f t="shared" si="58"/>
        <v>4.7119831685935622E-12</v>
      </c>
      <c r="AM73" s="62">
        <f t="shared" si="59"/>
        <v>293.33333333333803</v>
      </c>
      <c r="AN73" s="62">
        <f ca="1">AVERAGE(OFFSET($AM$3,0,0,'Données projet'!$E$10+1,1))-AVERAGE(OFFSET($H$3,0,0,'Données projet'!$E$10+1,1))</f>
        <v>302.6112905010138</v>
      </c>
      <c r="AO73" s="62">
        <f t="shared" si="90"/>
        <v>423.44006663873375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1.2074927566197406</v>
      </c>
      <c r="AV73" s="23">
        <f>EXP(-LN(2)/25)*AV72+(1-EXP(-LN(2)/25))/(LN(2)/25)*Calculateur!AQ73*Calculateur!AS73*VLOOKUP('Données projet'!$B$10,Paramètres!$A$1:$I$89,3,0)*0.475*44/12</f>
        <v>0.68013699256029136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1.887629749180032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195.80903373714432</v>
      </c>
      <c r="T74" s="62">
        <f t="shared" si="88"/>
        <v>388.30721786668977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1.9895196601282805E-13</v>
      </c>
      <c r="AJ74" s="14">
        <f>AI74*VLOOKUP('Données projet'!$B$10,Paramètres!$A$1:$I$89,3,0)*VLOOKUP('Données projet'!$B$10,Paramètres!$A$1:$I$89,5,0)</f>
        <v>1.8001173884840681E-13</v>
      </c>
      <c r="AK74" s="14">
        <f t="shared" si="89"/>
        <v>2.5254331426407198E-12</v>
      </c>
      <c r="AL74" s="22">
        <f t="shared" si="58"/>
        <v>4.7119831685935622E-12</v>
      </c>
      <c r="AM74" s="62">
        <f t="shared" si="59"/>
        <v>293.33333333333803</v>
      </c>
      <c r="AN74" s="62">
        <f ca="1">AVERAGE(OFFSET($AM$3,0,0,'Données projet'!$E$10+1,1))-AVERAGE(OFFSET($H$3,0,0,'Données projet'!$E$10+1,1))</f>
        <v>302.6112905010138</v>
      </c>
      <c r="AO74" s="62">
        <f t="shared" si="90"/>
        <v>423.44006663873375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1.1838145601602859</v>
      </c>
      <c r="AV74" s="23">
        <f>EXP(-LN(2)/25)*AV73+(1-EXP(-LN(2)/25))/(LN(2)/25)*Calculateur!AQ74*Calculateur!AS74*VLOOKUP('Données projet'!$B$10,Paramètres!$A$1:$I$89,3,0)*0.475*44/12</f>
        <v>0.66153861073188025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1.845353170892166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195.80903373714432</v>
      </c>
      <c r="T75" s="62">
        <f t="shared" si="88"/>
        <v>388.30721786668977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1.9895196601282805E-13</v>
      </c>
      <c r="AJ75" s="14">
        <f>AI75*VLOOKUP('Données projet'!$B$10,Paramètres!$A$1:$I$89,3,0)*VLOOKUP('Données projet'!$B$10,Paramètres!$A$1:$I$89,5,0)</f>
        <v>1.8001173884840681E-13</v>
      </c>
      <c r="AK75" s="14">
        <f t="shared" si="89"/>
        <v>2.5254331426407198E-12</v>
      </c>
      <c r="AL75" s="22">
        <f t="shared" si="58"/>
        <v>4.7119831685935622E-12</v>
      </c>
      <c r="AM75" s="62">
        <f t="shared" si="59"/>
        <v>293.33333333333803</v>
      </c>
      <c r="AN75" s="62">
        <f ca="1">AVERAGE(OFFSET($AM$3,0,0,'Données projet'!$E$10+1,1))-AVERAGE(OFFSET($H$3,0,0,'Données projet'!$E$10+1,1))</f>
        <v>302.6112905010138</v>
      </c>
      <c r="AO75" s="62">
        <f t="shared" si="90"/>
        <v>423.44006663873375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1.1606006786911274</v>
      </c>
      <c r="AV75" s="23">
        <f>EXP(-LN(2)/25)*AV74+(1-EXP(-LN(2)/25))/(LN(2)/25)*Calculateur!AQ75*Calculateur!AS75*VLOOKUP('Données projet'!$B$10,Paramètres!$A$1:$I$89,3,0)*0.475*44/12</f>
        <v>0.64344880263261339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1.8040494813237409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195.80903373714432</v>
      </c>
      <c r="T76" s="62">
        <f t="shared" si="88"/>
        <v>388.30721786668977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1.9895196601282805E-13</v>
      </c>
      <c r="AJ76" s="14">
        <f>AI76*VLOOKUP('Données projet'!$B$10,Paramètres!$A$1:$I$89,3,0)*VLOOKUP('Données projet'!$B$10,Paramètres!$A$1:$I$89,5,0)</f>
        <v>1.8001173884840681E-13</v>
      </c>
      <c r="AK76" s="14">
        <f t="shared" si="89"/>
        <v>2.5254331426407198E-12</v>
      </c>
      <c r="AL76" s="22">
        <f t="shared" si="58"/>
        <v>4.7119831685935622E-12</v>
      </c>
      <c r="AM76" s="62">
        <f t="shared" si="59"/>
        <v>293.33333333333803</v>
      </c>
      <c r="AN76" s="62">
        <f ca="1">AVERAGE(OFFSET($AM$3,0,0,'Données projet'!$E$10+1,1))-AVERAGE(OFFSET($H$3,0,0,'Données projet'!$E$10+1,1))</f>
        <v>302.6112905010138</v>
      </c>
      <c r="AO76" s="62">
        <f t="shared" si="90"/>
        <v>423.44006663873375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1.1378420072785094</v>
      </c>
      <c r="AV76" s="23">
        <f>EXP(-LN(2)/25)*AV75+(1-EXP(-LN(2)/25))/(LN(2)/25)*Calculateur!AQ76*Calculateur!AS76*VLOOKUP('Données projet'!$B$10,Paramètres!$A$1:$I$89,3,0)*0.475*44/12</f>
        <v>0.62585366128712272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1.763695668565632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195.80903373714432</v>
      </c>
      <c r="T77" s="62">
        <f t="shared" si="88"/>
        <v>388.30721786668977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1.9895196601282805E-13</v>
      </c>
      <c r="AJ77" s="14">
        <f>AI77*VLOOKUP('Données projet'!$B$10,Paramètres!$A$1:$I$89,3,0)*VLOOKUP('Données projet'!$B$10,Paramètres!$A$1:$I$89,5,0)</f>
        <v>1.8001173884840681E-13</v>
      </c>
      <c r="AK77" s="14">
        <f t="shared" si="89"/>
        <v>2.5254331426407198E-12</v>
      </c>
      <c r="AL77" s="22">
        <f t="shared" si="58"/>
        <v>4.7119831685935622E-12</v>
      </c>
      <c r="AM77" s="62">
        <f t="shared" si="59"/>
        <v>293.33333333333803</v>
      </c>
      <c r="AN77" s="62">
        <f ca="1">AVERAGE(OFFSET($AM$3,0,0,'Données projet'!$E$10+1,1))-AVERAGE(OFFSET($H$3,0,0,'Données projet'!$E$10+1,1))</f>
        <v>302.6112905010138</v>
      </c>
      <c r="AO77" s="62">
        <f t="shared" si="90"/>
        <v>423.44006663873375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1.1155296195308739</v>
      </c>
      <c r="AV77" s="23">
        <f>EXP(-LN(2)/25)*AV76+(1-EXP(-LN(2)/25))/(LN(2)/25)*Calculateur!AQ77*Calculateur!AS77*VLOOKUP('Données projet'!$B$10,Paramètres!$A$1:$I$89,3,0)*0.475*44/12</f>
        <v>0.60873966000701274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1.7242692795378867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195.80903373714432</v>
      </c>
      <c r="T78" s="62">
        <f t="shared" si="88"/>
        <v>388.30721786668977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1.9895196601282805E-13</v>
      </c>
      <c r="AJ78" s="14">
        <f>AI78*VLOOKUP('Données projet'!$B$10,Paramètres!$A$1:$I$89,3,0)*VLOOKUP('Données projet'!$B$10,Paramètres!$A$1:$I$89,5,0)</f>
        <v>1.8001173884840681E-13</v>
      </c>
      <c r="AK78" s="14">
        <f t="shared" si="89"/>
        <v>2.5254331426407198E-12</v>
      </c>
      <c r="AL78" s="22">
        <f t="shared" si="58"/>
        <v>4.7119831685935622E-12</v>
      </c>
      <c r="AM78" s="62">
        <f t="shared" si="59"/>
        <v>293.33333333333803</v>
      </c>
      <c r="AN78" s="62">
        <f ca="1">AVERAGE(OFFSET($AM$3,0,0,'Données projet'!$E$10+1,1))-AVERAGE(OFFSET($H$3,0,0,'Données projet'!$E$10+1,1))</f>
        <v>302.6112905010138</v>
      </c>
      <c r="AO78" s="62">
        <f t="shared" si="90"/>
        <v>423.44006663873375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1.093654764097757</v>
      </c>
      <c r="AV78" s="23">
        <f>EXP(-LN(2)/25)*AV77+(1-EXP(-LN(2)/25))/(LN(2)/25)*Calculateur!AQ78*Calculateur!AS78*VLOOKUP('Données projet'!$B$10,Paramètres!$A$1:$I$89,3,0)*0.475*44/12</f>
        <v>0.59209364199189352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1.6857484060896506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195.80903373714432</v>
      </c>
      <c r="T79" s="62">
        <f t="shared" si="88"/>
        <v>388.30721786668977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1.9895196601282805E-13</v>
      </c>
      <c r="AJ79" s="14">
        <f>AI79*VLOOKUP('Données projet'!$B$10,Paramètres!$A$1:$I$89,3,0)*VLOOKUP('Données projet'!$B$10,Paramètres!$A$1:$I$89,5,0)</f>
        <v>1.8001173884840681E-13</v>
      </c>
      <c r="AK79" s="14">
        <f t="shared" si="89"/>
        <v>2.5254331426407198E-12</v>
      </c>
      <c r="AL79" s="22">
        <f t="shared" si="58"/>
        <v>4.7119831685935622E-12</v>
      </c>
      <c r="AM79" s="62">
        <f t="shared" si="59"/>
        <v>293.33333333333803</v>
      </c>
      <c r="AN79" s="62">
        <f ca="1">AVERAGE(OFFSET($AM$3,0,0,'Données projet'!$E$10+1,1))-AVERAGE(OFFSET($H$3,0,0,'Données projet'!$E$10+1,1))</f>
        <v>302.6112905010138</v>
      </c>
      <c r="AO79" s="62">
        <f t="shared" si="90"/>
        <v>423.44006663873375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1.0722088612373391</v>
      </c>
      <c r="AV79" s="23">
        <f>EXP(-LN(2)/25)*AV78+(1-EXP(-LN(2)/25))/(LN(2)/25)*Calculateur!AQ79*Calculateur!AS79*VLOOKUP('Données projet'!$B$10,Paramètres!$A$1:$I$89,3,0)*0.475*44/12</f>
        <v>0.57590281021477385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1.6481116714521129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195.80903373714432</v>
      </c>
      <c r="T80" s="62">
        <f t="shared" si="88"/>
        <v>388.30721786668977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1.9895196601282805E-13</v>
      </c>
      <c r="AJ80" s="14">
        <f>AI80*VLOOKUP('Données projet'!$B$10,Paramètres!$A$1:$I$89,3,0)*VLOOKUP('Données projet'!$B$10,Paramètres!$A$1:$I$89,5,0)</f>
        <v>1.8001173884840681E-13</v>
      </c>
      <c r="AK80" s="14">
        <f t="shared" si="89"/>
        <v>2.5254331426407198E-12</v>
      </c>
      <c r="AL80" s="22">
        <f t="shared" si="58"/>
        <v>4.7119831685935622E-12</v>
      </c>
      <c r="AM80" s="62">
        <f t="shared" si="59"/>
        <v>293.33333333333803</v>
      </c>
      <c r="AN80" s="62">
        <f ca="1">AVERAGE(OFFSET($AM$3,0,0,'Données projet'!$E$10+1,1))-AVERAGE(OFFSET($H$3,0,0,'Données projet'!$E$10+1,1))</f>
        <v>302.6112905010138</v>
      </c>
      <c r="AO80" s="62">
        <f t="shared" si="90"/>
        <v>423.44006663873375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1.0511834994513047</v>
      </c>
      <c r="AV80" s="23">
        <f>EXP(-LN(2)/25)*AV79+(1-EXP(-LN(2)/25))/(LN(2)/25)*Calculateur!AQ80*Calculateur!AS80*VLOOKUP('Données projet'!$B$10,Paramètres!$A$1:$I$89,3,0)*0.475*44/12</f>
        <v>0.56015471758403834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1.611338217035343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195.80903373714432</v>
      </c>
      <c r="T81" s="62">
        <f t="shared" si="88"/>
        <v>388.30721786668977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1.9895196601282805E-13</v>
      </c>
      <c r="AJ81" s="14">
        <f>AI81*VLOOKUP('Données projet'!$B$10,Paramètres!$A$1:$I$89,3,0)*VLOOKUP('Données projet'!$B$10,Paramètres!$A$1:$I$89,5,0)</f>
        <v>1.8001173884840681E-13</v>
      </c>
      <c r="AK81" s="14">
        <f t="shared" si="89"/>
        <v>2.5254331426407198E-12</v>
      </c>
      <c r="AL81" s="22">
        <f t="shared" si="58"/>
        <v>4.7119831685935622E-12</v>
      </c>
      <c r="AM81" s="62">
        <f t="shared" si="59"/>
        <v>293.33333333333803</v>
      </c>
      <c r="AN81" s="62">
        <f ca="1">AVERAGE(OFFSET($AM$3,0,0,'Données projet'!$E$10+1,1))-AVERAGE(OFFSET($H$3,0,0,'Données projet'!$E$10+1,1))</f>
        <v>302.6112905010138</v>
      </c>
      <c r="AO81" s="62">
        <f t="shared" si="90"/>
        <v>423.44006663873375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1.0305704321856901</v>
      </c>
      <c r="AV81" s="23">
        <f>EXP(-LN(2)/25)*AV80+(1-EXP(-LN(2)/25))/(LN(2)/25)*Calculateur!AQ81*Calculateur!AS81*VLOOKUP('Données projet'!$B$10,Paramètres!$A$1:$I$89,3,0)*0.475*44/12</f>
        <v>0.54483725737444644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1.5754076895601365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195.80903373714432</v>
      </c>
      <c r="T82" s="62">
        <f t="shared" si="88"/>
        <v>388.30721786668977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1.9895196601282805E-13</v>
      </c>
      <c r="AJ82" s="14">
        <f>AI82*VLOOKUP('Données projet'!$B$10,Paramètres!$A$1:$I$89,3,0)*VLOOKUP('Données projet'!$B$10,Paramètres!$A$1:$I$89,5,0)</f>
        <v>1.8001173884840681E-13</v>
      </c>
      <c r="AK82" s="14">
        <f t="shared" si="89"/>
        <v>2.5254331426407198E-12</v>
      </c>
      <c r="AL82" s="22">
        <f t="shared" si="58"/>
        <v>4.7119831685935622E-12</v>
      </c>
      <c r="AM82" s="62">
        <f t="shared" si="59"/>
        <v>293.33333333333803</v>
      </c>
      <c r="AN82" s="62">
        <f ca="1">AVERAGE(OFFSET($AM$3,0,0,'Données projet'!$E$10+1,1))-AVERAGE(OFFSET($H$3,0,0,'Données projet'!$E$10+1,1))</f>
        <v>302.6112905010138</v>
      </c>
      <c r="AO82" s="62">
        <f t="shared" si="90"/>
        <v>423.44006663873375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1.0103615745964247</v>
      </c>
      <c r="AV82" s="23">
        <f>EXP(-LN(2)/25)*AV81+(1-EXP(-LN(2)/25))/(LN(2)/25)*Calculateur!AQ82*Calculateur!AS82*VLOOKUP('Données projet'!$B$10,Paramètres!$A$1:$I$89,3,0)*0.475*44/12</f>
        <v>0.52993865391979611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1.5403002285162208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195.80903373714432</v>
      </c>
      <c r="T83" s="62">
        <f t="shared" si="88"/>
        <v>388.30721786668977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1.9895196601282805E-13</v>
      </c>
      <c r="AJ83" s="14">
        <f>AI83*VLOOKUP('Données projet'!$B$10,Paramètres!$A$1:$I$89,3,0)*VLOOKUP('Données projet'!$B$10,Paramètres!$A$1:$I$89,5,0)</f>
        <v>1.8001173884840681E-13</v>
      </c>
      <c r="AK83" s="14">
        <f t="shared" si="89"/>
        <v>2.5254331426407198E-12</v>
      </c>
      <c r="AL83" s="22">
        <f t="shared" si="58"/>
        <v>4.7119831685935622E-12</v>
      </c>
      <c r="AM83" s="62">
        <f t="shared" si="59"/>
        <v>293.33333333333803</v>
      </c>
      <c r="AN83" s="62">
        <f ca="1">AVERAGE(OFFSET($AM$3,0,0,'Données projet'!$E$10+1,1))-AVERAGE(OFFSET($H$3,0,0,'Données projet'!$E$10+1,1))</f>
        <v>302.6112905010138</v>
      </c>
      <c r="AO83" s="62">
        <f t="shared" si="90"/>
        <v>423.44006663873375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0.99054900037829874</v>
      </c>
      <c r="AV83" s="23">
        <f>EXP(-LN(2)/25)*AV82+(1-EXP(-LN(2)/25))/(LN(2)/25)*Calculateur!AQ83*Calculateur!AS83*VLOOKUP('Données projet'!$B$10,Paramètres!$A$1:$I$89,3,0)*0.475*44/12</f>
        <v>0.51544745356009669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1.5059964539383954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195.80903373714432</v>
      </c>
      <c r="T84" s="62">
        <f t="shared" si="88"/>
        <v>388.30721786668977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1.9895196601282805E-13</v>
      </c>
      <c r="AJ84" s="14">
        <f>AI84*VLOOKUP('Données projet'!$B$10,Paramètres!$A$1:$I$89,3,0)*VLOOKUP('Données projet'!$B$10,Paramètres!$A$1:$I$89,5,0)</f>
        <v>1.8001173884840681E-13</v>
      </c>
      <c r="AK84" s="14">
        <f t="shared" si="89"/>
        <v>2.5254331426407198E-12</v>
      </c>
      <c r="AL84" s="22">
        <f t="shared" si="58"/>
        <v>4.7119831685935622E-12</v>
      </c>
      <c r="AM84" s="62">
        <f t="shared" si="59"/>
        <v>293.33333333333803</v>
      </c>
      <c r="AN84" s="62">
        <f ca="1">AVERAGE(OFFSET($AM$3,0,0,'Données projet'!$E$10+1,1))-AVERAGE(OFFSET($H$3,0,0,'Données projet'!$E$10+1,1))</f>
        <v>302.6112905010138</v>
      </c>
      <c r="AO84" s="62">
        <f t="shared" si="90"/>
        <v>423.44006663873375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0.97112493865611316</v>
      </c>
      <c r="AV84" s="23">
        <f>EXP(-LN(2)/25)*AV83+(1-EXP(-LN(2)/25))/(LN(2)/25)*Calculateur!AQ84*Calculateur!AS84*VLOOKUP('Données projet'!$B$10,Paramètres!$A$1:$I$89,3,0)*0.475*44/12</f>
        <v>0.50135251583629237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1.4724774544924055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195.80903373714432</v>
      </c>
      <c r="T85" s="62">
        <f t="shared" si="88"/>
        <v>388.30721786668977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1.9895196601282805E-13</v>
      </c>
      <c r="AJ85" s="14">
        <f>AI85*VLOOKUP('Données projet'!$B$10,Paramètres!$A$1:$I$89,3,0)*VLOOKUP('Données projet'!$B$10,Paramètres!$A$1:$I$89,5,0)</f>
        <v>1.8001173884840681E-13</v>
      </c>
      <c r="AK85" s="14">
        <f t="shared" si="89"/>
        <v>2.5254331426407198E-12</v>
      </c>
      <c r="AL85" s="22">
        <f t="shared" si="58"/>
        <v>4.7119831685935622E-12</v>
      </c>
      <c r="AM85" s="62">
        <f t="shared" si="59"/>
        <v>293.33333333333803</v>
      </c>
      <c r="AN85" s="62">
        <f ca="1">AVERAGE(OFFSET($AM$3,0,0,'Données projet'!$E$10+1,1))-AVERAGE(OFFSET($H$3,0,0,'Données projet'!$E$10+1,1))</f>
        <v>302.6112905010138</v>
      </c>
      <c r="AO85" s="62">
        <f t="shared" si="90"/>
        <v>423.44006663873375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0.9520817709367918</v>
      </c>
      <c r="AV85" s="23">
        <f>EXP(-LN(2)/25)*AV84+(1-EXP(-LN(2)/25))/(LN(2)/25)*Calculateur!AQ85*Calculateur!AS85*VLOOKUP('Données projet'!$B$10,Paramètres!$A$1:$I$89,3,0)*0.475*44/12</f>
        <v>0.48764300492576601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1.4397247758625578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195.80903373714432</v>
      </c>
      <c r="T86" s="62">
        <f t="shared" si="88"/>
        <v>388.30721786668977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1.9895196601282805E-13</v>
      </c>
      <c r="AJ86" s="14">
        <f>AI86*VLOOKUP('Données projet'!$B$10,Paramètres!$A$1:$I$89,3,0)*VLOOKUP('Données projet'!$B$10,Paramètres!$A$1:$I$89,5,0)</f>
        <v>1.8001173884840681E-13</v>
      </c>
      <c r="AK86" s="14">
        <f t="shared" si="89"/>
        <v>2.5254331426407198E-12</v>
      </c>
      <c r="AL86" s="22">
        <f t="shared" si="58"/>
        <v>4.7119831685935622E-12</v>
      </c>
      <c r="AM86" s="62">
        <f t="shared" si="59"/>
        <v>293.33333333333803</v>
      </c>
      <c r="AN86" s="62">
        <f ca="1">AVERAGE(OFFSET($AM$3,0,0,'Données projet'!$E$10+1,1))-AVERAGE(OFFSET($H$3,0,0,'Données projet'!$E$10+1,1))</f>
        <v>302.6112905010138</v>
      </c>
      <c r="AO86" s="62">
        <f t="shared" si="90"/>
        <v>423.44006663873375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0.93341202812126101</v>
      </c>
      <c r="AV86" s="23">
        <f>EXP(-LN(2)/25)*AV85+(1-EXP(-LN(2)/25))/(LN(2)/25)*Calculateur!AQ86*Calculateur!AS86*VLOOKUP('Données projet'!$B$10,Paramètres!$A$1:$I$89,3,0)*0.475*44/12</f>
        <v>0.47430838131203984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1.4077204094333009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195.80903373714432</v>
      </c>
      <c r="T87" s="62">
        <f t="shared" si="88"/>
        <v>388.30721786668977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1.9895196601282805E-13</v>
      </c>
      <c r="AJ87" s="14">
        <f>AI87*VLOOKUP('Données projet'!$B$10,Paramètres!$A$1:$I$89,3,0)*VLOOKUP('Données projet'!$B$10,Paramètres!$A$1:$I$89,5,0)</f>
        <v>1.8001173884840681E-13</v>
      </c>
      <c r="AK87" s="14">
        <f t="shared" si="89"/>
        <v>2.5254331426407198E-12</v>
      </c>
      <c r="AL87" s="22">
        <f t="shared" si="58"/>
        <v>4.7119831685935622E-12</v>
      </c>
      <c r="AM87" s="62">
        <f t="shared" si="59"/>
        <v>293.33333333333803</v>
      </c>
      <c r="AN87" s="62">
        <f ca="1">AVERAGE(OFFSET($AM$3,0,0,'Données projet'!$E$10+1,1))-AVERAGE(OFFSET($H$3,0,0,'Données projet'!$E$10+1,1))</f>
        <v>302.6112905010138</v>
      </c>
      <c r="AO87" s="62">
        <f t="shared" si="90"/>
        <v>423.44006663873375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0.91510838757492408</v>
      </c>
      <c r="AV87" s="23">
        <f>EXP(-LN(2)/25)*AV86+(1-EXP(-LN(2)/25))/(LN(2)/25)*Calculateur!AQ87*Calculateur!AS87*VLOOKUP('Données projet'!$B$10,Paramètres!$A$1:$I$89,3,0)*0.475*44/12</f>
        <v>0.46133839368226837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1.3764467812571923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195.80903373714432</v>
      </c>
      <c r="T88" s="62">
        <f t="shared" si="88"/>
        <v>388.30721786668977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1.9895196601282805E-13</v>
      </c>
      <c r="AJ88" s="14">
        <f>AI88*VLOOKUP('Données projet'!$B$10,Paramètres!$A$1:$I$89,3,0)*VLOOKUP('Données projet'!$B$10,Paramètres!$A$1:$I$89,5,0)</f>
        <v>1.8001173884840681E-13</v>
      </c>
      <c r="AK88" s="14">
        <f t="shared" si="89"/>
        <v>2.5254331426407198E-12</v>
      </c>
      <c r="AL88" s="22">
        <f t="shared" si="58"/>
        <v>4.7119831685935622E-12</v>
      </c>
      <c r="AM88" s="62">
        <f t="shared" si="59"/>
        <v>293.33333333333803</v>
      </c>
      <c r="AN88" s="62">
        <f ca="1">AVERAGE(OFFSET($AM$3,0,0,'Données projet'!$E$10+1,1))-AVERAGE(OFFSET($H$3,0,0,'Données projet'!$E$10+1,1))</f>
        <v>302.6112905010138</v>
      </c>
      <c r="AO88" s="62">
        <f t="shared" si="90"/>
        <v>423.44006663873375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0.89716367025558241</v>
      </c>
      <c r="AV88" s="23">
        <f>EXP(-LN(2)/25)*AV87+(1-EXP(-LN(2)/25))/(LN(2)/25)*Calculateur!AQ88*Calculateur!AS88*VLOOKUP('Données projet'!$B$10,Paramètres!$A$1:$I$89,3,0)*0.475*44/12</f>
        <v>0.448723071046295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1.3458867413018774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195.80903373714432</v>
      </c>
      <c r="T89" s="62">
        <f t="shared" si="88"/>
        <v>388.30721786668977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1.9895196601282805E-13</v>
      </c>
      <c r="AJ89" s="14">
        <f>AI89*VLOOKUP('Données projet'!$B$10,Paramètres!$A$1:$I$89,3,0)*VLOOKUP('Données projet'!$B$10,Paramètres!$A$1:$I$89,5,0)</f>
        <v>1.8001173884840681E-13</v>
      </c>
      <c r="AK89" s="14">
        <f t="shared" si="89"/>
        <v>2.5254331426407198E-12</v>
      </c>
      <c r="AL89" s="22">
        <f t="shared" si="58"/>
        <v>4.7119831685935622E-12</v>
      </c>
      <c r="AM89" s="62">
        <f t="shared" si="59"/>
        <v>293.33333333333803</v>
      </c>
      <c r="AN89" s="62">
        <f ca="1">AVERAGE(OFFSET($AM$3,0,0,'Données projet'!$E$10+1,1))-AVERAGE(OFFSET($H$3,0,0,'Données projet'!$E$10+1,1))</f>
        <v>302.6112905010138</v>
      </c>
      <c r="AO89" s="62">
        <f t="shared" si="90"/>
        <v>423.44006663873375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0.87957083789767621</v>
      </c>
      <c r="AV89" s="23">
        <f>EXP(-LN(2)/25)*AV88+(1-EXP(-LN(2)/25))/(LN(2)/25)*Calculateur!AQ89*Calculateur!AS89*VLOOKUP('Données projet'!$B$10,Paramètres!$A$1:$I$89,3,0)*0.475*44/12</f>
        <v>0.4364527150712133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1.3160235529688895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195.80903373714432</v>
      </c>
      <c r="T90" s="62">
        <f t="shared" si="88"/>
        <v>388.30721786668977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1.9895196601282805E-13</v>
      </c>
      <c r="AJ90" s="14">
        <f>AI90*VLOOKUP('Données projet'!$B$10,Paramètres!$A$1:$I$89,3,0)*VLOOKUP('Données projet'!$B$10,Paramètres!$A$1:$I$89,5,0)</f>
        <v>1.8001173884840681E-13</v>
      </c>
      <c r="AK90" s="14">
        <f t="shared" si="89"/>
        <v>2.5254331426407198E-12</v>
      </c>
      <c r="AL90" s="22">
        <f t="shared" si="58"/>
        <v>4.7119831685935622E-12</v>
      </c>
      <c r="AM90" s="62">
        <f t="shared" si="59"/>
        <v>293.33333333333803</v>
      </c>
      <c r="AN90" s="62">
        <f ca="1">AVERAGE(OFFSET($AM$3,0,0,'Données projet'!$E$10+1,1))-AVERAGE(OFFSET($H$3,0,0,'Données projet'!$E$10+1,1))</f>
        <v>302.6112905010138</v>
      </c>
      <c r="AO90" s="62">
        <f t="shared" si="90"/>
        <v>423.44006663873375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0.86232299025174042</v>
      </c>
      <c r="AV90" s="23">
        <f>EXP(-LN(2)/25)*AV89+(1-EXP(-LN(2)/25))/(LN(2)/25)*Calculateur!AQ90*Calculateur!AS90*VLOOKUP('Données projet'!$B$10,Paramètres!$A$1:$I$89,3,0)*0.475*44/12</f>
        <v>0.42451789262554024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1.2868408828772806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195.80903373714432</v>
      </c>
      <c r="T91" s="62">
        <f t="shared" si="88"/>
        <v>388.30721786668977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1.9895196601282805E-13</v>
      </c>
      <c r="AJ91" s="14">
        <f>AI91*VLOOKUP('Données projet'!$B$10,Paramètres!$A$1:$I$89,3,0)*VLOOKUP('Données projet'!$B$10,Paramètres!$A$1:$I$89,5,0)</f>
        <v>1.8001173884840681E-13</v>
      </c>
      <c r="AK91" s="14">
        <f t="shared" si="89"/>
        <v>2.5254331426407198E-12</v>
      </c>
      <c r="AL91" s="22">
        <f t="shared" si="58"/>
        <v>4.7119831685935622E-12</v>
      </c>
      <c r="AM91" s="62">
        <f t="shared" si="59"/>
        <v>293.33333333333803</v>
      </c>
      <c r="AN91" s="62">
        <f ca="1">AVERAGE(OFFSET($AM$3,0,0,'Données projet'!$E$10+1,1))-AVERAGE(OFFSET($H$3,0,0,'Données projet'!$E$10+1,1))</f>
        <v>302.6112905010138</v>
      </c>
      <c r="AO91" s="62">
        <f t="shared" si="90"/>
        <v>423.44006663873375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0.84541336237799314</v>
      </c>
      <c r="AV91" s="23">
        <f>EXP(-LN(2)/25)*AV90+(1-EXP(-LN(2)/25))/(LN(2)/25)*Calculateur!AQ91*Calculateur!AS91*VLOOKUP('Données projet'!$B$10,Paramètres!$A$1:$I$89,3,0)*0.475*44/12</f>
        <v>0.41290942852726914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1.2583227909052623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195.80903373714432</v>
      </c>
      <c r="T92" s="62">
        <f t="shared" si="88"/>
        <v>388.30721786668977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1.9895196601282805E-13</v>
      </c>
      <c r="AJ92" s="14">
        <f>AI92*VLOOKUP('Données projet'!$B$10,Paramètres!$A$1:$I$89,3,0)*VLOOKUP('Données projet'!$B$10,Paramètres!$A$1:$I$89,5,0)</f>
        <v>1.8001173884840681E-13</v>
      </c>
      <c r="AK92" s="14">
        <f t="shared" si="89"/>
        <v>2.5254331426407198E-12</v>
      </c>
      <c r="AL92" s="22">
        <f t="shared" si="58"/>
        <v>4.7119831685935622E-12</v>
      </c>
      <c r="AM92" s="62">
        <f t="shared" si="59"/>
        <v>293.33333333333803</v>
      </c>
      <c r="AN92" s="62">
        <f ca="1">AVERAGE(OFFSET($AM$3,0,0,'Données projet'!$E$10+1,1))-AVERAGE(OFFSET($H$3,0,0,'Données projet'!$E$10+1,1))</f>
        <v>302.6112905010138</v>
      </c>
      <c r="AO92" s="62">
        <f t="shared" si="90"/>
        <v>423.44006663873375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0.82883532199299537</v>
      </c>
      <c r="AV92" s="23">
        <f>EXP(-LN(2)/25)*AV91+(1-EXP(-LN(2)/25))/(LN(2)/25)*Calculateur!AQ92*Calculateur!AS92*VLOOKUP('Données projet'!$B$10,Paramètres!$A$1:$I$89,3,0)*0.475*44/12</f>
        <v>0.40161839849022785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1.2304537204832231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195.80903373714432</v>
      </c>
      <c r="T93" s="62">
        <f t="shared" si="88"/>
        <v>388.30721786668977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1.9895196601282805E-13</v>
      </c>
      <c r="AJ93" s="14">
        <f>AI93*VLOOKUP('Données projet'!$B$10,Paramètres!$A$1:$I$89,3,0)*VLOOKUP('Données projet'!$B$10,Paramètres!$A$1:$I$89,5,0)</f>
        <v>1.8001173884840681E-13</v>
      </c>
      <c r="AK93" s="14">
        <f t="shared" si="89"/>
        <v>2.5254331426407198E-12</v>
      </c>
      <c r="AL93" s="22">
        <f t="shared" si="58"/>
        <v>4.7119831685935622E-12</v>
      </c>
      <c r="AM93" s="62">
        <f t="shared" si="59"/>
        <v>293.33333333333803</v>
      </c>
      <c r="AN93" s="62">
        <f ca="1">AVERAGE(OFFSET($AM$3,0,0,'Données projet'!$E$10+1,1))-AVERAGE(OFFSET($H$3,0,0,'Données projet'!$E$10+1,1))</f>
        <v>302.6112905010138</v>
      </c>
      <c r="AO93" s="62">
        <f t="shared" si="90"/>
        <v>423.44006663873375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0.81258236686834129</v>
      </c>
      <c r="AV93" s="23">
        <f>EXP(-LN(2)/25)*AV92+(1-EXP(-LN(2)/25))/(LN(2)/25)*Calculateur!AQ93*Calculateur!AS93*VLOOKUP('Données projet'!$B$10,Paramètres!$A$1:$I$89,3,0)*0.475*44/12</f>
        <v>0.3906361222633189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1.2032184891316602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195.80903373714432</v>
      </c>
      <c r="T94" s="62">
        <f t="shared" si="88"/>
        <v>388.30721786668977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1.9895196601282805E-13</v>
      </c>
      <c r="AJ94" s="14">
        <f>AI94*VLOOKUP('Données projet'!$B$10,Paramètres!$A$1:$I$89,3,0)*VLOOKUP('Données projet'!$B$10,Paramètres!$A$1:$I$89,5,0)</f>
        <v>1.8001173884840681E-13</v>
      </c>
      <c r="AK94" s="14">
        <f t="shared" si="89"/>
        <v>2.5254331426407198E-12</v>
      </c>
      <c r="AL94" s="22">
        <f t="shared" si="58"/>
        <v>4.7119831685935622E-12</v>
      </c>
      <c r="AM94" s="62">
        <f t="shared" si="59"/>
        <v>293.33333333333803</v>
      </c>
      <c r="AN94" s="62">
        <f ca="1">AVERAGE(OFFSET($AM$3,0,0,'Données projet'!$E$10+1,1))-AVERAGE(OFFSET($H$3,0,0,'Données projet'!$E$10+1,1))</f>
        <v>302.6112905010138</v>
      </c>
      <c r="AO94" s="62">
        <f t="shared" si="90"/>
        <v>423.44006663873375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0.79664812228035786</v>
      </c>
      <c r="AV94" s="23">
        <f>EXP(-LN(2)/25)*AV93+(1-EXP(-LN(2)/25))/(LN(2)/25)*Calculateur!AQ94*Calculateur!AS94*VLOOKUP('Données projet'!$B$10,Paramètres!$A$1:$I$89,3,0)*0.475*44/12</f>
        <v>0.37995415695736756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1.1766022792377253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195.80903373714432</v>
      </c>
      <c r="T95" s="62">
        <f t="shared" si="88"/>
        <v>388.30721786668977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1.9895196601282805E-13</v>
      </c>
      <c r="AJ95" s="14">
        <f>AI95*VLOOKUP('Données projet'!$B$10,Paramètres!$A$1:$I$89,3,0)*VLOOKUP('Données projet'!$B$10,Paramètres!$A$1:$I$89,5,0)</f>
        <v>1.8001173884840681E-13</v>
      </c>
      <c r="AK95" s="14">
        <f t="shared" si="89"/>
        <v>2.5254331426407198E-12</v>
      </c>
      <c r="AL95" s="22">
        <f t="shared" si="58"/>
        <v>4.7119831685935622E-12</v>
      </c>
      <c r="AM95" s="62">
        <f t="shared" si="59"/>
        <v>293.33333333333803</v>
      </c>
      <c r="AN95" s="62">
        <f ca="1">AVERAGE(OFFSET($AM$3,0,0,'Données projet'!$E$10+1,1))-AVERAGE(OFFSET($H$3,0,0,'Données projet'!$E$10+1,1))</f>
        <v>302.6112905010138</v>
      </c>
      <c r="AO95" s="62">
        <f t="shared" si="90"/>
        <v>423.44006663873375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0.78102633850981529</v>
      </c>
      <c r="AV95" s="23">
        <f>EXP(-LN(2)/25)*AV94+(1-EXP(-LN(2)/25))/(LN(2)/25)*Calculateur!AQ95*Calculateur!AS95*VLOOKUP('Données projet'!$B$10,Paramètres!$A$1:$I$89,3,0)*0.475*44/12</f>
        <v>0.36956429055444762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1.1505906290642629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195.80903373714432</v>
      </c>
      <c r="T96" s="62">
        <f t="shared" si="88"/>
        <v>388.30721786668977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1.9895196601282805E-13</v>
      </c>
      <c r="AJ96" s="14">
        <f>AI96*VLOOKUP('Données projet'!$B$10,Paramètres!$A$1:$I$89,3,0)*VLOOKUP('Données projet'!$B$10,Paramètres!$A$1:$I$89,5,0)</f>
        <v>1.8001173884840681E-13</v>
      </c>
      <c r="AK96" s="14">
        <f t="shared" si="89"/>
        <v>2.5254331426407198E-12</v>
      </c>
      <c r="AL96" s="22">
        <f t="shared" si="58"/>
        <v>4.7119831685935622E-12</v>
      </c>
      <c r="AM96" s="62">
        <f t="shared" si="59"/>
        <v>293.33333333333803</v>
      </c>
      <c r="AN96" s="62">
        <f ca="1">AVERAGE(OFFSET($AM$3,0,0,'Données projet'!$E$10+1,1))-AVERAGE(OFFSET($H$3,0,0,'Données projet'!$E$10+1,1))</f>
        <v>302.6112905010138</v>
      </c>
      <c r="AO96" s="62">
        <f t="shared" si="90"/>
        <v>423.44006663873375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0.76571088839066581</v>
      </c>
      <c r="AV96" s="23">
        <f>EXP(-LN(2)/25)*AV95+(1-EXP(-LN(2)/25))/(LN(2)/25)*Calculateur!AQ96*Calculateur!AS96*VLOOKUP('Données projet'!$B$10,Paramètres!$A$1:$I$89,3,0)*0.475*44/12</f>
        <v>0.35945853559469487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1.1251694239853607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195.80903373714432</v>
      </c>
      <c r="T97" s="62">
        <f t="shared" si="88"/>
        <v>388.30721786668977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1.9895196601282805E-13</v>
      </c>
      <c r="AJ97" s="14">
        <f>AI97*VLOOKUP('Données projet'!$B$10,Paramètres!$A$1:$I$89,3,0)*VLOOKUP('Données projet'!$B$10,Paramètres!$A$1:$I$89,5,0)</f>
        <v>1.8001173884840681E-13</v>
      </c>
      <c r="AK97" s="14">
        <f t="shared" si="89"/>
        <v>2.5254331426407198E-12</v>
      </c>
      <c r="AL97" s="22">
        <f t="shared" si="58"/>
        <v>4.7119831685935622E-12</v>
      </c>
      <c r="AM97" s="62">
        <f t="shared" si="59"/>
        <v>293.33333333333803</v>
      </c>
      <c r="AN97" s="62">
        <f ca="1">AVERAGE(OFFSET($AM$3,0,0,'Données projet'!$E$10+1,1))-AVERAGE(OFFSET($H$3,0,0,'Données projet'!$E$10+1,1))</f>
        <v>302.6112905010138</v>
      </c>
      <c r="AO97" s="62">
        <f t="shared" si="90"/>
        <v>423.44006663873375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0.75069576490685064</v>
      </c>
      <c r="AV97" s="23">
        <f>EXP(-LN(2)/25)*AV96+(1-EXP(-LN(2)/25))/(LN(2)/25)*Calculateur!AQ97*Calculateur!AS97*VLOOKUP('Données projet'!$B$10,Paramètres!$A$1:$I$89,3,0)*0.475*44/12</f>
        <v>0.34962912303575511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1.1003248879426057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195.80903373714432</v>
      </c>
      <c r="T98" s="62">
        <f t="shared" si="88"/>
        <v>388.30721786668977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1.9895196601282805E-13</v>
      </c>
      <c r="AJ98" s="14">
        <f>AI98*VLOOKUP('Données projet'!$B$10,Paramètres!$A$1:$I$89,3,0)*VLOOKUP('Données projet'!$B$10,Paramètres!$A$1:$I$89,5,0)</f>
        <v>1.8001173884840681E-13</v>
      </c>
      <c r="AK98" s="14">
        <f t="shared" si="89"/>
        <v>2.5254331426407198E-12</v>
      </c>
      <c r="AL98" s="22">
        <f t="shared" si="58"/>
        <v>4.7119831685935622E-12</v>
      </c>
      <c r="AM98" s="62">
        <f t="shared" si="59"/>
        <v>293.33333333333803</v>
      </c>
      <c r="AN98" s="62">
        <f ca="1">AVERAGE(OFFSET($AM$3,0,0,'Données projet'!$E$10+1,1))-AVERAGE(OFFSET($H$3,0,0,'Données projet'!$E$10+1,1))</f>
        <v>302.6112905010138</v>
      </c>
      <c r="AO98" s="62">
        <f t="shared" si="90"/>
        <v>423.44006663873375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0.73597507883623203</v>
      </c>
      <c r="AV98" s="23">
        <f>EXP(-LN(2)/25)*AV97+(1-EXP(-LN(2)/25))/(LN(2)/25)*Calculateur!AQ98*Calculateur!AS98*VLOOKUP('Données projet'!$B$10,Paramètres!$A$1:$I$89,3,0)*0.475*44/12</f>
        <v>0.3400684962801459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1.0760435751163779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195.80903373714432</v>
      </c>
      <c r="T99" s="62">
        <f t="shared" si="88"/>
        <v>388.30721786668977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1.9895196601282805E-13</v>
      </c>
      <c r="AJ99" s="14">
        <f>AI99*VLOOKUP('Données projet'!$B$10,Paramètres!$A$1:$I$89,3,0)*VLOOKUP('Données projet'!$B$10,Paramètres!$A$1:$I$89,5,0)</f>
        <v>1.8001173884840681E-13</v>
      </c>
      <c r="AK99" s="14">
        <f t="shared" si="89"/>
        <v>2.5254331426407198E-12</v>
      </c>
      <c r="AL99" s="22">
        <f t="shared" si="58"/>
        <v>4.7119831685935622E-12</v>
      </c>
      <c r="AM99" s="62">
        <f t="shared" si="59"/>
        <v>293.33333333333803</v>
      </c>
      <c r="AN99" s="62">
        <f ca="1">AVERAGE(OFFSET($AM$3,0,0,'Données projet'!$E$10+1,1))-AVERAGE(OFFSET($H$3,0,0,'Données projet'!$E$10+1,1))</f>
        <v>302.6112905010138</v>
      </c>
      <c r="AO99" s="62">
        <f t="shared" si="90"/>
        <v>423.44006663873375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0.72154305644072636</v>
      </c>
      <c r="AV99" s="23">
        <f>EXP(-LN(2)/25)*AV98+(1-EXP(-LN(2)/25))/(LN(2)/25)*Calculateur!AQ99*Calculateur!AS99*VLOOKUP('Données projet'!$B$10,Paramètres!$A$1:$I$89,3,0)*0.475*44/12</f>
        <v>0.33076930536594035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1.0523123618066668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195.80903373714432</v>
      </c>
      <c r="T100" s="62">
        <f t="shared" si="88"/>
        <v>388.30721786668977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1.9895196601282805E-13</v>
      </c>
      <c r="AJ100" s="14">
        <f>AI100*VLOOKUP('Données projet'!$B$10,Paramètres!$A$1:$I$89,3,0)*VLOOKUP('Données projet'!$B$10,Paramètres!$A$1:$I$89,5,0)</f>
        <v>1.8001173884840681E-13</v>
      </c>
      <c r="AK100" s="14">
        <f t="shared" si="89"/>
        <v>2.5254331426407198E-12</v>
      </c>
      <c r="AL100" s="22">
        <f t="shared" si="58"/>
        <v>4.7119831685935622E-12</v>
      </c>
      <c r="AM100" s="62">
        <f t="shared" si="59"/>
        <v>293.33333333333803</v>
      </c>
      <c r="AN100" s="62">
        <f ca="1">AVERAGE(OFFSET($AM$3,0,0,'Données projet'!$E$10+1,1))-AVERAGE(OFFSET($H$3,0,0,'Données projet'!$E$10+1,1))</f>
        <v>302.6112905010138</v>
      </c>
      <c r="AO100" s="62">
        <f t="shared" si="90"/>
        <v>423.44006663873375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0.70739403720173211</v>
      </c>
      <c r="AV100" s="23">
        <f>EXP(-LN(2)/25)*AV99+(1-EXP(-LN(2)/25))/(LN(2)/25)*Calculateur!AQ100*Calculateur!AS100*VLOOKUP('Données projet'!$B$10,Paramètres!$A$1:$I$89,3,0)*0.475*44/12</f>
        <v>0.32172440131630692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1.029118438518039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195.80903373714432</v>
      </c>
      <c r="T101" s="62">
        <f t="shared" si="88"/>
        <v>388.30721786668977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1.9895196601282805E-13</v>
      </c>
      <c r="AJ101" s="14">
        <f>AI101*VLOOKUP('Données projet'!$B$10,Paramètres!$A$1:$I$89,3,0)*VLOOKUP('Données projet'!$B$10,Paramètres!$A$1:$I$89,5,0)</f>
        <v>1.8001173884840681E-13</v>
      </c>
      <c r="AK101" s="14">
        <f t="shared" si="89"/>
        <v>2.5254331426407198E-12</v>
      </c>
      <c r="AL101" s="22">
        <f t="shared" si="58"/>
        <v>4.7119831685935622E-12</v>
      </c>
      <c r="AM101" s="62">
        <f t="shared" si="59"/>
        <v>293.33333333333803</v>
      </c>
      <c r="AN101" s="62">
        <f ca="1">AVERAGE(OFFSET($AM$3,0,0,'Données projet'!$E$10+1,1))-AVERAGE(OFFSET($H$3,0,0,'Données projet'!$E$10+1,1))</f>
        <v>302.6112905010138</v>
      </c>
      <c r="AO101" s="62">
        <f t="shared" si="90"/>
        <v>423.44006663873375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0.69352247159996494</v>
      </c>
      <c r="AV101" s="23">
        <f>EXP(-LN(2)/25)*AV100+(1-EXP(-LN(2)/25))/(LN(2)/25)*Calculateur!AQ101*Calculateur!AS101*VLOOKUP('Données projet'!$B$10,Paramètres!$A$1:$I$89,3,0)*0.475*44/12</f>
        <v>0.31292683064356153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1.0064493022435266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195.80903373714432</v>
      </c>
      <c r="T102" s="62">
        <f t="shared" si="88"/>
        <v>388.30721786668977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1.9895196601282805E-13</v>
      </c>
      <c r="AJ102" s="14">
        <f>AI102*VLOOKUP('Données projet'!$B$10,Paramètres!$A$1:$I$89,3,0)*VLOOKUP('Données projet'!$B$10,Paramètres!$A$1:$I$89,5,0)</f>
        <v>1.8001173884840681E-13</v>
      </c>
      <c r="AK102" s="14">
        <f t="shared" si="89"/>
        <v>2.5254331426407198E-12</v>
      </c>
      <c r="AL102" s="22">
        <f t="shared" si="58"/>
        <v>4.7119831685935622E-12</v>
      </c>
      <c r="AM102" s="62">
        <f t="shared" si="59"/>
        <v>293.33333333333803</v>
      </c>
      <c r="AN102" s="62">
        <f ca="1">AVERAGE(OFFSET($AM$3,0,0,'Données projet'!$E$10+1,1))-AVERAGE(OFFSET($H$3,0,0,'Données projet'!$E$10+1,1))</f>
        <v>302.6112905010138</v>
      </c>
      <c r="AO102" s="62">
        <f t="shared" si="90"/>
        <v>423.44006663873375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0.67992291893882884</v>
      </c>
      <c r="AV102" s="23">
        <f>EXP(-LN(2)/25)*AV101+(1-EXP(-LN(2)/25))/(LN(2)/25)*Calculateur!AQ102*Calculateur!AS102*VLOOKUP('Données projet'!$B$10,Paramètres!$A$1:$I$89,3,0)*0.475*44/12</f>
        <v>0.30436983000350654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0.98429274894233543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195.80903373714432</v>
      </c>
      <c r="T103" s="62">
        <f t="shared" si="88"/>
        <v>388.30721786668977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1.9895196601282805E-13</v>
      </c>
      <c r="AJ103" s="14">
        <f>AI103*VLOOKUP('Données projet'!$B$10,Paramètres!$A$1:$I$89,3,0)*VLOOKUP('Données projet'!$B$10,Paramètres!$A$1:$I$89,5,0)</f>
        <v>1.8001173884840681E-13</v>
      </c>
      <c r="AK103" s="14">
        <f t="shared" si="89"/>
        <v>2.5254331426407198E-12</v>
      </c>
      <c r="AL103" s="22">
        <f t="shared" si="58"/>
        <v>4.7119831685935622E-12</v>
      </c>
      <c r="AM103" s="62">
        <f t="shared" si="59"/>
        <v>293.33333333333803</v>
      </c>
      <c r="AN103" s="62">
        <f ca="1">AVERAGE(OFFSET($AM$3,0,0,'Données projet'!$E$10+1,1))-AVERAGE(OFFSET($H$3,0,0,'Données projet'!$E$10+1,1))</f>
        <v>302.6112905010138</v>
      </c>
      <c r="AO103" s="62">
        <f t="shared" si="90"/>
        <v>423.44006663873375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0.6665900452104695</v>
      </c>
      <c r="AV103" s="23">
        <f>EXP(-LN(2)/25)*AV102+(1-EXP(-LN(2)/25))/(LN(2)/25)*Calculateur!AQ103*Calculateur!AS103*VLOOKUP('Données projet'!$B$10,Paramètres!$A$1:$I$89,3,0)*0.475*44/12</f>
        <v>0.29604682099594692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0.96263686620641642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195.80903373714432</v>
      </c>
      <c r="T104" s="62">
        <f t="shared" si="88"/>
        <v>388.30721786668977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1.9895196601282805E-13</v>
      </c>
      <c r="AJ104" s="14">
        <f>AI104*VLOOKUP('Données projet'!$B$10,Paramètres!$A$1:$I$89,3,0)*VLOOKUP('Données projet'!$B$10,Paramètres!$A$1:$I$89,5,0)</f>
        <v>1.8001173884840681E-13</v>
      </c>
      <c r="AK104" s="14">
        <f t="shared" si="89"/>
        <v>2.5254331426407198E-12</v>
      </c>
      <c r="AL104" s="22">
        <f t="shared" si="58"/>
        <v>4.7119831685935622E-12</v>
      </c>
      <c r="AM104" s="62">
        <f t="shared" si="59"/>
        <v>293.33333333333803</v>
      </c>
      <c r="AN104" s="62">
        <f ca="1">AVERAGE(OFFSET($AM$3,0,0,'Données projet'!$E$10+1,1))-AVERAGE(OFFSET($H$3,0,0,'Données projet'!$E$10+1,1))</f>
        <v>302.6112905010138</v>
      </c>
      <c r="AO104" s="62">
        <f t="shared" si="90"/>
        <v>423.44006663873375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0.65351862100367331</v>
      </c>
      <c r="AV104" s="23">
        <f>EXP(-LN(2)/25)*AV103+(1-EXP(-LN(2)/25))/(LN(2)/25)*Calculateur!AQ104*Calculateur!AS104*VLOOKUP('Données projet'!$B$10,Paramètres!$A$1:$I$89,3,0)*0.475*44/12</f>
        <v>0.28795140510738704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0.94147002611106034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195.80903373714432</v>
      </c>
      <c r="T105" s="62">
        <f t="shared" si="88"/>
        <v>388.30721786668977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1.9895196601282805E-13</v>
      </c>
      <c r="AJ105" s="14">
        <f>AI105*VLOOKUP('Données projet'!$B$10,Paramètres!$A$1:$I$89,3,0)*VLOOKUP('Données projet'!$B$10,Paramètres!$A$1:$I$89,5,0)</f>
        <v>1.8001173884840681E-13</v>
      </c>
      <c r="AK105" s="14">
        <f t="shared" si="89"/>
        <v>2.5254331426407198E-12</v>
      </c>
      <c r="AL105" s="22">
        <f t="shared" si="58"/>
        <v>4.7119831685935622E-12</v>
      </c>
      <c r="AM105" s="62">
        <f t="shared" si="59"/>
        <v>293.33333333333803</v>
      </c>
      <c r="AN105" s="62">
        <f ca="1">AVERAGE(OFFSET($AM$3,0,0,'Données projet'!$E$10+1,1))-AVERAGE(OFFSET($H$3,0,0,'Données projet'!$E$10+1,1))</f>
        <v>302.6112905010138</v>
      </c>
      <c r="AO105" s="62">
        <f t="shared" si="90"/>
        <v>423.44006663873375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0.64070351945279091</v>
      </c>
      <c r="AV105" s="23">
        <f>EXP(-LN(2)/25)*AV104+(1-EXP(-LN(2)/25))/(LN(2)/25)*Calculateur!AQ105*Calculateur!AS105*VLOOKUP('Données projet'!$B$10,Paramètres!$A$1:$I$89,3,0)*0.475*44/12</f>
        <v>0.28007735879201928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0.92078087824481014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195.80903373714432</v>
      </c>
      <c r="T106" s="62">
        <f t="shared" si="88"/>
        <v>388.30721786668977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1.9895196601282805E-13</v>
      </c>
      <c r="AJ106" s="14">
        <f>AI106*VLOOKUP('Données projet'!$B$10,Paramètres!$A$1:$I$89,3,0)*VLOOKUP('Données projet'!$B$10,Paramètres!$A$1:$I$89,5,0)</f>
        <v>1.8001173884840681E-13</v>
      </c>
      <c r="AK106" s="14">
        <f t="shared" si="89"/>
        <v>2.5254331426407198E-12</v>
      </c>
      <c r="AL106" s="22">
        <f t="shared" si="58"/>
        <v>4.7119831685935622E-12</v>
      </c>
      <c r="AM106" s="62">
        <f t="shared" si="59"/>
        <v>293.33333333333803</v>
      </c>
      <c r="AN106" s="62">
        <f ca="1">AVERAGE(OFFSET($AM$3,0,0,'Données projet'!$E$10+1,1))-AVERAGE(OFFSET($H$3,0,0,'Données projet'!$E$10+1,1))</f>
        <v>302.6112905010138</v>
      </c>
      <c r="AO106" s="62">
        <f t="shared" si="90"/>
        <v>423.44006663873375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0.6281397142268812</v>
      </c>
      <c r="AV106" s="23">
        <f>EXP(-LN(2)/25)*AV105+(1-EXP(-LN(2)/25))/(LN(2)/25)*Calculateur!AQ106*Calculateur!AS106*VLOOKUP('Données projet'!$B$10,Paramètres!$A$1:$I$89,3,0)*0.475*44/12</f>
        <v>0.27241862868722333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0.90055834291410453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195.80903373714432</v>
      </c>
      <c r="T107" s="62">
        <f t="shared" si="88"/>
        <v>388.30721786668977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1.9895196601282805E-13</v>
      </c>
      <c r="AJ107" s="14">
        <f>AI107*VLOOKUP('Données projet'!$B$10,Paramètres!$A$1:$I$89,3,0)*VLOOKUP('Données projet'!$B$10,Paramètres!$A$1:$I$89,5,0)</f>
        <v>1.8001173884840681E-13</v>
      </c>
      <c r="AK107" s="14">
        <f t="shared" si="89"/>
        <v>2.5254331426407198E-12</v>
      </c>
      <c r="AL107" s="22">
        <f t="shared" si="58"/>
        <v>4.7119831685935622E-12</v>
      </c>
      <c r="AM107" s="62">
        <f t="shared" si="59"/>
        <v>293.33333333333803</v>
      </c>
      <c r="AN107" s="62">
        <f ca="1">AVERAGE(OFFSET($AM$3,0,0,'Données projet'!$E$10+1,1))-AVERAGE(OFFSET($H$3,0,0,'Données projet'!$E$10+1,1))</f>
        <v>302.6112905010138</v>
      </c>
      <c r="AO107" s="62">
        <f t="shared" si="90"/>
        <v>423.44006663873375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0.615822277558287</v>
      </c>
      <c r="AV107" s="23">
        <f>EXP(-LN(2)/25)*AV106+(1-EXP(-LN(2)/25))/(LN(2)/25)*Calculateur!AQ107*Calculateur!AS107*VLOOKUP('Données projet'!$B$10,Paramètres!$A$1:$I$89,3,0)*0.475*44/12</f>
        <v>0.26496932695989817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0.88079160451818517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195.80903373714432</v>
      </c>
      <c r="T108" s="62">
        <f t="shared" si="88"/>
        <v>388.30721786668977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1.9895196601282805E-13</v>
      </c>
      <c r="AJ108" s="14">
        <f>AI108*VLOOKUP('Données projet'!$B$10,Paramètres!$A$1:$I$89,3,0)*VLOOKUP('Données projet'!$B$10,Paramètres!$A$1:$I$89,5,0)</f>
        <v>1.8001173884840681E-13</v>
      </c>
      <c r="AK108" s="14">
        <f t="shared" si="89"/>
        <v>2.5254331426407198E-12</v>
      </c>
      <c r="AL108" s="22">
        <f t="shared" si="58"/>
        <v>4.7119831685935622E-12</v>
      </c>
      <c r="AM108" s="62">
        <f t="shared" si="59"/>
        <v>293.33333333333803</v>
      </c>
      <c r="AN108" s="62">
        <f ca="1">AVERAGE(OFFSET($AM$3,0,0,'Données projet'!$E$10+1,1))-AVERAGE(OFFSET($H$3,0,0,'Données projet'!$E$10+1,1))</f>
        <v>302.6112905010138</v>
      </c>
      <c r="AO108" s="62">
        <f t="shared" si="90"/>
        <v>423.44006663873375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0.60374637830986944</v>
      </c>
      <c r="AV108" s="23">
        <f>EXP(-LN(2)/25)*AV107+(1-EXP(-LN(2)/25))/(LN(2)/25)*Calculateur!AQ108*Calculateur!AS108*VLOOKUP('Données projet'!$B$10,Paramètres!$A$1:$I$89,3,0)*0.475*44/12</f>
        <v>0.25772372678004846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0.86147010508991784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195.80903373714432</v>
      </c>
      <c r="T109" s="62">
        <f t="shared" si="88"/>
        <v>388.30721786668977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1.9895196601282805E-13</v>
      </c>
      <c r="AJ109" s="14">
        <f>AI109*VLOOKUP('Données projet'!$B$10,Paramètres!$A$1:$I$89,3,0)*VLOOKUP('Données projet'!$B$10,Paramètres!$A$1:$I$89,5,0)</f>
        <v>1.8001173884840681E-13</v>
      </c>
      <c r="AK109" s="14">
        <f t="shared" si="89"/>
        <v>2.5254331426407198E-12</v>
      </c>
      <c r="AL109" s="22">
        <f t="shared" si="58"/>
        <v>4.7119831685935622E-12</v>
      </c>
      <c r="AM109" s="62">
        <f t="shared" si="59"/>
        <v>293.33333333333803</v>
      </c>
      <c r="AN109" s="62">
        <f ca="1">AVERAGE(OFFSET($AM$3,0,0,'Données projet'!$E$10+1,1))-AVERAGE(OFFSET($H$3,0,0,'Données projet'!$E$10+1,1))</f>
        <v>302.6112905010138</v>
      </c>
      <c r="AO109" s="62">
        <f t="shared" si="90"/>
        <v>423.44006663873375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0.59190728008014215</v>
      </c>
      <c r="AV109" s="23">
        <f>EXP(-LN(2)/25)*AV108+(1-EXP(-LN(2)/25))/(LN(2)/25)*Calculateur!AQ109*Calculateur!AS109*VLOOKUP('Données projet'!$B$10,Paramètres!$A$1:$I$89,3,0)*0.475*44/12</f>
        <v>0.25067625791814629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0.84258353799828845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195.80903373714432</v>
      </c>
      <c r="T110" s="62">
        <f t="shared" si="88"/>
        <v>388.30721786668977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1.9895196601282805E-13</v>
      </c>
      <c r="AJ110" s="14">
        <f>AI110*VLOOKUP('Données projet'!$B$10,Paramètres!$A$1:$I$89,3,0)*VLOOKUP('Données projet'!$B$10,Paramètres!$A$1:$I$89,5,0)</f>
        <v>1.8001173884840681E-13</v>
      </c>
      <c r="AK110" s="14">
        <f t="shared" si="89"/>
        <v>2.5254331426407198E-12</v>
      </c>
      <c r="AL110" s="22">
        <f t="shared" si="58"/>
        <v>4.7119831685935622E-12</v>
      </c>
      <c r="AM110" s="62">
        <f t="shared" si="59"/>
        <v>293.33333333333803</v>
      </c>
      <c r="AN110" s="62">
        <f ca="1">AVERAGE(OFFSET($AM$3,0,0,'Données projet'!$E$10+1,1))-AVERAGE(OFFSET($H$3,0,0,'Données projet'!$E$10+1,1))</f>
        <v>302.6112905010138</v>
      </c>
      <c r="AO110" s="62">
        <f t="shared" si="90"/>
        <v>423.44006663873375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0.58030033934556291</v>
      </c>
      <c r="AV110" s="23">
        <f>EXP(-LN(2)/25)*AV109+(1-EXP(-LN(2)/25))/(LN(2)/25)*Calculateur!AQ110*Calculateur!AS110*VLOOKUP('Données projet'!$B$10,Paramètres!$A$1:$I$89,3,0)*0.475*44/12</f>
        <v>0.24382150246288312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0.82412184180844605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195.80903373714432</v>
      </c>
      <c r="T111" s="62">
        <f t="shared" si="88"/>
        <v>388.30721786668977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1.9895196601282805E-13</v>
      </c>
      <c r="AJ111" s="14">
        <f>AI111*VLOOKUP('Données projet'!$B$10,Paramètres!$A$1:$I$89,3,0)*VLOOKUP('Données projet'!$B$10,Paramètres!$A$1:$I$89,5,0)</f>
        <v>1.8001173884840681E-13</v>
      </c>
      <c r="AK111" s="14">
        <f t="shared" si="89"/>
        <v>2.5254331426407198E-12</v>
      </c>
      <c r="AL111" s="22">
        <f t="shared" si="58"/>
        <v>4.7119831685935622E-12</v>
      </c>
      <c r="AM111" s="62">
        <f t="shared" si="59"/>
        <v>293.33333333333803</v>
      </c>
      <c r="AN111" s="62">
        <f ca="1">AVERAGE(OFFSET($AM$3,0,0,'Données projet'!$E$10+1,1))-AVERAGE(OFFSET($H$3,0,0,'Données projet'!$E$10+1,1))</f>
        <v>302.6112905010138</v>
      </c>
      <c r="AO111" s="62">
        <f t="shared" si="90"/>
        <v>423.44006663873375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0.56892100363925391</v>
      </c>
      <c r="AV111" s="23">
        <f>EXP(-LN(2)/25)*AV110+(1-EXP(-LN(2)/25))/(LN(2)/25)*Calculateur!AQ111*Calculateur!AS111*VLOOKUP('Données projet'!$B$10,Paramètres!$A$1:$I$89,3,0)*0.475*44/12</f>
        <v>0.23715419065602003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0.80607519429527397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195.80903373714432</v>
      </c>
      <c r="T112" s="62">
        <f t="shared" si="88"/>
        <v>388.30721786668977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1.9895196601282805E-13</v>
      </c>
      <c r="AJ112" s="14">
        <f>AI112*VLOOKUP('Données projet'!$B$10,Paramètres!$A$1:$I$89,3,0)*VLOOKUP('Données projet'!$B$10,Paramètres!$A$1:$I$89,5,0)</f>
        <v>1.8001173884840681E-13</v>
      </c>
      <c r="AK112" s="14">
        <f t="shared" si="89"/>
        <v>2.5254331426407198E-12</v>
      </c>
      <c r="AL112" s="22">
        <f t="shared" si="58"/>
        <v>4.7119831685935622E-12</v>
      </c>
      <c r="AM112" s="62">
        <f t="shared" si="59"/>
        <v>293.33333333333803</v>
      </c>
      <c r="AN112" s="62">
        <f ca="1">AVERAGE(OFFSET($AM$3,0,0,'Données projet'!$E$10+1,1))-AVERAGE(OFFSET($H$3,0,0,'Données projet'!$E$10+1,1))</f>
        <v>302.6112905010138</v>
      </c>
      <c r="AO112" s="62">
        <f t="shared" si="90"/>
        <v>423.44006663873375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0.55776480976543619</v>
      </c>
      <c r="AV112" s="23">
        <f>EXP(-LN(2)/25)*AV111+(1-EXP(-LN(2)/25))/(LN(2)/25)*Calculateur!AQ112*Calculateur!AS112*VLOOKUP('Données projet'!$B$10,Paramètres!$A$1:$I$89,3,0)*0.475*44/12</f>
        <v>0.23066919684113429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0.78843400660657048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195.80903373714432</v>
      </c>
      <c r="T113" s="62">
        <f t="shared" si="88"/>
        <v>388.30721786668977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1.9895196601282805E-13</v>
      </c>
      <c r="AJ113" s="14">
        <f>AI113*VLOOKUP('Données projet'!$B$10,Paramètres!$A$1:$I$89,3,0)*VLOOKUP('Données projet'!$B$10,Paramètres!$A$1:$I$89,5,0)</f>
        <v>1.8001173884840681E-13</v>
      </c>
      <c r="AK113" s="14">
        <f t="shared" si="89"/>
        <v>2.5254331426407198E-12</v>
      </c>
      <c r="AL113" s="22">
        <f t="shared" si="58"/>
        <v>4.7119831685935622E-12</v>
      </c>
      <c r="AM113" s="62">
        <f t="shared" si="59"/>
        <v>293.33333333333803</v>
      </c>
      <c r="AN113" s="62">
        <f ca="1">AVERAGE(OFFSET($AM$3,0,0,'Données projet'!$E$10+1,1))-AVERAGE(OFFSET($H$3,0,0,'Données projet'!$E$10+1,1))</f>
        <v>302.6112905010138</v>
      </c>
      <c r="AO113" s="62">
        <f t="shared" si="90"/>
        <v>423.44006663873375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0.54682738204887771</v>
      </c>
      <c r="AV113" s="23">
        <f>EXP(-LN(2)/25)*AV112+(1-EXP(-LN(2)/25))/(LN(2)/25)*Calculateur!AQ113*Calculateur!AS113*VLOOKUP('Données projet'!$B$10,Paramètres!$A$1:$I$89,3,0)*0.475*44/12</f>
        <v>0.22436153552314761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0.77118891757202535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195.80903373714432</v>
      </c>
      <c r="T114" s="62">
        <f t="shared" si="88"/>
        <v>388.30721786668977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1.9895196601282805E-13</v>
      </c>
      <c r="AJ114" s="14">
        <f>AI114*VLOOKUP('Données projet'!$B$10,Paramètres!$A$1:$I$89,3,0)*VLOOKUP('Données projet'!$B$10,Paramètres!$A$1:$I$89,5,0)</f>
        <v>1.8001173884840681E-13</v>
      </c>
      <c r="AK114" s="14">
        <f t="shared" si="89"/>
        <v>2.5254331426407198E-12</v>
      </c>
      <c r="AL114" s="22">
        <f t="shared" si="58"/>
        <v>4.7119831685935622E-12</v>
      </c>
      <c r="AM114" s="62">
        <f t="shared" si="59"/>
        <v>293.33333333333803</v>
      </c>
      <c r="AN114" s="62">
        <f ca="1">AVERAGE(OFFSET($AM$3,0,0,'Données projet'!$E$10+1,1))-AVERAGE(OFFSET($H$3,0,0,'Données projet'!$E$10+1,1))</f>
        <v>302.6112905010138</v>
      </c>
      <c r="AO114" s="62">
        <f t="shared" si="90"/>
        <v>423.44006663873375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0.53610443061866875</v>
      </c>
      <c r="AV114" s="23">
        <f>EXP(-LN(2)/25)*AV113+(1-EXP(-LN(2)/25))/(LN(2)/25)*Calculateur!AQ114*Calculateur!AS114*VLOOKUP('Données projet'!$B$10,Paramètres!$A$1:$I$89,3,0)*0.475*44/12</f>
        <v>0.21822635753560676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0.75433078815427557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195.80903373714432</v>
      </c>
      <c r="T115" s="62">
        <f t="shared" si="88"/>
        <v>388.30721786668977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1.9895196601282805E-13</v>
      </c>
      <c r="AJ115" s="14">
        <f>AI115*VLOOKUP('Données projet'!$B$10,Paramètres!$A$1:$I$89,3,0)*VLOOKUP('Données projet'!$B$10,Paramètres!$A$1:$I$89,5,0)</f>
        <v>1.8001173884840681E-13</v>
      </c>
      <c r="AK115" s="14">
        <f t="shared" si="89"/>
        <v>2.5254331426407198E-12</v>
      </c>
      <c r="AL115" s="22">
        <f t="shared" si="58"/>
        <v>4.7119831685935622E-12</v>
      </c>
      <c r="AM115" s="62">
        <f t="shared" si="59"/>
        <v>293.33333333333803</v>
      </c>
      <c r="AN115" s="62">
        <f ca="1">AVERAGE(OFFSET($AM$3,0,0,'Données projet'!$E$10+1,1))-AVERAGE(OFFSET($H$3,0,0,'Données projet'!$E$10+1,1))</f>
        <v>302.6112905010138</v>
      </c>
      <c r="AO115" s="62">
        <f t="shared" si="90"/>
        <v>423.44006663873375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0.52559174972565159</v>
      </c>
      <c r="AV115" s="23">
        <f>EXP(-LN(2)/25)*AV114+(1-EXP(-LN(2)/25))/(LN(2)/25)*Calculateur!AQ115*Calculateur!AS115*VLOOKUP('Données projet'!$B$10,Paramètres!$A$1:$I$89,3,0)*0.475*44/12</f>
        <v>0.21225894631277023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0.73785069603842179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195.80903373714432</v>
      </c>
      <c r="T116" s="62">
        <f t="shared" si="88"/>
        <v>388.30721786668977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1.9895196601282805E-13</v>
      </c>
      <c r="AJ116" s="14">
        <f>AI116*VLOOKUP('Données projet'!$B$10,Paramètres!$A$1:$I$89,3,0)*VLOOKUP('Données projet'!$B$10,Paramètres!$A$1:$I$89,5,0)</f>
        <v>1.8001173884840681E-13</v>
      </c>
      <c r="AK116" s="14">
        <f t="shared" si="89"/>
        <v>2.5254331426407198E-12</v>
      </c>
      <c r="AL116" s="22">
        <f t="shared" si="58"/>
        <v>4.7119831685935622E-12</v>
      </c>
      <c r="AM116" s="62">
        <f t="shared" si="59"/>
        <v>293.33333333333803</v>
      </c>
      <c r="AN116" s="62">
        <f ca="1">AVERAGE(OFFSET($AM$3,0,0,'Données projet'!$E$10+1,1))-AVERAGE(OFFSET($H$3,0,0,'Données projet'!$E$10+1,1))</f>
        <v>302.6112905010138</v>
      </c>
      <c r="AO116" s="62">
        <f t="shared" si="90"/>
        <v>423.44006663873375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0.51528521609284428</v>
      </c>
      <c r="AV116" s="23">
        <f>EXP(-LN(2)/25)*AV115+(1-EXP(-LN(2)/25))/(LN(2)/25)*Calculateur!AQ116*Calculateur!AS116*VLOOKUP('Données projet'!$B$10,Paramètres!$A$1:$I$89,3,0)*0.475*44/12</f>
        <v>0.20645471426363465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0.72173993035647888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195.80903373714432</v>
      </c>
      <c r="T117" s="62">
        <f t="shared" si="88"/>
        <v>388.30721786668977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1.9895196601282805E-13</v>
      </c>
      <c r="AJ117" s="14">
        <f>AI117*VLOOKUP('Données projet'!$B$10,Paramètres!$A$1:$I$89,3,0)*VLOOKUP('Données projet'!$B$10,Paramètres!$A$1:$I$89,5,0)</f>
        <v>1.8001173884840681E-13</v>
      </c>
      <c r="AK117" s="14">
        <f t="shared" si="89"/>
        <v>2.5254331426407198E-12</v>
      </c>
      <c r="AL117" s="22">
        <f t="shared" si="58"/>
        <v>4.7119831685935622E-12</v>
      </c>
      <c r="AM117" s="62">
        <f t="shared" si="59"/>
        <v>293.33333333333803</v>
      </c>
      <c r="AN117" s="62">
        <f ca="1">AVERAGE(OFFSET($AM$3,0,0,'Données projet'!$E$10+1,1))-AVERAGE(OFFSET($H$3,0,0,'Données projet'!$E$10+1,1))</f>
        <v>302.6112905010138</v>
      </c>
      <c r="AO117" s="62">
        <f t="shared" si="90"/>
        <v>423.44006663873375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0.50518078729821159</v>
      </c>
      <c r="AV117" s="23">
        <f>EXP(-LN(2)/25)*AV116+(1-EXP(-LN(2)/25))/(LN(2)/25)*Calculateur!AQ117*Calculateur!AS117*VLOOKUP('Données projet'!$B$10,Paramètres!$A$1:$I$89,3,0)*0.475*44/12</f>
        <v>0.20080919924511401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0.70598998654332557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195.80903373714432</v>
      </c>
      <c r="T118" s="62">
        <f t="shared" si="88"/>
        <v>388.30721786668977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1.9895196601282805E-13</v>
      </c>
      <c r="AJ118" s="14">
        <f>AI118*VLOOKUP('Données projet'!$B$10,Paramètres!$A$1:$I$89,3,0)*VLOOKUP('Données projet'!$B$10,Paramètres!$A$1:$I$89,5,0)</f>
        <v>1.8001173884840681E-13</v>
      </c>
      <c r="AK118" s="14">
        <f t="shared" si="89"/>
        <v>2.5254331426407198E-12</v>
      </c>
      <c r="AL118" s="22">
        <f t="shared" si="58"/>
        <v>4.7119831685935622E-12</v>
      </c>
      <c r="AM118" s="62">
        <f t="shared" si="59"/>
        <v>293.33333333333803</v>
      </c>
      <c r="AN118" s="62">
        <f ca="1">AVERAGE(OFFSET($AM$3,0,0,'Données projet'!$E$10+1,1))-AVERAGE(OFFSET($H$3,0,0,'Données projet'!$E$10+1,1))</f>
        <v>302.6112905010138</v>
      </c>
      <c r="AO118" s="62">
        <f t="shared" si="90"/>
        <v>423.44006663873375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0.49527450018914859</v>
      </c>
      <c r="AV118" s="23">
        <f>EXP(-LN(2)/25)*AV117+(1-EXP(-LN(2)/25))/(LN(2)/25)*Calculateur!AQ118*Calculateur!AS118*VLOOKUP('Données projet'!$B$10,Paramètres!$A$1:$I$89,3,0)*0.475*44/12</f>
        <v>0.19531806113165953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0.69059256132080815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195.80903373714432</v>
      </c>
      <c r="T119" s="62">
        <f t="shared" si="88"/>
        <v>388.30721786668977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1.9895196601282805E-13</v>
      </c>
      <c r="AJ119" s="14">
        <f>AI119*VLOOKUP('Données projet'!$B$10,Paramètres!$A$1:$I$89,3,0)*VLOOKUP('Données projet'!$B$10,Paramètres!$A$1:$I$89,5,0)</f>
        <v>1.8001173884840681E-13</v>
      </c>
      <c r="AK119" s="14">
        <f t="shared" si="89"/>
        <v>2.5254331426407198E-12</v>
      </c>
      <c r="AL119" s="22">
        <f t="shared" si="58"/>
        <v>4.7119831685935622E-12</v>
      </c>
      <c r="AM119" s="62">
        <f t="shared" si="59"/>
        <v>293.33333333333803</v>
      </c>
      <c r="AN119" s="62">
        <f ca="1">AVERAGE(OFFSET($AM$3,0,0,'Données projet'!$E$10+1,1))-AVERAGE(OFFSET($H$3,0,0,'Données projet'!$E$10+1,1))</f>
        <v>302.6112905010138</v>
      </c>
      <c r="AO119" s="62">
        <f t="shared" si="90"/>
        <v>423.44006663873375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0.4855624693280558</v>
      </c>
      <c r="AV119" s="23">
        <f>EXP(-LN(2)/25)*AV118+(1-EXP(-LN(2)/25))/(LN(2)/25)*Calculateur!AQ119*Calculateur!AS119*VLOOKUP('Données projet'!$B$10,Paramètres!$A$1:$I$89,3,0)*0.475*44/12</f>
        <v>0.18997707847868386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0.67553954780673964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195.80903373714432</v>
      </c>
      <c r="T120" s="62">
        <f t="shared" si="88"/>
        <v>388.30721786668977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1.9895196601282805E-13</v>
      </c>
      <c r="AJ120" s="14">
        <f>AI120*VLOOKUP('Données projet'!$B$10,Paramètres!$A$1:$I$89,3,0)*VLOOKUP('Données projet'!$B$10,Paramètres!$A$1:$I$89,5,0)</f>
        <v>1.8001173884840681E-13</v>
      </c>
      <c r="AK120" s="14">
        <f t="shared" si="89"/>
        <v>2.5254331426407198E-12</v>
      </c>
      <c r="AL120" s="22">
        <f t="shared" si="58"/>
        <v>4.7119831685935622E-12</v>
      </c>
      <c r="AM120" s="62">
        <f t="shared" si="59"/>
        <v>293.33333333333803</v>
      </c>
      <c r="AN120" s="62">
        <f ca="1">AVERAGE(OFFSET($AM$3,0,0,'Données projet'!$E$10+1,1))-AVERAGE(OFFSET($H$3,0,0,'Données projet'!$E$10+1,1))</f>
        <v>302.6112905010138</v>
      </c>
      <c r="AO120" s="62">
        <f t="shared" si="90"/>
        <v>423.44006663873375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0.47604088546839518</v>
      </c>
      <c r="AV120" s="23">
        <f>EXP(-LN(2)/25)*AV119+(1-EXP(-LN(2)/25))/(LN(2)/25)*Calculateur!AQ120*Calculateur!AS120*VLOOKUP('Données projet'!$B$10,Paramètres!$A$1:$I$89,3,0)*0.475*44/12</f>
        <v>0.18478214527722389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0.6608230307456191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195.80903373714432</v>
      </c>
      <c r="T121" s="62">
        <f t="shared" si="88"/>
        <v>388.30721786668977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1.9895196601282805E-13</v>
      </c>
      <c r="AJ121" s="14">
        <f>AI121*VLOOKUP('Données projet'!$B$10,Paramètres!$A$1:$I$89,3,0)*VLOOKUP('Données projet'!$B$10,Paramètres!$A$1:$I$89,5,0)</f>
        <v>1.8001173884840681E-13</v>
      </c>
      <c r="AK121" s="14">
        <f t="shared" si="89"/>
        <v>2.5254331426407198E-12</v>
      </c>
      <c r="AL121" s="22">
        <f t="shared" si="58"/>
        <v>4.7119831685935622E-12</v>
      </c>
      <c r="AM121" s="62">
        <f t="shared" si="59"/>
        <v>293.33333333333803</v>
      </c>
      <c r="AN121" s="62">
        <f ca="1">AVERAGE(OFFSET($AM$3,0,0,'Données projet'!$E$10+1,1))-AVERAGE(OFFSET($H$3,0,0,'Données projet'!$E$10+1,1))</f>
        <v>302.6112905010138</v>
      </c>
      <c r="AO121" s="62">
        <f t="shared" si="90"/>
        <v>423.44006663873375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0.46670601406062978</v>
      </c>
      <c r="AV121" s="23">
        <f>EXP(-LN(2)/25)*AV120+(1-EXP(-LN(2)/25))/(LN(2)/25)*Calculateur!AQ121*Calculateur!AS121*VLOOKUP('Données projet'!$B$10,Paramètres!$A$1:$I$89,3,0)*0.475*44/12</f>
        <v>0.17972926779734752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0.64643528185797727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195.80903373714432</v>
      </c>
      <c r="T122" s="62">
        <f t="shared" si="88"/>
        <v>388.30721786668977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1.9895196601282805E-13</v>
      </c>
      <c r="AJ122" s="14">
        <f>AI122*VLOOKUP('Données projet'!$B$10,Paramètres!$A$1:$I$89,3,0)*VLOOKUP('Données projet'!$B$10,Paramètres!$A$1:$I$89,5,0)</f>
        <v>1.8001173884840681E-13</v>
      </c>
      <c r="AK122" s="14">
        <f t="shared" si="89"/>
        <v>2.5254331426407198E-12</v>
      </c>
      <c r="AL122" s="22">
        <f t="shared" si="58"/>
        <v>4.7119831685935622E-12</v>
      </c>
      <c r="AM122" s="62">
        <f t="shared" si="59"/>
        <v>293.33333333333803</v>
      </c>
      <c r="AN122" s="62">
        <f ca="1">AVERAGE(OFFSET($AM$3,0,0,'Données projet'!$E$10+1,1))-AVERAGE(OFFSET($H$3,0,0,'Données projet'!$E$10+1,1))</f>
        <v>302.6112905010138</v>
      </c>
      <c r="AO122" s="62">
        <f t="shared" si="90"/>
        <v>423.44006663873375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0.45755419378746132</v>
      </c>
      <c r="AV122" s="23">
        <f>EXP(-LN(2)/25)*AV121+(1-EXP(-LN(2)/25))/(LN(2)/25)*Calculateur!AQ122*Calculateur!AS122*VLOOKUP('Données projet'!$B$10,Paramètres!$A$1:$I$89,3,0)*0.475*44/12</f>
        <v>0.17481456151787764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0.63236875530533898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195.80903373714432</v>
      </c>
      <c r="T123" s="62">
        <f t="shared" si="88"/>
        <v>388.30721786668977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1.9895196601282805E-13</v>
      </c>
      <c r="AJ123" s="14">
        <f>AI123*VLOOKUP('Données projet'!$B$10,Paramètres!$A$1:$I$89,3,0)*VLOOKUP('Données projet'!$B$10,Paramètres!$A$1:$I$89,5,0)</f>
        <v>1.8001173884840681E-13</v>
      </c>
      <c r="AK123" s="14">
        <f t="shared" si="89"/>
        <v>2.5254331426407198E-12</v>
      </c>
      <c r="AL123" s="22">
        <f t="shared" si="58"/>
        <v>4.7119831685935622E-12</v>
      </c>
      <c r="AM123" s="62">
        <f t="shared" si="59"/>
        <v>293.33333333333803</v>
      </c>
      <c r="AN123" s="62">
        <f ca="1">AVERAGE(OFFSET($AM$3,0,0,'Données projet'!$E$10+1,1))-AVERAGE(OFFSET($H$3,0,0,'Données projet'!$E$10+1,1))</f>
        <v>302.6112905010138</v>
      </c>
      <c r="AO123" s="62">
        <f t="shared" si="90"/>
        <v>423.44006663873375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0.44858183512779048</v>
      </c>
      <c r="AV123" s="23">
        <f>EXP(-LN(2)/25)*AV122+(1-EXP(-LN(2)/25))/(LN(2)/25)*Calculateur!AQ123*Calculateur!AS123*VLOOKUP('Données projet'!$B$10,Paramètres!$A$1:$I$89,3,0)*0.475*44/12</f>
        <v>0.17003424814007304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0.61861608326786355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195.80903373714432</v>
      </c>
      <c r="T124" s="62">
        <f t="shared" si="88"/>
        <v>388.30721786668977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1.9895196601282805E-13</v>
      </c>
      <c r="AJ124" s="14">
        <f>AI124*VLOOKUP('Données projet'!$B$10,Paramètres!$A$1:$I$89,3,0)*VLOOKUP('Données projet'!$B$10,Paramètres!$A$1:$I$89,5,0)</f>
        <v>1.8001173884840681E-13</v>
      </c>
      <c r="AK124" s="14">
        <f t="shared" si="89"/>
        <v>2.5254331426407198E-12</v>
      </c>
      <c r="AL124" s="22">
        <f t="shared" si="58"/>
        <v>4.7119831685935622E-12</v>
      </c>
      <c r="AM124" s="62">
        <f t="shared" si="59"/>
        <v>293.33333333333803</v>
      </c>
      <c r="AN124" s="62">
        <f ca="1">AVERAGE(OFFSET($AM$3,0,0,'Données projet'!$E$10+1,1))-AVERAGE(OFFSET($H$3,0,0,'Données projet'!$E$10+1,1))</f>
        <v>302.6112905010138</v>
      </c>
      <c r="AO124" s="62">
        <f t="shared" si="90"/>
        <v>423.44006663873375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0.43978541894883738</v>
      </c>
      <c r="AV124" s="23">
        <f>EXP(-LN(2)/25)*AV123+(1-EXP(-LN(2)/25))/(LN(2)/25)*Calculateur!AQ124*Calculateur!AS124*VLOOKUP('Données projet'!$B$10,Paramètres!$A$1:$I$89,3,0)*0.475*44/12</f>
        <v>0.16538465268297026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0.60517007163180758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195.80903373714432</v>
      </c>
      <c r="T125" s="62">
        <f t="shared" si="88"/>
        <v>388.30721786668977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1.9895196601282805E-13</v>
      </c>
      <c r="AJ125" s="14">
        <f>AI125*VLOOKUP('Données projet'!$B$10,Paramètres!$A$1:$I$89,3,0)*VLOOKUP('Données projet'!$B$10,Paramètres!$A$1:$I$89,5,0)</f>
        <v>1.8001173884840681E-13</v>
      </c>
      <c r="AK125" s="14">
        <f t="shared" si="89"/>
        <v>2.5254331426407198E-12</v>
      </c>
      <c r="AL125" s="22">
        <f t="shared" si="58"/>
        <v>4.7119831685935622E-12</v>
      </c>
      <c r="AM125" s="62">
        <f t="shared" si="59"/>
        <v>293.33333333333803</v>
      </c>
      <c r="AN125" s="62">
        <f ca="1">AVERAGE(OFFSET($AM$3,0,0,'Données projet'!$E$10+1,1))-AVERAGE(OFFSET($H$3,0,0,'Données projet'!$E$10+1,1))</f>
        <v>302.6112905010138</v>
      </c>
      <c r="AO125" s="62">
        <f t="shared" si="90"/>
        <v>423.44006663873375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0.43116149512586949</v>
      </c>
      <c r="AV125" s="23">
        <f>EXP(-LN(2)/25)*AV124+(1-EXP(-LN(2)/25))/(LN(2)/25)*Calculateur!AQ125*Calculateur!AS125*VLOOKUP('Données projet'!$B$10,Paramètres!$A$1:$I$89,3,0)*0.475*44/12</f>
        <v>0.16086220065815354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0.59202369578402303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195.80903373714432</v>
      </c>
      <c r="T126" s="62">
        <f t="shared" si="88"/>
        <v>388.30721786668977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1.9895196601282805E-13</v>
      </c>
      <c r="AJ126" s="14">
        <f>AI126*VLOOKUP('Données projet'!$B$10,Paramètres!$A$1:$I$89,3,0)*VLOOKUP('Données projet'!$B$10,Paramètres!$A$1:$I$89,5,0)</f>
        <v>1.8001173884840681E-13</v>
      </c>
      <c r="AK126" s="14">
        <f t="shared" si="89"/>
        <v>2.5254331426407198E-12</v>
      </c>
      <c r="AL126" s="22">
        <f t="shared" si="58"/>
        <v>4.7119831685935622E-12</v>
      </c>
      <c r="AM126" s="62">
        <f t="shared" si="59"/>
        <v>293.33333333333803</v>
      </c>
      <c r="AN126" s="62">
        <f ca="1">AVERAGE(OFFSET($AM$3,0,0,'Données projet'!$E$10+1,1))-AVERAGE(OFFSET($H$3,0,0,'Données projet'!$E$10+1,1))</f>
        <v>302.6112905010138</v>
      </c>
      <c r="AO126" s="62">
        <f t="shared" si="90"/>
        <v>423.44006663873375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0.42270668118899585</v>
      </c>
      <c r="AV126" s="23">
        <f>EXP(-LN(2)/25)*AV125+(1-EXP(-LN(2)/25))/(LN(2)/25)*Calculateur!AQ126*Calculateur!AS126*VLOOKUP('Données projet'!$B$10,Paramètres!$A$1:$I$89,3,0)*0.475*44/12</f>
        <v>0.15646341532178085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0.57917009651077667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195.80903373714432</v>
      </c>
      <c r="T127" s="62">
        <f t="shared" si="88"/>
        <v>388.30721786668977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1.9895196601282805E-13</v>
      </c>
      <c r="AJ127" s="14">
        <f>AI127*VLOOKUP('Données projet'!$B$10,Paramètres!$A$1:$I$89,3,0)*VLOOKUP('Données projet'!$B$10,Paramètres!$A$1:$I$89,5,0)</f>
        <v>1.8001173884840681E-13</v>
      </c>
      <c r="AK127" s="14">
        <f t="shared" si="89"/>
        <v>2.5254331426407198E-12</v>
      </c>
      <c r="AL127" s="22">
        <f t="shared" si="58"/>
        <v>4.7119831685935622E-12</v>
      </c>
      <c r="AM127" s="62">
        <f t="shared" si="59"/>
        <v>293.33333333333803</v>
      </c>
      <c r="AN127" s="62">
        <f ca="1">AVERAGE(OFFSET($AM$3,0,0,'Données projet'!$E$10+1,1))-AVERAGE(OFFSET($H$3,0,0,'Données projet'!$E$10+1,1))</f>
        <v>302.6112905010138</v>
      </c>
      <c r="AO127" s="62">
        <f t="shared" si="90"/>
        <v>423.44006663873375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0.41441766099649702</v>
      </c>
      <c r="AV127" s="23">
        <f>EXP(-LN(2)/25)*AV126+(1-EXP(-LN(2)/25))/(LN(2)/25)*Calculateur!AQ127*Calculateur!AS127*VLOOKUP('Données projet'!$B$10,Paramètres!$A$1:$I$89,3,0)*0.475*44/12</f>
        <v>0.15218491500175335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0.56660257599825037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195.80903373714432</v>
      </c>
      <c r="T128" s="62">
        <f t="shared" si="88"/>
        <v>388.30721786668977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1.9895196601282805E-13</v>
      </c>
      <c r="AJ128" s="14">
        <f>AI128*VLOOKUP('Données projet'!$B$10,Paramètres!$A$1:$I$89,3,0)*VLOOKUP('Données projet'!$B$10,Paramètres!$A$1:$I$89,5,0)</f>
        <v>1.8001173884840681E-13</v>
      </c>
      <c r="AK128" s="14">
        <f t="shared" si="89"/>
        <v>2.5254331426407198E-12</v>
      </c>
      <c r="AL128" s="22">
        <f t="shared" si="58"/>
        <v>4.7119831685935622E-12</v>
      </c>
      <c r="AM128" s="62">
        <f t="shared" si="59"/>
        <v>293.33333333333803</v>
      </c>
      <c r="AN128" s="62">
        <f ca="1">AVERAGE(OFFSET($AM$3,0,0,'Données projet'!$E$10+1,1))-AVERAGE(OFFSET($H$3,0,0,'Données projet'!$E$10+1,1))</f>
        <v>302.6112905010138</v>
      </c>
      <c r="AO128" s="62">
        <f t="shared" si="90"/>
        <v>423.44006663873375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0.40629118343416998</v>
      </c>
      <c r="AV128" s="23">
        <f>EXP(-LN(2)/25)*AV127+(1-EXP(-LN(2)/25))/(LN(2)/25)*Calculateur!AQ128*Calculateur!AS128*VLOOKUP('Données projet'!$B$10,Paramètres!$A$1:$I$89,3,0)*0.475*44/12</f>
        <v>0.14802341049797355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0.55431459393214355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195.80903373714432</v>
      </c>
      <c r="T129" s="62">
        <f t="shared" si="88"/>
        <v>388.30721786668977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1.9895196601282805E-13</v>
      </c>
      <c r="AJ129" s="14">
        <f>AI129*VLOOKUP('Données projet'!$B$10,Paramètres!$A$1:$I$89,3,0)*VLOOKUP('Données projet'!$B$10,Paramètres!$A$1:$I$89,5,0)</f>
        <v>1.8001173884840681E-13</v>
      </c>
      <c r="AK129" s="14">
        <f t="shared" si="89"/>
        <v>2.5254331426407198E-12</v>
      </c>
      <c r="AL129" s="22">
        <f t="shared" si="58"/>
        <v>4.7119831685935622E-12</v>
      </c>
      <c r="AM129" s="62">
        <f t="shared" si="59"/>
        <v>293.33333333333803</v>
      </c>
      <c r="AN129" s="62">
        <f ca="1">AVERAGE(OFFSET($AM$3,0,0,'Données projet'!$E$10+1,1))-AVERAGE(OFFSET($H$3,0,0,'Données projet'!$E$10+1,1))</f>
        <v>302.6112905010138</v>
      </c>
      <c r="AO129" s="62">
        <f t="shared" si="90"/>
        <v>423.44006663873375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0.39832406114017826</v>
      </c>
      <c r="AV129" s="23">
        <f>EXP(-LN(2)/25)*AV128+(1-EXP(-LN(2)/25))/(LN(2)/25)*Calculateur!AQ129*Calculateur!AS129*VLOOKUP('Données projet'!$B$10,Paramètres!$A$1:$I$89,3,0)*0.475*44/12</f>
        <v>0.1439757025536936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0.54229976369387189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195.80903373714432</v>
      </c>
      <c r="T130" s="62">
        <f t="shared" si="88"/>
        <v>388.30721786668977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1.9895196601282805E-13</v>
      </c>
      <c r="AJ130" s="14">
        <f>AI130*VLOOKUP('Données projet'!$B$10,Paramètres!$A$1:$I$89,3,0)*VLOOKUP('Données projet'!$B$10,Paramètres!$A$1:$I$89,5,0)</f>
        <v>1.8001173884840681E-13</v>
      </c>
      <c r="AK130" s="14">
        <f t="shared" si="89"/>
        <v>2.5254331426407198E-12</v>
      </c>
      <c r="AL130" s="22">
        <f t="shared" si="58"/>
        <v>4.7119831685935622E-12</v>
      </c>
      <c r="AM130" s="62">
        <f t="shared" si="59"/>
        <v>293.33333333333803</v>
      </c>
      <c r="AN130" s="62">
        <f ca="1">AVERAGE(OFFSET($AM$3,0,0,'Données projet'!$E$10+1,1))-AVERAGE(OFFSET($H$3,0,0,'Données projet'!$E$10+1,1))</f>
        <v>302.6112905010138</v>
      </c>
      <c r="AO130" s="62">
        <f t="shared" si="90"/>
        <v>423.44006663873375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0.39051316925490698</v>
      </c>
      <c r="AV130" s="23">
        <f>EXP(-LN(2)/25)*AV129+(1-EXP(-LN(2)/25))/(LN(2)/25)*Calculateur!AQ130*Calculateur!AS130*VLOOKUP('Données projet'!$B$10,Paramètres!$A$1:$I$89,3,0)*0.475*44/12</f>
        <v>0.14003867939600972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0.53055184865091665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195.80903373714432</v>
      </c>
      <c r="T131" s="62">
        <f t="shared" si="88"/>
        <v>388.30721786668977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1.9895196601282805E-13</v>
      </c>
      <c r="AJ131" s="14">
        <f>AI131*VLOOKUP('Données projet'!$B$10,Paramètres!$A$1:$I$89,3,0)*VLOOKUP('Données projet'!$B$10,Paramètres!$A$1:$I$89,5,0)</f>
        <v>1.8001173884840681E-13</v>
      </c>
      <c r="AK131" s="14">
        <f t="shared" si="89"/>
        <v>2.5254331426407198E-12</v>
      </c>
      <c r="AL131" s="22">
        <f t="shared" si="58"/>
        <v>4.7119831685935622E-12</v>
      </c>
      <c r="AM131" s="62">
        <f t="shared" si="59"/>
        <v>293.33333333333803</v>
      </c>
      <c r="AN131" s="62">
        <f ca="1">AVERAGE(OFFSET($AM$3,0,0,'Données projet'!$E$10+1,1))-AVERAGE(OFFSET($H$3,0,0,'Données projet'!$E$10+1,1))</f>
        <v>302.6112905010138</v>
      </c>
      <c r="AO131" s="62">
        <f t="shared" si="90"/>
        <v>423.44006663873375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0.38285544419533224</v>
      </c>
      <c r="AV131" s="23">
        <f>EXP(-LN(2)/25)*AV130+(1-EXP(-LN(2)/25))/(LN(2)/25)*Calculateur!AQ131*Calculateur!AS131*VLOOKUP('Données projet'!$B$10,Paramètres!$A$1:$I$89,3,0)*0.475*44/12</f>
        <v>0.13620931434361175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0.51906475853894396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195.80903373714432</v>
      </c>
      <c r="T132" s="62">
        <f t="shared" si="88"/>
        <v>388.30721786668977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1.9895196601282805E-13</v>
      </c>
      <c r="AJ132" s="14">
        <f>AI132*VLOOKUP('Données projet'!$B$10,Paramètres!$A$1:$I$89,3,0)*VLOOKUP('Données projet'!$B$10,Paramètres!$A$1:$I$89,5,0)</f>
        <v>1.8001173884840681E-13</v>
      </c>
      <c r="AK132" s="14">
        <f t="shared" si="89"/>
        <v>2.5254331426407198E-12</v>
      </c>
      <c r="AL132" s="22">
        <f t="shared" ref="AL132:AL153" si="112">(AJ132+AK132)*0.475*44/12</f>
        <v>4.7119831685935622E-12</v>
      </c>
      <c r="AM132" s="62">
        <f t="shared" ref="AM132:AM195" si="113">AL132+(AD132+AE132)*44/12</f>
        <v>293.33333333333803</v>
      </c>
      <c r="AN132" s="62">
        <f ca="1">AVERAGE(OFFSET($AM$3,0,0,'Données projet'!$E$10+1,1))-AVERAGE(OFFSET($H$3,0,0,'Données projet'!$E$10+1,1))</f>
        <v>302.6112905010138</v>
      </c>
      <c r="AO132" s="62">
        <f t="shared" si="90"/>
        <v>423.44006663873375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0.37534788245342465</v>
      </c>
      <c r="AV132" s="23">
        <f>EXP(-LN(2)/25)*AV131+(1-EXP(-LN(2)/25))/(LN(2)/25)*Calculateur!AQ132*Calculateur!AS132*VLOOKUP('Données projet'!$B$10,Paramètres!$A$1:$I$89,3,0)*0.475*44/12</f>
        <v>0.13248466347994917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0.50783254593337379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195.80903373714432</v>
      </c>
      <c r="T133" s="62">
        <f t="shared" ref="T133:T196" si="142">$T$3</f>
        <v>388.30721786668977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1.9895196601282805E-13</v>
      </c>
      <c r="AJ133" s="14">
        <f>AI133*VLOOKUP('Données projet'!$B$10,Paramètres!$A$1:$I$89,3,0)*VLOOKUP('Données projet'!$B$10,Paramètres!$A$1:$I$89,5,0)</f>
        <v>1.8001173884840681E-13</v>
      </c>
      <c r="AK133" s="14">
        <f t="shared" ref="AK133:AK153" si="143">EXP(-1.0587+0.8836*LN(AJ133)+0.284)</f>
        <v>2.5254331426407198E-12</v>
      </c>
      <c r="AL133" s="22">
        <f t="shared" si="112"/>
        <v>4.7119831685935622E-12</v>
      </c>
      <c r="AM133" s="62">
        <f t="shared" si="113"/>
        <v>293.33333333333803</v>
      </c>
      <c r="AN133" s="62">
        <f ca="1">AVERAGE(OFFSET($AM$3,0,0,'Données projet'!$E$10+1,1))-AVERAGE(OFFSET($H$3,0,0,'Données projet'!$E$10+1,1))</f>
        <v>302.6112905010138</v>
      </c>
      <c r="AO133" s="62">
        <f t="shared" ref="AO133:AO196" si="144">$AO$3</f>
        <v>423.44006663873375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0.36798753941811541</v>
      </c>
      <c r="AV133" s="23">
        <f>EXP(-LN(2)/25)*AV132+(1-EXP(-LN(2)/25))/(LN(2)/25)*Calculateur!AQ133*Calculateur!AS133*VLOOKUP('Données projet'!$B$10,Paramètres!$A$1:$I$89,3,0)*0.475*44/12</f>
        <v>0.12886186339002431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0.49684940280813972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195.80903373714432</v>
      </c>
      <c r="T134" s="62">
        <f t="shared" si="142"/>
        <v>388.30721786668977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1.9895196601282805E-13</v>
      </c>
      <c r="AJ134" s="14">
        <f>AI134*VLOOKUP('Données projet'!$B$10,Paramètres!$A$1:$I$89,3,0)*VLOOKUP('Données projet'!$B$10,Paramètres!$A$1:$I$89,5,0)</f>
        <v>1.8001173884840681E-13</v>
      </c>
      <c r="AK134" s="14">
        <f t="shared" si="143"/>
        <v>2.5254331426407198E-12</v>
      </c>
      <c r="AL134" s="22">
        <f t="shared" si="112"/>
        <v>4.7119831685935622E-12</v>
      </c>
      <c r="AM134" s="62">
        <f t="shared" si="113"/>
        <v>293.33333333333803</v>
      </c>
      <c r="AN134" s="62">
        <f ca="1">AVERAGE(OFFSET($AM$3,0,0,'Données projet'!$E$10+1,1))-AVERAGE(OFFSET($H$3,0,0,'Données projet'!$E$10+1,1))</f>
        <v>302.6112905010138</v>
      </c>
      <c r="AO134" s="62">
        <f t="shared" si="144"/>
        <v>423.44006663873375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0.36077152822036257</v>
      </c>
      <c r="AV134" s="23">
        <f>EXP(-LN(2)/25)*AV133+(1-EXP(-LN(2)/25))/(LN(2)/25)*Calculateur!AQ134*Calculateur!AS134*VLOOKUP('Données projet'!$B$10,Paramètres!$A$1:$I$89,3,0)*0.475*44/12</f>
        <v>0.12533812895907323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0.48610965717943577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195.80903373714432</v>
      </c>
      <c r="T135" s="62">
        <f t="shared" si="142"/>
        <v>388.30721786668977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1.9895196601282805E-13</v>
      </c>
      <c r="AJ135" s="14">
        <f>AI135*VLOOKUP('Données projet'!$B$10,Paramètres!$A$1:$I$89,3,0)*VLOOKUP('Données projet'!$B$10,Paramètres!$A$1:$I$89,5,0)</f>
        <v>1.8001173884840681E-13</v>
      </c>
      <c r="AK135" s="14">
        <f t="shared" si="143"/>
        <v>2.5254331426407198E-12</v>
      </c>
      <c r="AL135" s="22">
        <f t="shared" si="112"/>
        <v>4.7119831685935622E-12</v>
      </c>
      <c r="AM135" s="62">
        <f t="shared" si="113"/>
        <v>293.33333333333803</v>
      </c>
      <c r="AN135" s="62">
        <f ca="1">AVERAGE(OFFSET($AM$3,0,0,'Données projet'!$E$10+1,1))-AVERAGE(OFFSET($H$3,0,0,'Données projet'!$E$10+1,1))</f>
        <v>302.6112905010138</v>
      </c>
      <c r="AO135" s="62">
        <f t="shared" si="144"/>
        <v>423.44006663873375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0.35369701860086544</v>
      </c>
      <c r="AV135" s="23">
        <f>EXP(-LN(2)/25)*AV134+(1-EXP(-LN(2)/25))/(LN(2)/25)*Calculateur!AQ135*Calculateur!AS135*VLOOKUP('Données projet'!$B$10,Paramètres!$A$1:$I$89,3,0)*0.475*44/12</f>
        <v>0.12191075123144164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0.47560776983230707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195.80903373714432</v>
      </c>
      <c r="T136" s="62">
        <f t="shared" si="142"/>
        <v>388.30721786668977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1.9895196601282805E-13</v>
      </c>
      <c r="AJ136" s="14">
        <f>AI136*VLOOKUP('Données projet'!$B$10,Paramètres!$A$1:$I$89,3,0)*VLOOKUP('Données projet'!$B$10,Paramètres!$A$1:$I$89,5,0)</f>
        <v>1.8001173884840681E-13</v>
      </c>
      <c r="AK136" s="14">
        <f t="shared" si="143"/>
        <v>2.5254331426407198E-12</v>
      </c>
      <c r="AL136" s="22">
        <f t="shared" si="112"/>
        <v>4.7119831685935622E-12</v>
      </c>
      <c r="AM136" s="62">
        <f t="shared" si="113"/>
        <v>293.33333333333803</v>
      </c>
      <c r="AN136" s="62">
        <f ca="1">AVERAGE(OFFSET($AM$3,0,0,'Données projet'!$E$10+1,1))-AVERAGE(OFFSET($H$3,0,0,'Données projet'!$E$10+1,1))</f>
        <v>302.6112905010138</v>
      </c>
      <c r="AO136" s="62">
        <f t="shared" si="144"/>
        <v>423.44006663873375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0.34676123579998186</v>
      </c>
      <c r="AV136" s="23">
        <f>EXP(-LN(2)/25)*AV135+(1-EXP(-LN(2)/25))/(LN(2)/25)*Calculateur!AQ136*Calculateur!AS136*VLOOKUP('Données projet'!$B$10,Paramètres!$A$1:$I$89,3,0)*0.475*44/12</f>
        <v>0.1185770953280101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0.46533833112799194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195.80903373714432</v>
      </c>
      <c r="T137" s="62">
        <f t="shared" si="142"/>
        <v>388.30721786668977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1.9895196601282805E-13</v>
      </c>
      <c r="AJ137" s="14">
        <f>AI137*VLOOKUP('Données projet'!$B$10,Paramètres!$A$1:$I$89,3,0)*VLOOKUP('Données projet'!$B$10,Paramètres!$A$1:$I$89,5,0)</f>
        <v>1.8001173884840681E-13</v>
      </c>
      <c r="AK137" s="14">
        <f t="shared" si="143"/>
        <v>2.5254331426407198E-12</v>
      </c>
      <c r="AL137" s="22">
        <f t="shared" si="112"/>
        <v>4.7119831685935622E-12</v>
      </c>
      <c r="AM137" s="62">
        <f t="shared" si="113"/>
        <v>293.33333333333803</v>
      </c>
      <c r="AN137" s="62">
        <f ca="1">AVERAGE(OFFSET($AM$3,0,0,'Données projet'!$E$10+1,1))-AVERAGE(OFFSET($H$3,0,0,'Données projet'!$E$10+1,1))</f>
        <v>302.6112905010138</v>
      </c>
      <c r="AO137" s="62">
        <f t="shared" si="144"/>
        <v>423.44006663873375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0.33996145946941381</v>
      </c>
      <c r="AV137" s="23">
        <f>EXP(-LN(2)/25)*AV136+(1-EXP(-LN(2)/25))/(LN(2)/25)*Calculateur!AQ137*Calculateur!AS137*VLOOKUP('Données projet'!$B$10,Paramètres!$A$1:$I$89,3,0)*0.475*44/12</f>
        <v>0.11533459842056723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0.45529605788998107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195.80903373714432</v>
      </c>
      <c r="T138" s="62">
        <f t="shared" si="142"/>
        <v>388.30721786668977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1.9895196601282805E-13</v>
      </c>
      <c r="AJ138" s="14">
        <f>AI138*VLOOKUP('Données projet'!$B$10,Paramètres!$A$1:$I$89,3,0)*VLOOKUP('Données projet'!$B$10,Paramètres!$A$1:$I$89,5,0)</f>
        <v>1.8001173884840681E-13</v>
      </c>
      <c r="AK138" s="14">
        <f t="shared" si="143"/>
        <v>2.5254331426407198E-12</v>
      </c>
      <c r="AL138" s="22">
        <f t="shared" si="112"/>
        <v>4.7119831685935622E-12</v>
      </c>
      <c r="AM138" s="62">
        <f t="shared" si="113"/>
        <v>293.33333333333803</v>
      </c>
      <c r="AN138" s="62">
        <f ca="1">AVERAGE(OFFSET($AM$3,0,0,'Données projet'!$E$10+1,1))-AVERAGE(OFFSET($H$3,0,0,'Données projet'!$E$10+1,1))</f>
        <v>302.6112905010138</v>
      </c>
      <c r="AO138" s="62">
        <f t="shared" si="144"/>
        <v>423.44006663873375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0.33329502260523419</v>
      </c>
      <c r="AV138" s="23">
        <f>EXP(-LN(2)/25)*AV137+(1-EXP(-LN(2)/25))/(LN(2)/25)*Calculateur!AQ138*Calculateur!AS138*VLOOKUP('Données projet'!$B$10,Paramètres!$A$1:$I$89,3,0)*0.475*44/12</f>
        <v>0.11218076776157389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0.44547579036680807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195.80903373714432</v>
      </c>
      <c r="T139" s="62">
        <f t="shared" si="142"/>
        <v>388.30721786668977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1.9895196601282805E-13</v>
      </c>
      <c r="AJ139" s="14">
        <f>AI139*VLOOKUP('Données projet'!$B$10,Paramètres!$A$1:$I$89,3,0)*VLOOKUP('Données projet'!$B$10,Paramètres!$A$1:$I$89,5,0)</f>
        <v>1.8001173884840681E-13</v>
      </c>
      <c r="AK139" s="14">
        <f t="shared" si="143"/>
        <v>2.5254331426407198E-12</v>
      </c>
      <c r="AL139" s="22">
        <f t="shared" si="112"/>
        <v>4.7119831685935622E-12</v>
      </c>
      <c r="AM139" s="62">
        <f t="shared" si="113"/>
        <v>293.33333333333803</v>
      </c>
      <c r="AN139" s="62">
        <f ca="1">AVERAGE(OFFSET($AM$3,0,0,'Données projet'!$E$10+1,1))-AVERAGE(OFFSET($H$3,0,0,'Données projet'!$E$10+1,1))</f>
        <v>302.6112905010138</v>
      </c>
      <c r="AO139" s="62">
        <f t="shared" si="144"/>
        <v>423.44006663873375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0.32675931050183615</v>
      </c>
      <c r="AV139" s="23">
        <f>EXP(-LN(2)/25)*AV138+(1-EXP(-LN(2)/25))/(LN(2)/25)*Calculateur!AQ139*Calculateur!AS139*VLOOKUP('Données projet'!$B$10,Paramètres!$A$1:$I$89,3,0)*0.475*44/12</f>
        <v>0.10911317876780346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0.43587248926963962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195.80903373714432</v>
      </c>
      <c r="T140" s="62">
        <f t="shared" si="142"/>
        <v>388.30721786668977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1.9895196601282805E-13</v>
      </c>
      <c r="AJ140" s="14">
        <f>AI140*VLOOKUP('Données projet'!$B$10,Paramètres!$A$1:$I$89,3,0)*VLOOKUP('Données projet'!$B$10,Paramètres!$A$1:$I$89,5,0)</f>
        <v>1.8001173884840681E-13</v>
      </c>
      <c r="AK140" s="14">
        <f t="shared" si="143"/>
        <v>2.5254331426407198E-12</v>
      </c>
      <c r="AL140" s="22">
        <f t="shared" si="112"/>
        <v>4.7119831685935622E-12</v>
      </c>
      <c r="AM140" s="62">
        <f t="shared" si="113"/>
        <v>293.33333333333803</v>
      </c>
      <c r="AN140" s="62">
        <f ca="1">AVERAGE(OFFSET($AM$3,0,0,'Données projet'!$E$10+1,1))-AVERAGE(OFFSET($H$3,0,0,'Données projet'!$E$10+1,1))</f>
        <v>302.6112905010138</v>
      </c>
      <c r="AO140" s="62">
        <f t="shared" si="144"/>
        <v>423.44006663873375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0.32035175972639496</v>
      </c>
      <c r="AV140" s="23">
        <f>EXP(-LN(2)/25)*AV139+(1-EXP(-LN(2)/25))/(LN(2)/25)*Calculateur!AQ140*Calculateur!AS140*VLOOKUP('Données projet'!$B$10,Paramètres!$A$1:$I$89,3,0)*0.475*44/12</f>
        <v>0.10612947315638518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0.42648123288278017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195.80903373714432</v>
      </c>
      <c r="T141" s="62">
        <f t="shared" si="142"/>
        <v>388.30721786668977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1.9895196601282805E-13</v>
      </c>
      <c r="AJ141" s="14">
        <f>AI141*VLOOKUP('Données projet'!$B$10,Paramètres!$A$1:$I$89,3,0)*VLOOKUP('Données projet'!$B$10,Paramètres!$A$1:$I$89,5,0)</f>
        <v>1.8001173884840681E-13</v>
      </c>
      <c r="AK141" s="14">
        <f t="shared" si="143"/>
        <v>2.5254331426407198E-12</v>
      </c>
      <c r="AL141" s="22">
        <f t="shared" si="112"/>
        <v>4.7119831685935622E-12</v>
      </c>
      <c r="AM141" s="62">
        <f t="shared" si="113"/>
        <v>293.33333333333803</v>
      </c>
      <c r="AN141" s="62">
        <f ca="1">AVERAGE(OFFSET($AM$3,0,0,'Données projet'!$E$10+1,1))-AVERAGE(OFFSET($H$3,0,0,'Données projet'!$E$10+1,1))</f>
        <v>302.6112905010138</v>
      </c>
      <c r="AO141" s="62">
        <f t="shared" si="144"/>
        <v>423.44006663873375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0.3140698571134401</v>
      </c>
      <c r="AV141" s="23">
        <f>EXP(-LN(2)/25)*AV140+(1-EXP(-LN(2)/25))/(LN(2)/25)*Calculateur!AQ141*Calculateur!AS141*VLOOKUP('Données projet'!$B$10,Paramètres!$A$1:$I$89,3,0)*0.475*44/12</f>
        <v>0.1032273571318174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0.41729721424525751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195.80903373714432</v>
      </c>
      <c r="T142" s="62">
        <f t="shared" si="142"/>
        <v>388.30721786668977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1.9895196601282805E-13</v>
      </c>
      <c r="AJ142" s="14">
        <f>AI142*VLOOKUP('Données projet'!$B$10,Paramètres!$A$1:$I$89,3,0)*VLOOKUP('Données projet'!$B$10,Paramètres!$A$1:$I$89,5,0)</f>
        <v>1.8001173884840681E-13</v>
      </c>
      <c r="AK142" s="14">
        <f t="shared" si="143"/>
        <v>2.5254331426407198E-12</v>
      </c>
      <c r="AL142" s="22">
        <f t="shared" si="112"/>
        <v>4.7119831685935622E-12</v>
      </c>
      <c r="AM142" s="62">
        <f t="shared" si="113"/>
        <v>293.33333333333803</v>
      </c>
      <c r="AN142" s="62">
        <f ca="1">AVERAGE(OFFSET($AM$3,0,0,'Données projet'!$E$10+1,1))-AVERAGE(OFFSET($H$3,0,0,'Données projet'!$E$10+1,1))</f>
        <v>302.6112905010138</v>
      </c>
      <c r="AO142" s="62">
        <f t="shared" si="144"/>
        <v>423.44006663873375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0.30791113877914306</v>
      </c>
      <c r="AV142" s="23">
        <f>EXP(-LN(2)/25)*AV141+(1-EXP(-LN(2)/25))/(LN(2)/25)*Calculateur!AQ142*Calculateur!AS142*VLOOKUP('Données projet'!$B$10,Paramètres!$A$1:$I$89,3,0)*0.475*44/12</f>
        <v>0.10040459962255707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0.4083157384017001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195.80903373714432</v>
      </c>
      <c r="T143" s="62">
        <f t="shared" si="142"/>
        <v>388.30721786668977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1.9895196601282805E-13</v>
      </c>
      <c r="AJ143" s="14">
        <f>AI143*VLOOKUP('Données projet'!$B$10,Paramètres!$A$1:$I$89,3,0)*VLOOKUP('Données projet'!$B$10,Paramètres!$A$1:$I$89,5,0)</f>
        <v>1.8001173884840681E-13</v>
      </c>
      <c r="AK143" s="14">
        <f t="shared" si="143"/>
        <v>2.5254331426407198E-12</v>
      </c>
      <c r="AL143" s="22">
        <f t="shared" si="112"/>
        <v>4.7119831685935622E-12</v>
      </c>
      <c r="AM143" s="62">
        <f t="shared" si="113"/>
        <v>293.33333333333803</v>
      </c>
      <c r="AN143" s="62">
        <f ca="1">AVERAGE(OFFSET($AM$3,0,0,'Données projet'!$E$10+1,1))-AVERAGE(OFFSET($H$3,0,0,'Données projet'!$E$10+1,1))</f>
        <v>302.6112905010138</v>
      </c>
      <c r="AO143" s="62">
        <f t="shared" si="144"/>
        <v>423.44006663873375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0.30187318915493427</v>
      </c>
      <c r="AV143" s="23">
        <f>EXP(-LN(2)/25)*AV142+(1-EXP(-LN(2)/25))/(LN(2)/25)*Calculateur!AQ143*Calculateur!AS143*VLOOKUP('Données projet'!$B$10,Paramètres!$A$1:$I$89,3,0)*0.475*44/12</f>
        <v>9.7659030565829835E-2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0.39953221972076414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195.80903373714432</v>
      </c>
      <c r="T144" s="62">
        <f t="shared" si="142"/>
        <v>388.30721786668977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1.9895196601282805E-13</v>
      </c>
      <c r="AJ144" s="14">
        <f>AI144*VLOOKUP('Données projet'!$B$10,Paramètres!$A$1:$I$89,3,0)*VLOOKUP('Données projet'!$B$10,Paramètres!$A$1:$I$89,5,0)</f>
        <v>1.8001173884840681E-13</v>
      </c>
      <c r="AK144" s="14">
        <f t="shared" si="143"/>
        <v>2.5254331426407198E-12</v>
      </c>
      <c r="AL144" s="22">
        <f t="shared" si="112"/>
        <v>4.7119831685935622E-12</v>
      </c>
      <c r="AM144" s="62">
        <f t="shared" si="113"/>
        <v>293.33333333333803</v>
      </c>
      <c r="AN144" s="62">
        <f ca="1">AVERAGE(OFFSET($AM$3,0,0,'Données projet'!$E$10+1,1))-AVERAGE(OFFSET($H$3,0,0,'Données projet'!$E$10+1,1))</f>
        <v>302.6112905010138</v>
      </c>
      <c r="AO144" s="62">
        <f t="shared" si="144"/>
        <v>423.44006663873375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0.29595364004007063</v>
      </c>
      <c r="AV144" s="23">
        <f>EXP(-LN(2)/25)*AV143+(1-EXP(-LN(2)/25))/(LN(2)/25)*Calculateur!AQ144*Calculateur!AS144*VLOOKUP('Données projet'!$B$10,Paramètres!$A$1:$I$89,3,0)*0.475*44/12</f>
        <v>9.4988539239342001E-2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0.39094217927941266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195.80903373714432</v>
      </c>
      <c r="T145" s="62">
        <f t="shared" si="142"/>
        <v>388.30721786668977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1.9895196601282805E-13</v>
      </c>
      <c r="AJ145" s="14">
        <f>AI145*VLOOKUP('Données projet'!$B$10,Paramètres!$A$1:$I$89,3,0)*VLOOKUP('Données projet'!$B$10,Paramètres!$A$1:$I$89,5,0)</f>
        <v>1.8001173884840681E-13</v>
      </c>
      <c r="AK145" s="14">
        <f t="shared" si="143"/>
        <v>2.5254331426407198E-12</v>
      </c>
      <c r="AL145" s="22">
        <f t="shared" si="112"/>
        <v>4.7119831685935622E-12</v>
      </c>
      <c r="AM145" s="62">
        <f t="shared" si="113"/>
        <v>293.33333333333803</v>
      </c>
      <c r="AN145" s="62">
        <f ca="1">AVERAGE(OFFSET($AM$3,0,0,'Données projet'!$E$10+1,1))-AVERAGE(OFFSET($H$3,0,0,'Données projet'!$E$10+1,1))</f>
        <v>302.6112905010138</v>
      </c>
      <c r="AO145" s="62">
        <f t="shared" si="144"/>
        <v>423.44006663873375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0.29015016967278101</v>
      </c>
      <c r="AV145" s="23">
        <f>EXP(-LN(2)/25)*AV144+(1-EXP(-LN(2)/25))/(LN(2)/25)*Calculateur!AQ145*Calculateur!AS145*VLOOKUP('Données projet'!$B$10,Paramètres!$A$1:$I$89,3,0)*0.475*44/12</f>
        <v>9.2391072638612015E-2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0.38254124231139303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195.80903373714432</v>
      </c>
      <c r="T146" s="62">
        <f t="shared" si="142"/>
        <v>388.30721786668977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1.9895196601282805E-13</v>
      </c>
      <c r="AJ146" s="14">
        <f>AI146*VLOOKUP('Données projet'!$B$10,Paramètres!$A$1:$I$89,3,0)*VLOOKUP('Données projet'!$B$10,Paramètres!$A$1:$I$89,5,0)</f>
        <v>1.8001173884840681E-13</v>
      </c>
      <c r="AK146" s="14">
        <f t="shared" si="143"/>
        <v>2.5254331426407198E-12</v>
      </c>
      <c r="AL146" s="22">
        <f t="shared" si="112"/>
        <v>4.7119831685935622E-12</v>
      </c>
      <c r="AM146" s="62">
        <f t="shared" si="113"/>
        <v>293.33333333333803</v>
      </c>
      <c r="AN146" s="62">
        <f ca="1">AVERAGE(OFFSET($AM$3,0,0,'Données projet'!$E$10+1,1))-AVERAGE(OFFSET($H$3,0,0,'Données projet'!$E$10+1,1))</f>
        <v>302.6112905010138</v>
      </c>
      <c r="AO146" s="62">
        <f t="shared" si="144"/>
        <v>423.44006663873375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0.28446050181962651</v>
      </c>
      <c r="AV146" s="23">
        <f>EXP(-LN(2)/25)*AV145+(1-EXP(-LN(2)/25))/(LN(2)/25)*Calculateur!AQ146*Calculateur!AS146*VLOOKUP('Données projet'!$B$10,Paramètres!$A$1:$I$89,3,0)*0.475*44/12</f>
        <v>8.9864633898673829E-2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0.37432513571830034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195.80903373714432</v>
      </c>
      <c r="T147" s="62">
        <f t="shared" si="142"/>
        <v>388.30721786668977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1.9895196601282805E-13</v>
      </c>
      <c r="AJ147" s="14">
        <f>AI147*VLOOKUP('Données projet'!$B$10,Paramètres!$A$1:$I$89,3,0)*VLOOKUP('Données projet'!$B$10,Paramètres!$A$1:$I$89,5,0)</f>
        <v>1.8001173884840681E-13</v>
      </c>
      <c r="AK147" s="14">
        <f t="shared" si="143"/>
        <v>2.5254331426407198E-12</v>
      </c>
      <c r="AL147" s="22">
        <f t="shared" si="112"/>
        <v>4.7119831685935622E-12</v>
      </c>
      <c r="AM147" s="62">
        <f t="shared" si="113"/>
        <v>293.33333333333803</v>
      </c>
      <c r="AN147" s="62">
        <f ca="1">AVERAGE(OFFSET($AM$3,0,0,'Données projet'!$E$10+1,1))-AVERAGE(OFFSET($H$3,0,0,'Données projet'!$E$10+1,1))</f>
        <v>302.6112905010138</v>
      </c>
      <c r="AO147" s="62">
        <f t="shared" si="144"/>
        <v>423.44006663873375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0.27888240488271765</v>
      </c>
      <c r="AV147" s="23">
        <f>EXP(-LN(2)/25)*AV146+(1-EXP(-LN(2)/25))/(LN(2)/25)*Calculateur!AQ147*Calculateur!AS147*VLOOKUP('Données projet'!$B$10,Paramètres!$A$1:$I$89,3,0)*0.475*44/12</f>
        <v>8.7407280758938888E-2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0.36628968564165654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195.80903373714432</v>
      </c>
      <c r="T148" s="62">
        <f t="shared" si="142"/>
        <v>388.30721786668977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1.9895196601282805E-13</v>
      </c>
      <c r="AJ148" s="14">
        <f>AI148*VLOOKUP('Données projet'!$B$10,Paramètres!$A$1:$I$89,3,0)*VLOOKUP('Données projet'!$B$10,Paramètres!$A$1:$I$89,5,0)</f>
        <v>1.8001173884840681E-13</v>
      </c>
      <c r="AK148" s="14">
        <f t="shared" si="143"/>
        <v>2.5254331426407198E-12</v>
      </c>
      <c r="AL148" s="22">
        <f t="shared" si="112"/>
        <v>4.7119831685935622E-12</v>
      </c>
      <c r="AM148" s="62">
        <f t="shared" si="113"/>
        <v>293.33333333333803</v>
      </c>
      <c r="AN148" s="62">
        <f ca="1">AVERAGE(OFFSET($AM$3,0,0,'Données projet'!$E$10+1,1))-AVERAGE(OFFSET($H$3,0,0,'Données projet'!$E$10+1,1))</f>
        <v>302.6112905010138</v>
      </c>
      <c r="AO148" s="62">
        <f t="shared" si="144"/>
        <v>423.44006663873375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0.27341369102443841</v>
      </c>
      <c r="AV148" s="23">
        <f>EXP(-LN(2)/25)*AV147+(1-EXP(-LN(2)/25))/(LN(2)/25)*Calculateur!AQ148*Calculateur!AS148*VLOOKUP('Données projet'!$B$10,Paramètres!$A$1:$I$89,3,0)*0.475*44/12</f>
        <v>8.5017124070036587E-2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0.358430815094475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195.80903373714432</v>
      </c>
      <c r="T149" s="62">
        <f t="shared" si="142"/>
        <v>388.30721786668977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1.9895196601282805E-13</v>
      </c>
      <c r="AJ149" s="14">
        <f>AI149*VLOOKUP('Données projet'!$B$10,Paramètres!$A$1:$I$89,3,0)*VLOOKUP('Données projet'!$B$10,Paramètres!$A$1:$I$89,5,0)</f>
        <v>1.8001173884840681E-13</v>
      </c>
      <c r="AK149" s="14">
        <f t="shared" si="143"/>
        <v>2.5254331426407198E-12</v>
      </c>
      <c r="AL149" s="22">
        <f t="shared" si="112"/>
        <v>4.7119831685935622E-12</v>
      </c>
      <c r="AM149" s="62">
        <f t="shared" si="113"/>
        <v>293.33333333333803</v>
      </c>
      <c r="AN149" s="62">
        <f ca="1">AVERAGE(OFFSET($AM$3,0,0,'Données projet'!$E$10+1,1))-AVERAGE(OFFSET($H$3,0,0,'Données projet'!$E$10+1,1))</f>
        <v>302.6112905010138</v>
      </c>
      <c r="AO149" s="62">
        <f t="shared" si="144"/>
        <v>423.44006663873375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0.26805221530933393</v>
      </c>
      <c r="AV149" s="23">
        <f>EXP(-LN(2)/25)*AV148+(1-EXP(-LN(2)/25))/(LN(2)/25)*Calculateur!AQ149*Calculateur!AS149*VLOOKUP('Données projet'!$B$10,Paramètres!$A$1:$I$89,3,0)*0.475*44/12</f>
        <v>8.2692326341485198E-2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0.35074454165081914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195.80903373714432</v>
      </c>
      <c r="T150" s="62">
        <f t="shared" si="142"/>
        <v>388.30721786668977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1.9895196601282805E-13</v>
      </c>
      <c r="AJ150" s="14">
        <f>AI150*VLOOKUP('Données projet'!$B$10,Paramètres!$A$1:$I$89,3,0)*VLOOKUP('Données projet'!$B$10,Paramètres!$A$1:$I$89,5,0)</f>
        <v>1.8001173884840681E-13</v>
      </c>
      <c r="AK150" s="14">
        <f t="shared" si="143"/>
        <v>2.5254331426407198E-12</v>
      </c>
      <c r="AL150" s="22">
        <f t="shared" si="112"/>
        <v>4.7119831685935622E-12</v>
      </c>
      <c r="AM150" s="62">
        <f t="shared" si="113"/>
        <v>293.33333333333803</v>
      </c>
      <c r="AN150" s="62">
        <f ca="1">AVERAGE(OFFSET($AM$3,0,0,'Données projet'!$E$10+1,1))-AVERAGE(OFFSET($H$3,0,0,'Données projet'!$E$10+1,1))</f>
        <v>302.6112905010138</v>
      </c>
      <c r="AO150" s="62">
        <f t="shared" si="144"/>
        <v>423.44006663873375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0.26279587486282535</v>
      </c>
      <c r="AV150" s="23">
        <f>EXP(-LN(2)/25)*AV149+(1-EXP(-LN(2)/25))/(LN(2)/25)*Calculateur!AQ150*Calculateur!AS150*VLOOKUP('Données projet'!$B$10,Paramètres!$A$1:$I$89,3,0)*0.475*44/12</f>
        <v>8.0431100329076841E-2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0.34322697519190221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195.80903373714432</v>
      </c>
      <c r="T151" s="62">
        <f t="shared" si="142"/>
        <v>388.30721786668977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1.9895196601282805E-13</v>
      </c>
      <c r="AJ151" s="14">
        <f>AI151*VLOOKUP('Données projet'!$B$10,Paramètres!$A$1:$I$89,3,0)*VLOOKUP('Données projet'!$B$10,Paramètres!$A$1:$I$89,5,0)</f>
        <v>1.8001173884840681E-13</v>
      </c>
      <c r="AK151" s="14">
        <f t="shared" si="143"/>
        <v>2.5254331426407198E-12</v>
      </c>
      <c r="AL151" s="22">
        <f t="shared" si="112"/>
        <v>4.7119831685935622E-12</v>
      </c>
      <c r="AM151" s="62">
        <f t="shared" si="113"/>
        <v>293.33333333333803</v>
      </c>
      <c r="AN151" s="62">
        <f ca="1">AVERAGE(OFFSET($AM$3,0,0,'Données projet'!$E$10+1,1))-AVERAGE(OFFSET($H$3,0,0,'Données projet'!$E$10+1,1))</f>
        <v>302.6112905010138</v>
      </c>
      <c r="AO151" s="62">
        <f t="shared" si="144"/>
        <v>423.44006663873375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0.25764260804642175</v>
      </c>
      <c r="AV151" s="23">
        <f>EXP(-LN(2)/25)*AV150+(1-EXP(-LN(2)/25))/(LN(2)/25)*Calculateur!AQ151*Calculateur!AS151*VLOOKUP('Données projet'!$B$10,Paramètres!$A$1:$I$89,3,0)*0.475*44/12</f>
        <v>7.8231707660890493E-2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0.33587431570731224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195.80903373714432</v>
      </c>
      <c r="T152" s="62">
        <f t="shared" si="142"/>
        <v>388.30721786668977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1.9895196601282805E-13</v>
      </c>
      <c r="AJ152" s="14">
        <f>AI152*VLOOKUP('Données projet'!$B$10,Paramètres!$A$1:$I$89,3,0)*VLOOKUP('Données projet'!$B$10,Paramètres!$A$1:$I$89,5,0)</f>
        <v>1.8001173884840681E-13</v>
      </c>
      <c r="AK152" s="14">
        <f t="shared" si="143"/>
        <v>2.5254331426407198E-12</v>
      </c>
      <c r="AL152" s="22">
        <f t="shared" si="112"/>
        <v>4.7119831685935622E-12</v>
      </c>
      <c r="AM152" s="62">
        <f t="shared" si="113"/>
        <v>293.33333333333803</v>
      </c>
      <c r="AN152" s="62">
        <f ca="1">AVERAGE(OFFSET($AM$3,0,0,'Données projet'!$E$10+1,1))-AVERAGE(OFFSET($H$3,0,0,'Données projet'!$E$10+1,1))</f>
        <v>302.6112905010138</v>
      </c>
      <c r="AO152" s="62">
        <f t="shared" si="144"/>
        <v>423.44006663873375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0.2525903936491054</v>
      </c>
      <c r="AV152" s="23">
        <f>EXP(-LN(2)/25)*AV151+(1-EXP(-LN(2)/25))/(LN(2)/25)*Calculateur!AQ152*Calculateur!AS152*VLOOKUP('Données projet'!$B$10,Paramètres!$A$1:$I$89,3,0)*0.475*44/12</f>
        <v>7.6092457500876731E-2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0.32868285114998214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195.80903373714432</v>
      </c>
      <c r="T153" s="62">
        <f t="shared" si="142"/>
        <v>388.30721786668977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1.9895196601282805E-13</v>
      </c>
      <c r="AJ153" s="14">
        <f>AI153*VLOOKUP('Données projet'!$B$10,Paramètres!$A$1:$I$89,3,0)*VLOOKUP('Données projet'!$B$10,Paramètres!$A$1:$I$89,5,0)</f>
        <v>1.8001173884840681E-13</v>
      </c>
      <c r="AK153" s="14">
        <f t="shared" si="143"/>
        <v>2.5254331426407198E-12</v>
      </c>
      <c r="AL153" s="22">
        <f t="shared" si="112"/>
        <v>4.7119831685935622E-12</v>
      </c>
      <c r="AM153" s="62">
        <f t="shared" si="113"/>
        <v>293.33333333333803</v>
      </c>
      <c r="AN153" s="62">
        <f ca="1">AVERAGE(OFFSET($AM$3,0,0,'Données projet'!$E$10+1,1))-AVERAGE(OFFSET($H$3,0,0,'Données projet'!$E$10+1,1))</f>
        <v>302.6112905010138</v>
      </c>
      <c r="AO153" s="62">
        <f t="shared" si="144"/>
        <v>423.44006663873375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0.24763725009457394</v>
      </c>
      <c r="AV153" s="23">
        <f>EXP(-LN(2)/25)*AV152+(1-EXP(-LN(2)/25))/(LN(2)/25)*Calculateur!AQ153*Calculateur!AS153*VLOOKUP('Données projet'!$B$10,Paramètres!$A$1:$I$89,3,0)*0.475*44/12</f>
        <v>7.4011705248986828E-2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0.32164895534356075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195.80903373714432</v>
      </c>
      <c r="T154" s="62">
        <f t="shared" si="142"/>
        <v>388.30721786668977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1.9895196601282805E-13</v>
      </c>
      <c r="AJ154" s="14">
        <f>AI154*VLOOKUP('Données projet'!$B$10,Paramètres!$A$1:$I$89,3,0)*VLOOKUP('Données projet'!$B$10,Paramètres!$A$1:$I$89,5,0)</f>
        <v>1.8001173884840681E-13</v>
      </c>
      <c r="AK154" s="14">
        <f t="shared" ref="AK154:AK203" si="164">EXP(-1.0587+0.8836*LN(AJ154)+0.284)</f>
        <v>2.5254331426407198E-12</v>
      </c>
      <c r="AL154" s="22">
        <f t="shared" ref="AL154:AL203" si="165">(AJ154+AK154)*0.475*44/12</f>
        <v>4.7119831685935622E-12</v>
      </c>
      <c r="AM154" s="62">
        <f t="shared" si="113"/>
        <v>293.33333333333803</v>
      </c>
      <c r="AN154" s="62">
        <f ca="1">AVERAGE(OFFSET($AM$3,0,0,'Données projet'!$E$10+1,1))-AVERAGE(OFFSET($H$3,0,0,'Données projet'!$E$10+1,1))</f>
        <v>302.6112905010138</v>
      </c>
      <c r="AO154" s="62">
        <f t="shared" si="144"/>
        <v>423.44006663873375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0.24278123466402757</v>
      </c>
      <c r="AV154" s="23">
        <f>EXP(-LN(2)/25)*AV153+(1-EXP(-LN(2)/25))/(LN(2)/25)*Calculateur!AQ154*Calculateur!AS154*VLOOKUP('Données projet'!$B$10,Paramètres!$A$1:$I$89,3,0)*0.475*44/12</f>
        <v>7.1987851276846856E-2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0.31476908594087444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195.80903373714432</v>
      </c>
      <c r="T155" s="62">
        <f t="shared" si="142"/>
        <v>388.30721786668977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1.9895196601282805E-13</v>
      </c>
      <c r="AJ155" s="14">
        <f>AI155*VLOOKUP('Données projet'!$B$10,Paramètres!$A$1:$I$89,3,0)*VLOOKUP('Données projet'!$B$10,Paramètres!$A$1:$I$89,5,0)</f>
        <v>1.8001173884840681E-13</v>
      </c>
      <c r="AK155" s="14">
        <f t="shared" si="164"/>
        <v>2.5254331426407198E-12</v>
      </c>
      <c r="AL155" s="22">
        <f t="shared" si="165"/>
        <v>4.7119831685935622E-12</v>
      </c>
      <c r="AM155" s="62">
        <f t="shared" si="113"/>
        <v>293.33333333333803</v>
      </c>
      <c r="AN155" s="62">
        <f ca="1">AVERAGE(OFFSET($AM$3,0,0,'Données projet'!$E$10+1,1))-AVERAGE(OFFSET($H$3,0,0,'Données projet'!$E$10+1,1))</f>
        <v>302.6112905010138</v>
      </c>
      <c r="AO155" s="62">
        <f t="shared" si="144"/>
        <v>423.44006663873375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0.23802044273419726</v>
      </c>
      <c r="AV155" s="23">
        <f>EXP(-LN(2)/25)*AV154+(1-EXP(-LN(2)/25))/(LN(2)/25)*Calculateur!AQ155*Calculateur!AS155*VLOOKUP('Données projet'!$B$10,Paramètres!$A$1:$I$89,3,0)*0.475*44/12</f>
        <v>7.0019339698004918E-2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0.3080397824322022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195.80903373714432</v>
      </c>
      <c r="T156" s="62">
        <f t="shared" si="142"/>
        <v>388.30721786668977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1.9895196601282805E-13</v>
      </c>
      <c r="AJ156" s="14">
        <f>AI156*VLOOKUP('Données projet'!$B$10,Paramètres!$A$1:$I$89,3,0)*VLOOKUP('Données projet'!$B$10,Paramètres!$A$1:$I$89,5,0)</f>
        <v>1.8001173884840681E-13</v>
      </c>
      <c r="AK156" s="14">
        <f t="shared" si="164"/>
        <v>2.5254331426407198E-12</v>
      </c>
      <c r="AL156" s="22">
        <f t="shared" si="165"/>
        <v>4.7119831685935622E-12</v>
      </c>
      <c r="AM156" s="62">
        <f t="shared" si="113"/>
        <v>293.33333333333803</v>
      </c>
      <c r="AN156" s="62">
        <f ca="1">AVERAGE(OFFSET($AM$3,0,0,'Données projet'!$E$10+1,1))-AVERAGE(OFFSET($H$3,0,0,'Données projet'!$E$10+1,1))</f>
        <v>302.6112905010138</v>
      </c>
      <c r="AO156" s="62">
        <f t="shared" si="144"/>
        <v>423.44006663873375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0.23335300703031456</v>
      </c>
      <c r="AV156" s="23">
        <f>EXP(-LN(2)/25)*AV155+(1-EXP(-LN(2)/25))/(LN(2)/25)*Calculateur!AQ156*Calculateur!AS156*VLOOKUP('Données projet'!$B$10,Paramètres!$A$1:$I$89,3,0)*0.475*44/12</f>
        <v>6.810465717180593E-2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0.3014576642021205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195.80903373714432</v>
      </c>
      <c r="T157" s="62">
        <f t="shared" si="142"/>
        <v>388.30721786668977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1.9895196601282805E-13</v>
      </c>
      <c r="AJ157" s="14">
        <f>AI157*VLOOKUP('Données projet'!$B$10,Paramètres!$A$1:$I$89,3,0)*VLOOKUP('Données projet'!$B$10,Paramètres!$A$1:$I$89,5,0)</f>
        <v>1.8001173884840681E-13</v>
      </c>
      <c r="AK157" s="14">
        <f t="shared" si="164"/>
        <v>2.5254331426407198E-12</v>
      </c>
      <c r="AL157" s="22">
        <f t="shared" si="165"/>
        <v>4.7119831685935622E-12</v>
      </c>
      <c r="AM157" s="62">
        <f t="shared" si="113"/>
        <v>293.33333333333803</v>
      </c>
      <c r="AN157" s="62">
        <f ca="1">AVERAGE(OFFSET($AM$3,0,0,'Données projet'!$E$10+1,1))-AVERAGE(OFFSET($H$3,0,0,'Données projet'!$E$10+1,1))</f>
        <v>302.6112905010138</v>
      </c>
      <c r="AO157" s="62">
        <f t="shared" si="144"/>
        <v>423.44006663873375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0.22877709689373033</v>
      </c>
      <c r="AV157" s="23">
        <f>EXP(-LN(2)/25)*AV156+(1-EXP(-LN(2)/25))/(LN(2)/25)*Calculateur!AQ157*Calculateur!AS157*VLOOKUP('Données projet'!$B$10,Paramètres!$A$1:$I$89,3,0)*0.475*44/12</f>
        <v>6.6242331739974625E-2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0.29501942863370495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195.80903373714432</v>
      </c>
      <c r="T158" s="62">
        <f t="shared" si="142"/>
        <v>388.30721786668977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1.9895196601282805E-13</v>
      </c>
      <c r="AJ158" s="14">
        <f>AI158*VLOOKUP('Données projet'!$B$10,Paramètres!$A$1:$I$89,3,0)*VLOOKUP('Données projet'!$B$10,Paramètres!$A$1:$I$89,5,0)</f>
        <v>1.8001173884840681E-13</v>
      </c>
      <c r="AK158" s="14">
        <f t="shared" si="164"/>
        <v>2.5254331426407198E-12</v>
      </c>
      <c r="AL158" s="22">
        <f t="shared" si="165"/>
        <v>4.7119831685935622E-12</v>
      </c>
      <c r="AM158" s="62">
        <f t="shared" si="113"/>
        <v>293.33333333333803</v>
      </c>
      <c r="AN158" s="62">
        <f ca="1">AVERAGE(OFFSET($AM$3,0,0,'Données projet'!$E$10+1,1))-AVERAGE(OFFSET($H$3,0,0,'Données projet'!$E$10+1,1))</f>
        <v>302.6112905010138</v>
      </c>
      <c r="AO158" s="62">
        <f t="shared" si="144"/>
        <v>423.44006663873375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0.22429091756389494</v>
      </c>
      <c r="AV158" s="23">
        <f>EXP(-LN(2)/25)*AV157+(1-EXP(-LN(2)/25))/(LN(2)/25)*Calculateur!AQ158*Calculateur!AS158*VLOOKUP('Données projet'!$B$10,Paramètres!$A$1:$I$89,3,0)*0.475*44/12</f>
        <v>6.4430931695012197E-2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0.28872184925890715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195.80903373714432</v>
      </c>
      <c r="T159" s="62">
        <f t="shared" si="142"/>
        <v>388.30721786668977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1.9895196601282805E-13</v>
      </c>
      <c r="AJ159" s="14">
        <f>AI159*VLOOKUP('Données projet'!$B$10,Paramètres!$A$1:$I$89,3,0)*VLOOKUP('Données projet'!$B$10,Paramètres!$A$1:$I$89,5,0)</f>
        <v>1.8001173884840681E-13</v>
      </c>
      <c r="AK159" s="14">
        <f t="shared" si="164"/>
        <v>2.5254331426407198E-12</v>
      </c>
      <c r="AL159" s="22">
        <f t="shared" si="165"/>
        <v>4.7119831685935622E-12</v>
      </c>
      <c r="AM159" s="62">
        <f t="shared" si="113"/>
        <v>293.33333333333803</v>
      </c>
      <c r="AN159" s="62">
        <f ca="1">AVERAGE(OFFSET($AM$3,0,0,'Données projet'!$E$10+1,1))-AVERAGE(OFFSET($H$3,0,0,'Données projet'!$E$10+1,1))</f>
        <v>302.6112905010138</v>
      </c>
      <c r="AO159" s="62">
        <f t="shared" si="144"/>
        <v>423.44006663873375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0.21989270947441841</v>
      </c>
      <c r="AV159" s="23">
        <f>EXP(-LN(2)/25)*AV158+(1-EXP(-LN(2)/25))/(LN(2)/25)*Calculateur!AQ159*Calculateur!AS159*VLOOKUP('Données projet'!$B$10,Paramètres!$A$1:$I$89,3,0)*0.475*44/12</f>
        <v>6.2669064479536643E-2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0.28256177395395504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195.80903373714432</v>
      </c>
      <c r="T160" s="62">
        <f t="shared" si="142"/>
        <v>388.30721786668977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1.9895196601282805E-13</v>
      </c>
      <c r="AJ160" s="14">
        <f>AI160*VLOOKUP('Données projet'!$B$10,Paramètres!$A$1:$I$89,3,0)*VLOOKUP('Données projet'!$B$10,Paramètres!$A$1:$I$89,5,0)</f>
        <v>1.8001173884840681E-13</v>
      </c>
      <c r="AK160" s="14">
        <f t="shared" si="164"/>
        <v>2.5254331426407198E-12</v>
      </c>
      <c r="AL160" s="22">
        <f t="shared" si="165"/>
        <v>4.7119831685935622E-12</v>
      </c>
      <c r="AM160" s="62">
        <f t="shared" si="113"/>
        <v>293.33333333333803</v>
      </c>
      <c r="AN160" s="62">
        <f ca="1">AVERAGE(OFFSET($AM$3,0,0,'Données projet'!$E$10+1,1))-AVERAGE(OFFSET($H$3,0,0,'Données projet'!$E$10+1,1))</f>
        <v>302.6112905010138</v>
      </c>
      <c r="AO160" s="62">
        <f t="shared" si="144"/>
        <v>423.44006663873375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0.21558074756293447</v>
      </c>
      <c r="AV160" s="23">
        <f>EXP(-LN(2)/25)*AV159+(1-EXP(-LN(2)/25))/(LN(2)/25)*Calculateur!AQ160*Calculateur!AS160*VLOOKUP('Données projet'!$B$10,Paramètres!$A$1:$I$89,3,0)*0.475*44/12</f>
        <v>6.0955375615720842E-2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0.27653612317865528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195.80903373714432</v>
      </c>
      <c r="T161" s="62">
        <f t="shared" si="142"/>
        <v>388.30721786668977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1.9895196601282805E-13</v>
      </c>
      <c r="AJ161" s="14">
        <f>AI161*VLOOKUP('Données projet'!$B$10,Paramètres!$A$1:$I$89,3,0)*VLOOKUP('Données projet'!$B$10,Paramètres!$A$1:$I$89,5,0)</f>
        <v>1.8001173884840681E-13</v>
      </c>
      <c r="AK161" s="14">
        <f t="shared" si="164"/>
        <v>2.5254331426407198E-12</v>
      </c>
      <c r="AL161" s="22">
        <f t="shared" si="165"/>
        <v>4.7119831685935622E-12</v>
      </c>
      <c r="AM161" s="62">
        <f t="shared" si="113"/>
        <v>293.33333333333803</v>
      </c>
      <c r="AN161" s="62">
        <f ca="1">AVERAGE(OFFSET($AM$3,0,0,'Données projet'!$E$10+1,1))-AVERAGE(OFFSET($H$3,0,0,'Données projet'!$E$10+1,1))</f>
        <v>302.6112905010138</v>
      </c>
      <c r="AO161" s="62">
        <f t="shared" si="144"/>
        <v>423.44006663873375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0.21135334059449765</v>
      </c>
      <c r="AV161" s="23">
        <f>EXP(-LN(2)/25)*AV160+(1-EXP(-LN(2)/25))/(LN(2)/25)*Calculateur!AQ161*Calculateur!AS161*VLOOKUP('Données projet'!$B$10,Paramètres!$A$1:$I$89,3,0)*0.475*44/12</f>
        <v>5.928854766400507E-2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0.27064188825850272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195.80903373714432</v>
      </c>
      <c r="T162" s="62">
        <f t="shared" si="142"/>
        <v>388.30721786668977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1.9895196601282805E-13</v>
      </c>
      <c r="AJ162" s="14">
        <f>AI162*VLOOKUP('Données projet'!$B$10,Paramètres!$A$1:$I$89,3,0)*VLOOKUP('Données projet'!$B$10,Paramètres!$A$1:$I$89,5,0)</f>
        <v>1.8001173884840681E-13</v>
      </c>
      <c r="AK162" s="14">
        <f t="shared" si="164"/>
        <v>2.5254331426407198E-12</v>
      </c>
      <c r="AL162" s="22">
        <f t="shared" si="165"/>
        <v>4.7119831685935622E-12</v>
      </c>
      <c r="AM162" s="62">
        <f t="shared" si="113"/>
        <v>293.33333333333803</v>
      </c>
      <c r="AN162" s="62">
        <f ca="1">AVERAGE(OFFSET($AM$3,0,0,'Données projet'!$E$10+1,1))-AVERAGE(OFFSET($H$3,0,0,'Données projet'!$E$10+1,1))</f>
        <v>302.6112905010138</v>
      </c>
      <c r="AO162" s="62">
        <f t="shared" si="144"/>
        <v>423.44006663873375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0.20720883049824823</v>
      </c>
      <c r="AV162" s="23">
        <f>EXP(-LN(2)/25)*AV161+(1-EXP(-LN(2)/25))/(LN(2)/25)*Calculateur!AQ162*Calculateur!AS162*VLOOKUP('Données projet'!$B$10,Paramètres!$A$1:$I$89,3,0)*0.475*44/12</f>
        <v>5.7667299210283636E-2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0.26487612970853186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195.80903373714432</v>
      </c>
      <c r="T163" s="62">
        <f t="shared" si="142"/>
        <v>388.30721786668977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1.9895196601282805E-13</v>
      </c>
      <c r="AJ163" s="14">
        <f>AI163*VLOOKUP('Données projet'!$B$10,Paramètres!$A$1:$I$89,3,0)*VLOOKUP('Données projet'!$B$10,Paramètres!$A$1:$I$89,5,0)</f>
        <v>1.8001173884840681E-13</v>
      </c>
      <c r="AK163" s="14">
        <f t="shared" si="164"/>
        <v>2.5254331426407198E-12</v>
      </c>
      <c r="AL163" s="22">
        <f t="shared" si="165"/>
        <v>4.7119831685935622E-12</v>
      </c>
      <c r="AM163" s="62">
        <f t="shared" si="113"/>
        <v>293.33333333333803</v>
      </c>
      <c r="AN163" s="62">
        <f ca="1">AVERAGE(OFFSET($AM$3,0,0,'Données projet'!$E$10+1,1))-AVERAGE(OFFSET($H$3,0,0,'Données projet'!$E$10+1,1))</f>
        <v>302.6112905010138</v>
      </c>
      <c r="AO163" s="62">
        <f t="shared" si="144"/>
        <v>423.44006663873375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0.20314559171708471</v>
      </c>
      <c r="AV163" s="23">
        <f>EXP(-LN(2)/25)*AV162+(1-EXP(-LN(2)/25))/(LN(2)/25)*Calculateur!AQ163*Calculateur!AS163*VLOOKUP('Données projet'!$B$10,Paramètres!$A$1:$I$89,3,0)*0.475*44/12</f>
        <v>5.6090383880786965E-2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0.2592359755978717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195.80903373714432</v>
      </c>
      <c r="T164" s="62">
        <f t="shared" si="142"/>
        <v>388.30721786668977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1.9895196601282805E-13</v>
      </c>
      <c r="AJ164" s="14">
        <f>AI164*VLOOKUP('Données projet'!$B$10,Paramètres!$A$1:$I$89,3,0)*VLOOKUP('Données projet'!$B$10,Paramètres!$A$1:$I$89,5,0)</f>
        <v>1.8001173884840681E-13</v>
      </c>
      <c r="AK164" s="14">
        <f t="shared" si="164"/>
        <v>2.5254331426407198E-12</v>
      </c>
      <c r="AL164" s="22">
        <f t="shared" si="165"/>
        <v>4.7119831685935622E-12</v>
      </c>
      <c r="AM164" s="62">
        <f t="shared" si="113"/>
        <v>293.33333333333803</v>
      </c>
      <c r="AN164" s="62">
        <f ca="1">AVERAGE(OFFSET($AM$3,0,0,'Données projet'!$E$10+1,1))-AVERAGE(OFFSET($H$3,0,0,'Données projet'!$E$10+1,1))</f>
        <v>302.6112905010138</v>
      </c>
      <c r="AO164" s="62">
        <f t="shared" si="144"/>
        <v>423.44006663873375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0.19916203057008888</v>
      </c>
      <c r="AV164" s="23">
        <f>EXP(-LN(2)/25)*AV163+(1-EXP(-LN(2)/25))/(LN(2)/25)*Calculateur!AQ164*Calculateur!AS164*VLOOKUP('Données projet'!$B$10,Paramètres!$A$1:$I$89,3,0)*0.475*44/12</f>
        <v>5.4556589383901753E-2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0.25371861995399064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195.80903373714432</v>
      </c>
      <c r="T165" s="62">
        <f t="shared" si="142"/>
        <v>388.30721786668977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1.9895196601282805E-13</v>
      </c>
      <c r="AJ165" s="14">
        <f>AI165*VLOOKUP('Données projet'!$B$10,Paramètres!$A$1:$I$89,3,0)*VLOOKUP('Données projet'!$B$10,Paramètres!$A$1:$I$89,5,0)</f>
        <v>1.8001173884840681E-13</v>
      </c>
      <c r="AK165" s="14">
        <f t="shared" si="164"/>
        <v>2.5254331426407198E-12</v>
      </c>
      <c r="AL165" s="22">
        <f t="shared" si="165"/>
        <v>4.7119831685935622E-12</v>
      </c>
      <c r="AM165" s="62">
        <f t="shared" si="113"/>
        <v>293.33333333333803</v>
      </c>
      <c r="AN165" s="62">
        <f ca="1">AVERAGE(OFFSET($AM$3,0,0,'Données projet'!$E$10+1,1))-AVERAGE(OFFSET($H$3,0,0,'Données projet'!$E$10+1,1))</f>
        <v>302.6112905010138</v>
      </c>
      <c r="AO165" s="62">
        <f t="shared" si="144"/>
        <v>423.44006663873375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0.19525658462745324</v>
      </c>
      <c r="AV165" s="23">
        <f>EXP(-LN(2)/25)*AV164+(1-EXP(-LN(2)/25))/(LN(2)/25)*Calculateur!AQ165*Calculateur!AS165*VLOOKUP('Données projet'!$B$10,Paramètres!$A$1:$I$89,3,0)*0.475*44/12</f>
        <v>5.3064736578192613E-2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0.24832132120564585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195.80903373714432</v>
      </c>
      <c r="T166" s="62">
        <f t="shared" si="142"/>
        <v>388.30721786668977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1.9895196601282805E-13</v>
      </c>
      <c r="AJ166" s="14">
        <f>AI166*VLOOKUP('Données projet'!$B$10,Paramètres!$A$1:$I$89,3,0)*VLOOKUP('Données projet'!$B$10,Paramètres!$A$1:$I$89,5,0)</f>
        <v>1.8001173884840681E-13</v>
      </c>
      <c r="AK166" s="14">
        <f t="shared" si="164"/>
        <v>2.5254331426407198E-12</v>
      </c>
      <c r="AL166" s="22">
        <f t="shared" si="165"/>
        <v>4.7119831685935622E-12</v>
      </c>
      <c r="AM166" s="62">
        <f t="shared" si="113"/>
        <v>293.33333333333803</v>
      </c>
      <c r="AN166" s="62">
        <f ca="1">AVERAGE(OFFSET($AM$3,0,0,'Données projet'!$E$10+1,1))-AVERAGE(OFFSET($H$3,0,0,'Données projet'!$E$10+1,1))</f>
        <v>302.6112905010138</v>
      </c>
      <c r="AO166" s="62">
        <f t="shared" si="144"/>
        <v>423.44006663873375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0.19142772209766587</v>
      </c>
      <c r="AV166" s="23">
        <f>EXP(-LN(2)/25)*AV165+(1-EXP(-LN(2)/25))/(LN(2)/25)*Calculateur!AQ166*Calculateur!AS166*VLOOKUP('Données projet'!$B$10,Paramètres!$A$1:$I$89,3,0)*0.475*44/12</f>
        <v>5.1613678565908719E-2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0.2430414006635746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195.80903373714432</v>
      </c>
      <c r="T167" s="62">
        <f t="shared" si="142"/>
        <v>388.30721786668977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1.9895196601282805E-13</v>
      </c>
      <c r="AJ167" s="14">
        <f>AI167*VLOOKUP('Données projet'!$B$10,Paramètres!$A$1:$I$89,3,0)*VLOOKUP('Données projet'!$B$10,Paramètres!$A$1:$I$89,5,0)</f>
        <v>1.8001173884840681E-13</v>
      </c>
      <c r="AK167" s="14">
        <f t="shared" si="164"/>
        <v>2.5254331426407198E-12</v>
      </c>
      <c r="AL167" s="22">
        <f t="shared" si="165"/>
        <v>4.7119831685935622E-12</v>
      </c>
      <c r="AM167" s="62">
        <f t="shared" si="113"/>
        <v>293.33333333333803</v>
      </c>
      <c r="AN167" s="62">
        <f ca="1">AVERAGE(OFFSET($AM$3,0,0,'Données projet'!$E$10+1,1))-AVERAGE(OFFSET($H$3,0,0,'Données projet'!$E$10+1,1))</f>
        <v>302.6112905010138</v>
      </c>
      <c r="AO167" s="62">
        <f t="shared" si="144"/>
        <v>423.44006663873375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0.1876739412267121</v>
      </c>
      <c r="AV167" s="23">
        <f>EXP(-LN(2)/25)*AV166+(1-EXP(-LN(2)/25))/(LN(2)/25)*Calculateur!AQ167*Calculateur!AS167*VLOOKUP('Données projet'!$B$10,Paramètres!$A$1:$I$89,3,0)*0.475*44/12</f>
        <v>5.0202299811278557E-2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0.23787624103799065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195.80903373714432</v>
      </c>
      <c r="T168" s="62">
        <f t="shared" si="142"/>
        <v>388.30721786668977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1.9895196601282805E-13</v>
      </c>
      <c r="AJ168" s="14">
        <f>AI168*VLOOKUP('Données projet'!$B$10,Paramètres!$A$1:$I$89,3,0)*VLOOKUP('Données projet'!$B$10,Paramètres!$A$1:$I$89,5,0)</f>
        <v>1.8001173884840681E-13</v>
      </c>
      <c r="AK168" s="14">
        <f t="shared" si="164"/>
        <v>2.5254331426407198E-12</v>
      </c>
      <c r="AL168" s="22">
        <f t="shared" si="165"/>
        <v>4.7119831685935622E-12</v>
      </c>
      <c r="AM168" s="62">
        <f t="shared" si="113"/>
        <v>293.33333333333803</v>
      </c>
      <c r="AN168" s="62">
        <f ca="1">AVERAGE(OFFSET($AM$3,0,0,'Données projet'!$E$10+1,1))-AVERAGE(OFFSET($H$3,0,0,'Données projet'!$E$10+1,1))</f>
        <v>302.6112905010138</v>
      </c>
      <c r="AO168" s="62">
        <f t="shared" si="144"/>
        <v>423.44006663873375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0.18399376970905748</v>
      </c>
      <c r="AV168" s="23">
        <f>EXP(-LN(2)/25)*AV167+(1-EXP(-LN(2)/25))/(LN(2)/25)*Calculateur!AQ168*Calculateur!AS168*VLOOKUP('Données projet'!$B$10,Paramètres!$A$1:$I$89,3,0)*0.475*44/12</f>
        <v>4.8829515282914938E-2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0.23282328499197241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195.80903373714432</v>
      </c>
      <c r="T169" s="62">
        <f t="shared" si="142"/>
        <v>388.30721786668977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1.9895196601282805E-13</v>
      </c>
      <c r="AJ169" s="14">
        <f>AI169*VLOOKUP('Données projet'!$B$10,Paramètres!$A$1:$I$89,3,0)*VLOOKUP('Données projet'!$B$10,Paramètres!$A$1:$I$89,5,0)</f>
        <v>1.8001173884840681E-13</v>
      </c>
      <c r="AK169" s="14">
        <f t="shared" si="164"/>
        <v>2.5254331426407198E-12</v>
      </c>
      <c r="AL169" s="22">
        <f t="shared" si="165"/>
        <v>4.7119831685935622E-12</v>
      </c>
      <c r="AM169" s="62">
        <f t="shared" si="113"/>
        <v>293.33333333333803</v>
      </c>
      <c r="AN169" s="62">
        <f ca="1">AVERAGE(OFFSET($AM$3,0,0,'Données projet'!$E$10+1,1))-AVERAGE(OFFSET($H$3,0,0,'Données projet'!$E$10+1,1))</f>
        <v>302.6112905010138</v>
      </c>
      <c r="AO169" s="62">
        <f t="shared" si="144"/>
        <v>423.44006663873375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0.18038576411018106</v>
      </c>
      <c r="AV169" s="23">
        <f>EXP(-LN(2)/25)*AV168+(1-EXP(-LN(2)/25))/(LN(2)/25)*Calculateur!AQ169*Calculateur!AS169*VLOOKUP('Données projet'!$B$10,Paramètres!$A$1:$I$89,3,0)*0.475*44/12</f>
        <v>4.7494269619671022E-2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0.22788003372985208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195.80903373714432</v>
      </c>
      <c r="T170" s="62">
        <f t="shared" si="142"/>
        <v>388.30721786668977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1.9895196601282805E-13</v>
      </c>
      <c r="AJ170" s="14">
        <f>AI170*VLOOKUP('Données projet'!$B$10,Paramètres!$A$1:$I$89,3,0)*VLOOKUP('Données projet'!$B$10,Paramètres!$A$1:$I$89,5,0)</f>
        <v>1.8001173884840681E-13</v>
      </c>
      <c r="AK170" s="14">
        <f t="shared" si="164"/>
        <v>2.5254331426407198E-12</v>
      </c>
      <c r="AL170" s="22">
        <f t="shared" si="165"/>
        <v>4.7119831685935622E-12</v>
      </c>
      <c r="AM170" s="62">
        <f t="shared" si="113"/>
        <v>293.33333333333803</v>
      </c>
      <c r="AN170" s="62">
        <f ca="1">AVERAGE(OFFSET($AM$3,0,0,'Données projet'!$E$10+1,1))-AVERAGE(OFFSET($H$3,0,0,'Données projet'!$E$10+1,1))</f>
        <v>302.6112905010138</v>
      </c>
      <c r="AO170" s="62">
        <f t="shared" si="144"/>
        <v>423.44006663873375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0.1768485093004325</v>
      </c>
      <c r="AV170" s="23">
        <f>EXP(-LN(2)/25)*AV169+(1-EXP(-LN(2)/25))/(LN(2)/25)*Calculateur!AQ170*Calculateur!AS170*VLOOKUP('Données projet'!$B$10,Paramètres!$A$1:$I$89,3,0)*0.475*44/12</f>
        <v>4.6195536319306028E-2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0.22304404561973853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195.80903373714432</v>
      </c>
      <c r="T171" s="62">
        <f t="shared" si="142"/>
        <v>388.30721786668977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1.9895196601282805E-13</v>
      </c>
      <c r="AJ171" s="14">
        <f>AI171*VLOOKUP('Données projet'!$B$10,Paramètres!$A$1:$I$89,3,0)*VLOOKUP('Données projet'!$B$10,Paramètres!$A$1:$I$89,5,0)</f>
        <v>1.8001173884840681E-13</v>
      </c>
      <c r="AK171" s="14">
        <f t="shared" si="164"/>
        <v>2.5254331426407198E-12</v>
      </c>
      <c r="AL171" s="22">
        <f t="shared" si="165"/>
        <v>4.7119831685935622E-12</v>
      </c>
      <c r="AM171" s="62">
        <f t="shared" si="113"/>
        <v>293.33333333333803</v>
      </c>
      <c r="AN171" s="62">
        <f ca="1">AVERAGE(OFFSET($AM$3,0,0,'Données projet'!$E$10+1,1))-AVERAGE(OFFSET($H$3,0,0,'Données projet'!$E$10+1,1))</f>
        <v>302.6112905010138</v>
      </c>
      <c r="AO171" s="62">
        <f t="shared" si="144"/>
        <v>423.44006663873375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0.17338061789999071</v>
      </c>
      <c r="AV171" s="23">
        <f>EXP(-LN(2)/25)*AV170+(1-EXP(-LN(2)/25))/(LN(2)/25)*Calculateur!AQ171*Calculateur!AS171*VLOOKUP('Données projet'!$B$10,Paramètres!$A$1:$I$89,3,0)*0.475*44/12</f>
        <v>4.4932316949336928E-2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0.21831293484932762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195.80903373714432</v>
      </c>
      <c r="T172" s="62">
        <f t="shared" si="142"/>
        <v>388.30721786668977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1.9895196601282805E-13</v>
      </c>
      <c r="AJ172" s="14">
        <f>AI172*VLOOKUP('Données projet'!$B$10,Paramètres!$A$1:$I$89,3,0)*VLOOKUP('Données projet'!$B$10,Paramètres!$A$1:$I$89,5,0)</f>
        <v>1.8001173884840681E-13</v>
      </c>
      <c r="AK172" s="14">
        <f t="shared" si="164"/>
        <v>2.5254331426407198E-12</v>
      </c>
      <c r="AL172" s="22">
        <f t="shared" si="165"/>
        <v>4.7119831685935622E-12</v>
      </c>
      <c r="AM172" s="62">
        <f t="shared" si="113"/>
        <v>293.33333333333803</v>
      </c>
      <c r="AN172" s="62">
        <f ca="1">AVERAGE(OFFSET($AM$3,0,0,'Données projet'!$E$10+1,1))-AVERAGE(OFFSET($H$3,0,0,'Données projet'!$E$10+1,1))</f>
        <v>302.6112905010138</v>
      </c>
      <c r="AO172" s="62">
        <f t="shared" si="144"/>
        <v>423.44006663873375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0.16998072973470668</v>
      </c>
      <c r="AV172" s="23">
        <f>EXP(-LN(2)/25)*AV171+(1-EXP(-LN(2)/25))/(LN(2)/25)*Calculateur!AQ172*Calculateur!AS172*VLOOKUP('Données projet'!$B$10,Paramètres!$A$1:$I$89,3,0)*0.475*44/12</f>
        <v>4.3703640379469458E-2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0.21368437011417613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195.80903373714432</v>
      </c>
      <c r="T173" s="62">
        <f t="shared" si="142"/>
        <v>388.30721786668977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1.9895196601282805E-13</v>
      </c>
      <c r="AJ173" s="14">
        <f>AI173*VLOOKUP('Données projet'!$B$10,Paramètres!$A$1:$I$89,3,0)*VLOOKUP('Données projet'!$B$10,Paramètres!$A$1:$I$89,5,0)</f>
        <v>1.8001173884840681E-13</v>
      </c>
      <c r="AK173" s="14">
        <f t="shared" si="164"/>
        <v>2.5254331426407198E-12</v>
      </c>
      <c r="AL173" s="22">
        <f t="shared" si="165"/>
        <v>4.7119831685935622E-12</v>
      </c>
      <c r="AM173" s="62">
        <f t="shared" si="113"/>
        <v>293.33333333333803</v>
      </c>
      <c r="AN173" s="62">
        <f ca="1">AVERAGE(OFFSET($AM$3,0,0,'Données projet'!$E$10+1,1))-AVERAGE(OFFSET($H$3,0,0,'Données projet'!$E$10+1,1))</f>
        <v>302.6112905010138</v>
      </c>
      <c r="AO173" s="62">
        <f t="shared" si="144"/>
        <v>423.44006663873375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0.16664751130261687</v>
      </c>
      <c r="AV173" s="23">
        <f>EXP(-LN(2)/25)*AV172+(1-EXP(-LN(2)/25))/(LN(2)/25)*Calculateur!AQ173*Calculateur!AS173*VLOOKUP('Données projet'!$B$10,Paramètres!$A$1:$I$89,3,0)*0.475*44/12</f>
        <v>4.25085620350183E-2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0.20915607333763517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195.80903373714432</v>
      </c>
      <c r="T174" s="62">
        <f t="shared" si="142"/>
        <v>388.30721786668977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1.9895196601282805E-13</v>
      </c>
      <c r="AJ174" s="14">
        <f>AI174*VLOOKUP('Données projet'!$B$10,Paramètres!$A$1:$I$89,3,0)*VLOOKUP('Données projet'!$B$10,Paramètres!$A$1:$I$89,5,0)</f>
        <v>1.8001173884840681E-13</v>
      </c>
      <c r="AK174" s="14">
        <f t="shared" si="164"/>
        <v>2.5254331426407198E-12</v>
      </c>
      <c r="AL174" s="22">
        <f t="shared" si="165"/>
        <v>4.7119831685935622E-12</v>
      </c>
      <c r="AM174" s="62">
        <f t="shared" si="113"/>
        <v>293.33333333333803</v>
      </c>
      <c r="AN174" s="62">
        <f ca="1">AVERAGE(OFFSET($AM$3,0,0,'Données projet'!$E$10+1,1))-AVERAGE(OFFSET($H$3,0,0,'Données projet'!$E$10+1,1))</f>
        <v>302.6112905010138</v>
      </c>
      <c r="AO174" s="62">
        <f t="shared" si="144"/>
        <v>423.44006663873375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0.16337965525091785</v>
      </c>
      <c r="AV174" s="23">
        <f>EXP(-LN(2)/25)*AV173+(1-EXP(-LN(2)/25))/(LN(2)/25)*Calculateur!AQ174*Calculateur!AS174*VLOOKUP('Données projet'!$B$10,Paramètres!$A$1:$I$89,3,0)*0.475*44/12</f>
        <v>4.1346163170742599E-2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0.20472581842166046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195.80903373714432</v>
      </c>
      <c r="T175" s="62">
        <f t="shared" si="142"/>
        <v>388.30721786668977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1.9895196601282805E-13</v>
      </c>
      <c r="AJ175" s="14">
        <f>AI175*VLOOKUP('Données projet'!$B$10,Paramètres!$A$1:$I$89,3,0)*VLOOKUP('Données projet'!$B$10,Paramètres!$A$1:$I$89,5,0)</f>
        <v>1.8001173884840681E-13</v>
      </c>
      <c r="AK175" s="14">
        <f t="shared" si="164"/>
        <v>2.5254331426407198E-12</v>
      </c>
      <c r="AL175" s="22">
        <f t="shared" si="165"/>
        <v>4.7119831685935622E-12</v>
      </c>
      <c r="AM175" s="62">
        <f t="shared" si="113"/>
        <v>293.33333333333803</v>
      </c>
      <c r="AN175" s="62">
        <f ca="1">AVERAGE(OFFSET($AM$3,0,0,'Données projet'!$E$10+1,1))-AVERAGE(OFFSET($H$3,0,0,'Données projet'!$E$10+1,1))</f>
        <v>302.6112905010138</v>
      </c>
      <c r="AO175" s="62">
        <f t="shared" si="144"/>
        <v>423.44006663873375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0.16017587986319726</v>
      </c>
      <c r="AV175" s="23">
        <f>EXP(-LN(2)/25)*AV174+(1-EXP(-LN(2)/25))/(LN(2)/25)*Calculateur!AQ175*Calculateur!AS175*VLOOKUP('Données projet'!$B$10,Paramètres!$A$1:$I$89,3,0)*0.475*44/12</f>
        <v>4.021555016453842E-2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0.20039143002773568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195.80903373714432</v>
      </c>
      <c r="T176" s="62">
        <f t="shared" si="142"/>
        <v>388.30721786668977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1.9895196601282805E-13</v>
      </c>
      <c r="AJ176" s="14">
        <f>AI176*VLOOKUP('Données projet'!$B$10,Paramètres!$A$1:$I$89,3,0)*VLOOKUP('Données projet'!$B$10,Paramètres!$A$1:$I$89,5,0)</f>
        <v>1.8001173884840681E-13</v>
      </c>
      <c r="AK176" s="14">
        <f t="shared" si="164"/>
        <v>2.5254331426407198E-12</v>
      </c>
      <c r="AL176" s="22">
        <f t="shared" si="165"/>
        <v>4.7119831685935622E-12</v>
      </c>
      <c r="AM176" s="62">
        <f t="shared" si="113"/>
        <v>293.33333333333803</v>
      </c>
      <c r="AN176" s="62">
        <f ca="1">AVERAGE(OFFSET($AM$3,0,0,'Données projet'!$E$10+1,1))-AVERAGE(OFFSET($H$3,0,0,'Données projet'!$E$10+1,1))</f>
        <v>302.6112905010138</v>
      </c>
      <c r="AO176" s="62">
        <f t="shared" si="144"/>
        <v>423.44006663873375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0.15703492855671983</v>
      </c>
      <c r="AV176" s="23">
        <f>EXP(-LN(2)/25)*AV175+(1-EXP(-LN(2)/25))/(LN(2)/25)*Calculateur!AQ176*Calculateur!AS176*VLOOKUP('Données projet'!$B$10,Paramètres!$A$1:$I$89,3,0)*0.475*44/12</f>
        <v>3.9115853830445246E-2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0.19615078238716507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195.80903373714432</v>
      </c>
      <c r="T177" s="62">
        <f t="shared" si="142"/>
        <v>388.30721786668977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1.9895196601282805E-13</v>
      </c>
      <c r="AJ177" s="14">
        <f>AI177*VLOOKUP('Données projet'!$B$10,Paramètres!$A$1:$I$89,3,0)*VLOOKUP('Données projet'!$B$10,Paramètres!$A$1:$I$89,5,0)</f>
        <v>1.8001173884840681E-13</v>
      </c>
      <c r="AK177" s="14">
        <f t="shared" si="164"/>
        <v>2.5254331426407198E-12</v>
      </c>
      <c r="AL177" s="22">
        <f t="shared" si="165"/>
        <v>4.7119831685935622E-12</v>
      </c>
      <c r="AM177" s="62">
        <f t="shared" si="113"/>
        <v>293.33333333333803</v>
      </c>
      <c r="AN177" s="62">
        <f ca="1">AVERAGE(OFFSET($AM$3,0,0,'Données projet'!$E$10+1,1))-AVERAGE(OFFSET($H$3,0,0,'Données projet'!$E$10+1,1))</f>
        <v>302.6112905010138</v>
      </c>
      <c r="AO177" s="62">
        <f t="shared" si="144"/>
        <v>423.44006663873375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0.15395556938957131</v>
      </c>
      <c r="AV177" s="23">
        <f>EXP(-LN(2)/25)*AV176+(1-EXP(-LN(2)/25))/(LN(2)/25)*Calculateur!AQ177*Calculateur!AS177*VLOOKUP('Données projet'!$B$10,Paramètres!$A$1:$I$89,3,0)*0.475*44/12</f>
        <v>3.8046228750438366E-2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0.19200179814000967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195.80903373714432</v>
      </c>
      <c r="T178" s="62">
        <f t="shared" si="142"/>
        <v>388.30721786668977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1.9895196601282805E-13</v>
      </c>
      <c r="AJ178" s="14">
        <f>AI178*VLOOKUP('Données projet'!$B$10,Paramètres!$A$1:$I$89,3,0)*VLOOKUP('Données projet'!$B$10,Paramètres!$A$1:$I$89,5,0)</f>
        <v>1.8001173884840681E-13</v>
      </c>
      <c r="AK178" s="14">
        <f t="shared" si="164"/>
        <v>2.5254331426407198E-12</v>
      </c>
      <c r="AL178" s="22">
        <f t="shared" si="165"/>
        <v>4.7119831685935622E-12</v>
      </c>
      <c r="AM178" s="62">
        <f t="shared" si="113"/>
        <v>293.33333333333803</v>
      </c>
      <c r="AN178" s="62">
        <f ca="1">AVERAGE(OFFSET($AM$3,0,0,'Données projet'!$E$10+1,1))-AVERAGE(OFFSET($H$3,0,0,'Données projet'!$E$10+1,1))</f>
        <v>302.6112905010138</v>
      </c>
      <c r="AO178" s="62">
        <f t="shared" si="144"/>
        <v>423.44006663873375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0.15093659457746691</v>
      </c>
      <c r="AV178" s="23">
        <f>EXP(-LN(2)/25)*AV177+(1-EXP(-LN(2)/25))/(LN(2)/25)*Calculateur!AQ178*Calculateur!AS178*VLOOKUP('Données projet'!$B$10,Paramètres!$A$1:$I$89,3,0)*0.475*44/12</f>
        <v>3.7005852624493414E-2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0.18794244720196032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195.80903373714432</v>
      </c>
      <c r="T179" s="62">
        <f t="shared" si="142"/>
        <v>388.30721786668977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1.9895196601282805E-13</v>
      </c>
      <c r="AJ179" s="14">
        <f>AI179*VLOOKUP('Données projet'!$B$10,Paramètres!$A$1:$I$89,3,0)*VLOOKUP('Données projet'!$B$10,Paramètres!$A$1:$I$89,5,0)</f>
        <v>1.8001173884840681E-13</v>
      </c>
      <c r="AK179" s="14">
        <f t="shared" si="164"/>
        <v>2.5254331426407198E-12</v>
      </c>
      <c r="AL179" s="22">
        <f t="shared" si="165"/>
        <v>4.7119831685935622E-12</v>
      </c>
      <c r="AM179" s="62">
        <f t="shared" si="113"/>
        <v>293.33333333333803</v>
      </c>
      <c r="AN179" s="62">
        <f ca="1">AVERAGE(OFFSET($AM$3,0,0,'Données projet'!$E$10+1,1))-AVERAGE(OFFSET($H$3,0,0,'Données projet'!$E$10+1,1))</f>
        <v>302.6112905010138</v>
      </c>
      <c r="AO179" s="62">
        <f t="shared" si="144"/>
        <v>423.44006663873375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0.14797682002003509</v>
      </c>
      <c r="AV179" s="23">
        <f>EXP(-LN(2)/25)*AV178+(1-EXP(-LN(2)/25))/(LN(2)/25)*Calculateur!AQ179*Calculateur!AS179*VLOOKUP('Données projet'!$B$10,Paramètres!$A$1:$I$89,3,0)*0.475*44/12</f>
        <v>3.5993925638423428E-2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0.18397074565845853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195.80903373714432</v>
      </c>
      <c r="T180" s="62">
        <f t="shared" si="142"/>
        <v>388.30721786668977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1.9895196601282805E-13</v>
      </c>
      <c r="AJ180" s="14">
        <f>AI180*VLOOKUP('Données projet'!$B$10,Paramètres!$A$1:$I$89,3,0)*VLOOKUP('Données projet'!$B$10,Paramètres!$A$1:$I$89,5,0)</f>
        <v>1.8001173884840681E-13</v>
      </c>
      <c r="AK180" s="14">
        <f t="shared" si="164"/>
        <v>2.5254331426407198E-12</v>
      </c>
      <c r="AL180" s="22">
        <f t="shared" si="165"/>
        <v>4.7119831685935622E-12</v>
      </c>
      <c r="AM180" s="62">
        <f t="shared" si="113"/>
        <v>293.33333333333803</v>
      </c>
      <c r="AN180" s="62">
        <f ca="1">AVERAGE(OFFSET($AM$3,0,0,'Données projet'!$E$10+1,1))-AVERAGE(OFFSET($H$3,0,0,'Données projet'!$E$10+1,1))</f>
        <v>302.6112905010138</v>
      </c>
      <c r="AO180" s="62">
        <f t="shared" si="144"/>
        <v>423.44006663873375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0.14507508483639028</v>
      </c>
      <c r="AV180" s="23">
        <f>EXP(-LN(2)/25)*AV179+(1-EXP(-LN(2)/25))/(LN(2)/25)*Calculateur!AQ180*Calculateur!AS180*VLOOKUP('Données projet'!$B$10,Paramètres!$A$1:$I$89,3,0)*0.475*44/12</f>
        <v>3.5009669849002459E-2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0.18008475468539276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195.80903373714432</v>
      </c>
      <c r="T181" s="62">
        <f t="shared" si="142"/>
        <v>388.30721786668977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1.9895196601282805E-13</v>
      </c>
      <c r="AJ181" s="14">
        <f>AI181*VLOOKUP('Données projet'!$B$10,Paramètres!$A$1:$I$89,3,0)*VLOOKUP('Données projet'!$B$10,Paramètres!$A$1:$I$89,5,0)</f>
        <v>1.8001173884840681E-13</v>
      </c>
      <c r="AK181" s="14">
        <f t="shared" si="164"/>
        <v>2.5254331426407198E-12</v>
      </c>
      <c r="AL181" s="22">
        <f t="shared" si="165"/>
        <v>4.7119831685935622E-12</v>
      </c>
      <c r="AM181" s="62">
        <f t="shared" si="113"/>
        <v>293.33333333333803</v>
      </c>
      <c r="AN181" s="62">
        <f ca="1">AVERAGE(OFFSET($AM$3,0,0,'Données projet'!$E$10+1,1))-AVERAGE(OFFSET($H$3,0,0,'Données projet'!$E$10+1,1))</f>
        <v>302.6112905010138</v>
      </c>
      <c r="AO181" s="62">
        <f t="shared" si="144"/>
        <v>423.44006663873375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0.14223025090981306</v>
      </c>
      <c r="AV181" s="23">
        <f>EXP(-LN(2)/25)*AV180+(1-EXP(-LN(2)/25))/(LN(2)/25)*Calculateur!AQ181*Calculateur!AS181*VLOOKUP('Données projet'!$B$10,Paramètres!$A$1:$I$89,3,0)*0.475*44/12</f>
        <v>3.4052328585902965E-2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0.17628257949571602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195.80903373714432</v>
      </c>
      <c r="T182" s="62">
        <f t="shared" si="142"/>
        <v>388.30721786668977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1.9895196601282805E-13</v>
      </c>
      <c r="AJ182" s="14">
        <f>AI182*VLOOKUP('Données projet'!$B$10,Paramètres!$A$1:$I$89,3,0)*VLOOKUP('Données projet'!$B$10,Paramètres!$A$1:$I$89,5,0)</f>
        <v>1.8001173884840681E-13</v>
      </c>
      <c r="AK182" s="14">
        <f t="shared" si="164"/>
        <v>2.5254331426407198E-12</v>
      </c>
      <c r="AL182" s="22">
        <f t="shared" si="165"/>
        <v>4.7119831685935622E-12</v>
      </c>
      <c r="AM182" s="62">
        <f t="shared" si="113"/>
        <v>293.33333333333803</v>
      </c>
      <c r="AN182" s="62">
        <f ca="1">AVERAGE(OFFSET($AM$3,0,0,'Données projet'!$E$10+1,1))-AVERAGE(OFFSET($H$3,0,0,'Données projet'!$E$10+1,1))</f>
        <v>302.6112905010138</v>
      </c>
      <c r="AO182" s="62">
        <f t="shared" si="144"/>
        <v>423.44006663873375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0.13944120244135863</v>
      </c>
      <c r="AV182" s="23">
        <f>EXP(-LN(2)/25)*AV181+(1-EXP(-LN(2)/25))/(LN(2)/25)*Calculateur!AQ182*Calculateur!AS182*VLOOKUP('Données projet'!$B$10,Paramètres!$A$1:$I$89,3,0)*0.475*44/12</f>
        <v>3.3121165869987312E-2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0.17256236831134594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195.80903373714432</v>
      </c>
      <c r="T183" s="62">
        <f t="shared" si="142"/>
        <v>388.30721786668977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1.9895196601282805E-13</v>
      </c>
      <c r="AJ183" s="14">
        <f>AI183*VLOOKUP('Données projet'!$B$10,Paramètres!$A$1:$I$89,3,0)*VLOOKUP('Données projet'!$B$10,Paramètres!$A$1:$I$89,5,0)</f>
        <v>1.8001173884840681E-13</v>
      </c>
      <c r="AK183" s="14">
        <f t="shared" si="164"/>
        <v>2.5254331426407198E-12</v>
      </c>
      <c r="AL183" s="22">
        <f t="shared" si="165"/>
        <v>4.7119831685935622E-12</v>
      </c>
      <c r="AM183" s="62">
        <f t="shared" si="113"/>
        <v>293.33333333333803</v>
      </c>
      <c r="AN183" s="62">
        <f ca="1">AVERAGE(OFFSET($AM$3,0,0,'Données projet'!$E$10+1,1))-AVERAGE(OFFSET($H$3,0,0,'Données projet'!$E$10+1,1))</f>
        <v>302.6112905010138</v>
      </c>
      <c r="AO183" s="62">
        <f t="shared" si="144"/>
        <v>423.44006663873375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0.13670684551221901</v>
      </c>
      <c r="AV183" s="23">
        <f>EXP(-LN(2)/25)*AV182+(1-EXP(-LN(2)/25))/(LN(2)/25)*Calculateur!AQ183*Calculateur!AS183*VLOOKUP('Données projet'!$B$10,Paramètres!$A$1:$I$89,3,0)*0.475*44/12</f>
        <v>3.2215465847506099E-2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0.1689223113597251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195.80903373714432</v>
      </c>
      <c r="T184" s="62">
        <f t="shared" si="142"/>
        <v>388.30721786668977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1.9895196601282805E-13</v>
      </c>
      <c r="AJ184" s="14">
        <f>AI184*VLOOKUP('Données projet'!$B$10,Paramètres!$A$1:$I$89,3,0)*VLOOKUP('Données projet'!$B$10,Paramètres!$A$1:$I$89,5,0)</f>
        <v>1.8001173884840681E-13</v>
      </c>
      <c r="AK184" s="14">
        <f t="shared" si="164"/>
        <v>2.5254331426407198E-12</v>
      </c>
      <c r="AL184" s="22">
        <f t="shared" si="165"/>
        <v>4.7119831685935622E-12</v>
      </c>
      <c r="AM184" s="62">
        <f t="shared" si="113"/>
        <v>293.33333333333803</v>
      </c>
      <c r="AN184" s="62">
        <f ca="1">AVERAGE(OFFSET($AM$3,0,0,'Données projet'!$E$10+1,1))-AVERAGE(OFFSET($H$3,0,0,'Données projet'!$E$10+1,1))</f>
        <v>302.6112905010138</v>
      </c>
      <c r="AO184" s="62">
        <f t="shared" si="144"/>
        <v>423.44006663873375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0.13402610765466677</v>
      </c>
      <c r="AV184" s="23">
        <f>EXP(-LN(2)/25)*AV183+(1-EXP(-LN(2)/25))/(LN(2)/25)*Calculateur!AQ184*Calculateur!AS184*VLOOKUP('Données projet'!$B$10,Paramètres!$A$1:$I$89,3,0)*0.475*44/12</f>
        <v>3.1334532239768322E-2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0.16536063989443509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195.80903373714432</v>
      </c>
      <c r="T185" s="62">
        <f t="shared" si="142"/>
        <v>388.30721786668977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1.9895196601282805E-13</v>
      </c>
      <c r="AJ185" s="14">
        <f>AI185*VLOOKUP('Données projet'!$B$10,Paramètres!$A$1:$I$89,3,0)*VLOOKUP('Données projet'!$B$10,Paramètres!$A$1:$I$89,5,0)</f>
        <v>1.8001173884840681E-13</v>
      </c>
      <c r="AK185" s="14">
        <f t="shared" si="164"/>
        <v>2.5254331426407198E-12</v>
      </c>
      <c r="AL185" s="22">
        <f t="shared" si="165"/>
        <v>4.7119831685935622E-12</v>
      </c>
      <c r="AM185" s="62">
        <f t="shared" si="113"/>
        <v>293.33333333333803</v>
      </c>
      <c r="AN185" s="62">
        <f ca="1">AVERAGE(OFFSET($AM$3,0,0,'Données projet'!$E$10+1,1))-AVERAGE(OFFSET($H$3,0,0,'Données projet'!$E$10+1,1))</f>
        <v>302.6112905010138</v>
      </c>
      <c r="AO185" s="62">
        <f t="shared" si="144"/>
        <v>423.44006663873375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0.13139793743141248</v>
      </c>
      <c r="AV185" s="23">
        <f>EXP(-LN(2)/25)*AV184+(1-EXP(-LN(2)/25))/(LN(2)/25)*Calculateur!AQ185*Calculateur!AS185*VLOOKUP('Données projet'!$B$10,Paramètres!$A$1:$I$89,3,0)*0.475*44/12</f>
        <v>3.0477687807860421E-2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0.1618756252392729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195.80903373714432</v>
      </c>
      <c r="T186" s="62">
        <f t="shared" si="142"/>
        <v>388.30721786668977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1.9895196601282805E-13</v>
      </c>
      <c r="AJ186" s="14">
        <f>AI186*VLOOKUP('Données projet'!$B$10,Paramètres!$A$1:$I$89,3,0)*VLOOKUP('Données projet'!$B$10,Paramètres!$A$1:$I$89,5,0)</f>
        <v>1.8001173884840681E-13</v>
      </c>
      <c r="AK186" s="14">
        <f t="shared" si="164"/>
        <v>2.5254331426407198E-12</v>
      </c>
      <c r="AL186" s="22">
        <f t="shared" si="165"/>
        <v>4.7119831685935622E-12</v>
      </c>
      <c r="AM186" s="62">
        <f t="shared" si="113"/>
        <v>293.33333333333803</v>
      </c>
      <c r="AN186" s="62">
        <f ca="1">AVERAGE(OFFSET($AM$3,0,0,'Données projet'!$E$10+1,1))-AVERAGE(OFFSET($H$3,0,0,'Données projet'!$E$10+1,1))</f>
        <v>302.6112905010138</v>
      </c>
      <c r="AO186" s="62">
        <f t="shared" si="144"/>
        <v>423.44006663873375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0.12882130402321068</v>
      </c>
      <c r="AV186" s="23">
        <f>EXP(-LN(2)/25)*AV185+(1-EXP(-LN(2)/25))/(LN(2)/25)*Calculateur!AQ186*Calculateur!AS186*VLOOKUP('Données projet'!$B$10,Paramètres!$A$1:$I$89,3,0)*0.475*44/12</f>
        <v>2.9644273832002535E-2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0.1584655778552132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195.80903373714432</v>
      </c>
      <c r="T187" s="62">
        <f t="shared" si="142"/>
        <v>388.30721786668977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1.9895196601282805E-13</v>
      </c>
      <c r="AJ187" s="14">
        <f>AI187*VLOOKUP('Données projet'!$B$10,Paramètres!$A$1:$I$89,3,0)*VLOOKUP('Données projet'!$B$10,Paramètres!$A$1:$I$89,5,0)</f>
        <v>1.8001173884840681E-13</v>
      </c>
      <c r="AK187" s="14">
        <f t="shared" si="164"/>
        <v>2.5254331426407198E-12</v>
      </c>
      <c r="AL187" s="22">
        <f t="shared" si="165"/>
        <v>4.7119831685935622E-12</v>
      </c>
      <c r="AM187" s="62">
        <f t="shared" si="113"/>
        <v>293.33333333333803</v>
      </c>
      <c r="AN187" s="62">
        <f ca="1">AVERAGE(OFFSET($AM$3,0,0,'Données projet'!$E$10+1,1))-AVERAGE(OFFSET($H$3,0,0,'Données projet'!$E$10+1,1))</f>
        <v>302.6112905010138</v>
      </c>
      <c r="AO187" s="62">
        <f t="shared" si="144"/>
        <v>423.44006663873375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0.12629519682455251</v>
      </c>
      <c r="AV187" s="23">
        <f>EXP(-LN(2)/25)*AV186+(1-EXP(-LN(2)/25))/(LN(2)/25)*Calculateur!AQ187*Calculateur!AS187*VLOOKUP('Données projet'!$B$10,Paramètres!$A$1:$I$89,3,0)*0.475*44/12</f>
        <v>2.8833649605141818E-2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0.15512884642969432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195.80903373714432</v>
      </c>
      <c r="T188" s="62">
        <f t="shared" si="142"/>
        <v>388.30721786668977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1.9895196601282805E-13</v>
      </c>
      <c r="AJ188" s="14">
        <f>AI188*VLOOKUP('Données projet'!$B$10,Paramètres!$A$1:$I$89,3,0)*VLOOKUP('Données projet'!$B$10,Paramètres!$A$1:$I$89,5,0)</f>
        <v>1.8001173884840681E-13</v>
      </c>
      <c r="AK188" s="14">
        <f t="shared" si="164"/>
        <v>2.5254331426407198E-12</v>
      </c>
      <c r="AL188" s="22">
        <f t="shared" si="165"/>
        <v>4.7119831685935622E-12</v>
      </c>
      <c r="AM188" s="62">
        <f t="shared" si="113"/>
        <v>293.33333333333803</v>
      </c>
      <c r="AN188" s="62">
        <f ca="1">AVERAGE(OFFSET($AM$3,0,0,'Données projet'!$E$10+1,1))-AVERAGE(OFFSET($H$3,0,0,'Données projet'!$E$10+1,1))</f>
        <v>302.6112905010138</v>
      </c>
      <c r="AO188" s="62">
        <f t="shared" si="144"/>
        <v>423.44006663873375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0.12381862504728677</v>
      </c>
      <c r="AV188" s="23">
        <f>EXP(-LN(2)/25)*AV187+(1-EXP(-LN(2)/25))/(LN(2)/25)*Calculateur!AQ188*Calculateur!AS188*VLOOKUP('Données projet'!$B$10,Paramètres!$A$1:$I$89,3,0)*0.475*44/12</f>
        <v>2.8045191940393482E-2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0.15186381698768026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195.80903373714432</v>
      </c>
      <c r="T189" s="62">
        <f t="shared" si="142"/>
        <v>388.30721786668977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1.9895196601282805E-13</v>
      </c>
      <c r="AJ189" s="14">
        <f>AI189*VLOOKUP('Données projet'!$B$10,Paramètres!$A$1:$I$89,3,0)*VLOOKUP('Données projet'!$B$10,Paramètres!$A$1:$I$89,5,0)</f>
        <v>1.8001173884840681E-13</v>
      </c>
      <c r="AK189" s="14">
        <f t="shared" si="164"/>
        <v>2.5254331426407198E-12</v>
      </c>
      <c r="AL189" s="22">
        <f t="shared" si="165"/>
        <v>4.7119831685935622E-12</v>
      </c>
      <c r="AM189" s="62">
        <f t="shared" si="113"/>
        <v>293.33333333333803</v>
      </c>
      <c r="AN189" s="62">
        <f ca="1">AVERAGE(OFFSET($AM$3,0,0,'Données projet'!$E$10+1,1))-AVERAGE(OFFSET($H$3,0,0,'Données projet'!$E$10+1,1))</f>
        <v>302.6112905010138</v>
      </c>
      <c r="AO189" s="62">
        <f t="shared" si="144"/>
        <v>423.44006663873375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0.12139061733201359</v>
      </c>
      <c r="AV189" s="23">
        <f>EXP(-LN(2)/25)*AV188+(1-EXP(-LN(2)/25))/(LN(2)/25)*Calculateur!AQ189*Calculateur!AS189*VLOOKUP('Données projet'!$B$10,Paramètres!$A$1:$I$89,3,0)*0.475*44/12</f>
        <v>2.7278294691950877E-2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0.14866891202396446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195.80903373714432</v>
      </c>
      <c r="T190" s="62">
        <f t="shared" si="142"/>
        <v>388.30721786668977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1.9895196601282805E-13</v>
      </c>
      <c r="AJ190" s="14">
        <f>AI190*VLOOKUP('Données projet'!$B$10,Paramètres!$A$1:$I$89,3,0)*VLOOKUP('Données projet'!$B$10,Paramètres!$A$1:$I$89,5,0)</f>
        <v>1.8001173884840681E-13</v>
      </c>
      <c r="AK190" s="14">
        <f t="shared" si="164"/>
        <v>2.5254331426407198E-12</v>
      </c>
      <c r="AL190" s="22">
        <f t="shared" si="165"/>
        <v>4.7119831685935622E-12</v>
      </c>
      <c r="AM190" s="62">
        <f t="shared" si="113"/>
        <v>293.33333333333803</v>
      </c>
      <c r="AN190" s="62">
        <f ca="1">AVERAGE(OFFSET($AM$3,0,0,'Données projet'!$E$10+1,1))-AVERAGE(OFFSET($H$3,0,0,'Données projet'!$E$10+1,1))</f>
        <v>302.6112905010138</v>
      </c>
      <c r="AO190" s="62">
        <f t="shared" si="144"/>
        <v>423.44006663873375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0.11901022136709843</v>
      </c>
      <c r="AV190" s="23">
        <f>EXP(-LN(2)/25)*AV189+(1-EXP(-LN(2)/25))/(LN(2)/25)*Calculateur!AQ190*Calculateur!AS190*VLOOKUP('Données projet'!$B$10,Paramètres!$A$1:$I$89,3,0)*0.475*44/12</f>
        <v>2.6532368289096307E-2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0.14554258965619474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195.80903373714432</v>
      </c>
      <c r="T191" s="62">
        <f t="shared" si="142"/>
        <v>388.30721786668977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1.9895196601282805E-13</v>
      </c>
      <c r="AJ191" s="14">
        <f>AI191*VLOOKUP('Données projet'!$B$10,Paramètres!$A$1:$I$89,3,0)*VLOOKUP('Données projet'!$B$10,Paramètres!$A$1:$I$89,5,0)</f>
        <v>1.8001173884840681E-13</v>
      </c>
      <c r="AK191" s="14">
        <f t="shared" si="164"/>
        <v>2.5254331426407198E-12</v>
      </c>
      <c r="AL191" s="22">
        <f t="shared" si="165"/>
        <v>4.7119831685935622E-12</v>
      </c>
      <c r="AM191" s="62">
        <f t="shared" si="113"/>
        <v>293.33333333333803</v>
      </c>
      <c r="AN191" s="62">
        <f ca="1">AVERAGE(OFFSET($AM$3,0,0,'Données projet'!$E$10+1,1))-AVERAGE(OFFSET($H$3,0,0,'Données projet'!$E$10+1,1))</f>
        <v>302.6112905010138</v>
      </c>
      <c r="AO191" s="62">
        <f t="shared" si="144"/>
        <v>423.44006663873375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0.1166765035151571</v>
      </c>
      <c r="AV191" s="23">
        <f>EXP(-LN(2)/25)*AV190+(1-EXP(-LN(2)/25))/(LN(2)/25)*Calculateur!AQ191*Calculateur!AS191*VLOOKUP('Données projet'!$B$10,Paramètres!$A$1:$I$89,3,0)*0.475*44/12</f>
        <v>2.5806839282954359E-2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0.14248334279811145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195.80903373714432</v>
      </c>
      <c r="T192" s="62">
        <f t="shared" si="142"/>
        <v>388.30721786668977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1.9895196601282805E-13</v>
      </c>
      <c r="AJ192" s="14">
        <f>AI192*VLOOKUP('Données projet'!$B$10,Paramètres!$A$1:$I$89,3,0)*VLOOKUP('Données projet'!$B$10,Paramètres!$A$1:$I$89,5,0)</f>
        <v>1.8001173884840681E-13</v>
      </c>
      <c r="AK192" s="14">
        <f t="shared" si="164"/>
        <v>2.5254331426407198E-12</v>
      </c>
      <c r="AL192" s="22">
        <f t="shared" si="165"/>
        <v>4.7119831685935622E-12</v>
      </c>
      <c r="AM192" s="62">
        <f t="shared" si="113"/>
        <v>293.33333333333803</v>
      </c>
      <c r="AN192" s="62">
        <f ca="1">AVERAGE(OFFSET($AM$3,0,0,'Données projet'!$E$10+1,1))-AVERAGE(OFFSET($H$3,0,0,'Données projet'!$E$10+1,1))</f>
        <v>302.6112905010138</v>
      </c>
      <c r="AO192" s="62">
        <f t="shared" si="144"/>
        <v>423.44006663873375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0.11438854844686498</v>
      </c>
      <c r="AV192" s="23">
        <f>EXP(-LN(2)/25)*AV191+(1-EXP(-LN(2)/25))/(LN(2)/25)*Calculateur!AQ192*Calculateur!AS192*VLOOKUP('Données projet'!$B$10,Paramètres!$A$1:$I$89,3,0)*0.475*44/12</f>
        <v>2.5101149905639279E-2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0.13948969835250427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195.80903373714432</v>
      </c>
      <c r="T193" s="62">
        <f t="shared" si="142"/>
        <v>388.30721786668977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1.9895196601282805E-13</v>
      </c>
      <c r="AJ193" s="14">
        <f>AI193*VLOOKUP('Données projet'!$B$10,Paramètres!$A$1:$I$89,3,0)*VLOOKUP('Données projet'!$B$10,Paramètres!$A$1:$I$89,5,0)</f>
        <v>1.8001173884840681E-13</v>
      </c>
      <c r="AK193" s="14">
        <f t="shared" si="164"/>
        <v>2.5254331426407198E-12</v>
      </c>
      <c r="AL193" s="22">
        <f t="shared" si="165"/>
        <v>4.7119831685935622E-12</v>
      </c>
      <c r="AM193" s="62">
        <f t="shared" si="113"/>
        <v>293.33333333333803</v>
      </c>
      <c r="AN193" s="62">
        <f ca="1">AVERAGE(OFFSET($AM$3,0,0,'Données projet'!$E$10+1,1))-AVERAGE(OFFSET($H$3,0,0,'Données projet'!$E$10+1,1))</f>
        <v>302.6112905010138</v>
      </c>
      <c r="AO193" s="62">
        <f t="shared" si="144"/>
        <v>423.44006663873375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0.11214545878194729</v>
      </c>
      <c r="AV193" s="23">
        <f>EXP(-LN(2)/25)*AV192+(1-EXP(-LN(2)/25))/(LN(2)/25)*Calculateur!AQ193*Calculateur!AS193*VLOOKUP('Données projet'!$B$10,Paramètres!$A$1:$I$89,3,0)*0.475*44/12</f>
        <v>2.4414757641457469E-2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0.13656021642340477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195.80903373714432</v>
      </c>
      <c r="T194" s="62">
        <f t="shared" si="142"/>
        <v>388.30721786668977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1.9895196601282805E-13</v>
      </c>
      <c r="AJ194" s="14">
        <f>AI194*VLOOKUP('Données projet'!$B$10,Paramètres!$A$1:$I$89,3,0)*VLOOKUP('Données projet'!$B$10,Paramètres!$A$1:$I$89,5,0)</f>
        <v>1.8001173884840681E-13</v>
      </c>
      <c r="AK194" s="14">
        <f t="shared" si="164"/>
        <v>2.5254331426407198E-12</v>
      </c>
      <c r="AL194" s="22">
        <f t="shared" si="165"/>
        <v>4.7119831685935622E-12</v>
      </c>
      <c r="AM194" s="62">
        <f t="shared" si="113"/>
        <v>293.33333333333803</v>
      </c>
      <c r="AN194" s="62">
        <f ca="1">AVERAGE(OFFSET($AM$3,0,0,'Données projet'!$E$10+1,1))-AVERAGE(OFFSET($H$3,0,0,'Données projet'!$E$10+1,1))</f>
        <v>302.6112905010138</v>
      </c>
      <c r="AO194" s="62">
        <f t="shared" si="144"/>
        <v>423.44006663873375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0.10994635473720903</v>
      </c>
      <c r="AV194" s="23">
        <f>EXP(-LN(2)/25)*AV193+(1-EXP(-LN(2)/25))/(LN(2)/25)*Calculateur!AQ194*Calculateur!AS194*VLOOKUP('Données projet'!$B$10,Paramètres!$A$1:$I$89,3,0)*0.475*44/12</f>
        <v>2.3747134809835511E-2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0.13369348954704455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195.80903373714432</v>
      </c>
      <c r="T195" s="62">
        <f t="shared" si="142"/>
        <v>388.30721786668977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1.9895196601282805E-13</v>
      </c>
      <c r="AJ195" s="14">
        <f>AI195*VLOOKUP('Données projet'!$B$10,Paramètres!$A$1:$I$89,3,0)*VLOOKUP('Données projet'!$B$10,Paramètres!$A$1:$I$89,5,0)</f>
        <v>1.8001173884840681E-13</v>
      </c>
      <c r="AK195" s="14">
        <f t="shared" si="164"/>
        <v>2.5254331426407198E-12</v>
      </c>
      <c r="AL195" s="22">
        <f t="shared" si="165"/>
        <v>4.7119831685935622E-12</v>
      </c>
      <c r="AM195" s="62">
        <f t="shared" si="113"/>
        <v>293.33333333333803</v>
      </c>
      <c r="AN195" s="62">
        <f ca="1">AVERAGE(OFFSET($AM$3,0,0,'Données projet'!$E$10+1,1))-AVERAGE(OFFSET($H$3,0,0,'Données projet'!$E$10+1,1))</f>
        <v>302.6112905010138</v>
      </c>
      <c r="AO195" s="62">
        <f t="shared" si="144"/>
        <v>423.44006663873375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0.10779037378146705</v>
      </c>
      <c r="AV195" s="23">
        <f>EXP(-LN(2)/25)*AV194+(1-EXP(-LN(2)/25))/(LN(2)/25)*Calculateur!AQ195*Calculateur!AS195*VLOOKUP('Données projet'!$B$10,Paramètres!$A$1:$I$89,3,0)*0.475*44/12</f>
        <v>2.3097768159653014E-2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0.13088814194112006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195.80903373714432</v>
      </c>
      <c r="T196" s="62">
        <f t="shared" si="142"/>
        <v>388.30721786668977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1.9895196601282805E-13</v>
      </c>
      <c r="AJ196" s="14">
        <f>AI196*VLOOKUP('Données projet'!$B$10,Paramètres!$A$1:$I$89,3,0)*VLOOKUP('Données projet'!$B$10,Paramètres!$A$1:$I$89,5,0)</f>
        <v>1.8001173884840681E-13</v>
      </c>
      <c r="AK196" s="14">
        <f t="shared" si="164"/>
        <v>2.5254331426407198E-12</v>
      </c>
      <c r="AL196" s="22">
        <f t="shared" si="165"/>
        <v>4.7119831685935622E-12</v>
      </c>
      <c r="AM196" s="62">
        <f t="shared" ref="AM196:AM203" si="193">AL196+(AD196+AE196)*44/12</f>
        <v>293.33333333333803</v>
      </c>
      <c r="AN196" s="62">
        <f ca="1">AVERAGE(OFFSET($AM$3,0,0,'Données projet'!$E$10+1,1))-AVERAGE(OFFSET($H$3,0,0,'Données projet'!$E$10+1,1))</f>
        <v>302.6112905010138</v>
      </c>
      <c r="AO196" s="62">
        <f t="shared" si="144"/>
        <v>423.44006663873375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0.10567667029724864</v>
      </c>
      <c r="AV196" s="23">
        <f>EXP(-LN(2)/25)*AV195+(1-EXP(-LN(2)/25))/(LN(2)/25)*Calculateur!AQ196*Calculateur!AS196*VLOOKUP('Données projet'!$B$10,Paramètres!$A$1:$I$89,3,0)*0.475*44/12</f>
        <v>2.2466158474668464E-2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0.1281428287719171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195.80903373714432</v>
      </c>
      <c r="T197" s="62">
        <f t="shared" ref="T197:T203" si="204">$T$3</f>
        <v>388.30721786668977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1.9895196601282805E-13</v>
      </c>
      <c r="AJ197" s="14">
        <f>AI197*VLOOKUP('Données projet'!$B$10,Paramètres!$A$1:$I$89,3,0)*VLOOKUP('Données projet'!$B$10,Paramètres!$A$1:$I$89,5,0)</f>
        <v>1.8001173884840681E-13</v>
      </c>
      <c r="AK197" s="14">
        <f t="shared" si="164"/>
        <v>2.5254331426407198E-12</v>
      </c>
      <c r="AL197" s="22">
        <f t="shared" si="165"/>
        <v>4.7119831685935622E-12</v>
      </c>
      <c r="AM197" s="62">
        <f t="shared" si="193"/>
        <v>293.33333333333803</v>
      </c>
      <c r="AN197" s="62">
        <f ca="1">AVERAGE(OFFSET($AM$3,0,0,'Données projet'!$E$10+1,1))-AVERAGE(OFFSET($H$3,0,0,'Données projet'!$E$10+1,1))</f>
        <v>302.6112905010138</v>
      </c>
      <c r="AO197" s="62">
        <f t="shared" ref="AO197:AO203" si="205">$AO$3</f>
        <v>423.44006663873375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0.10360441524912394</v>
      </c>
      <c r="AV197" s="23">
        <f>EXP(-LN(2)/25)*AV196+(1-EXP(-LN(2)/25))/(LN(2)/25)*Calculateur!AQ197*Calculateur!AS197*VLOOKUP('Données projet'!$B$10,Paramètres!$A$1:$I$89,3,0)*0.475*44/12</f>
        <v>2.1851820189734729E-2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0.12545623543885867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195.80903373714432</v>
      </c>
      <c r="T198" s="62">
        <f t="shared" si="204"/>
        <v>388.30721786668977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1.9895196601282805E-13</v>
      </c>
      <c r="AJ198" s="14">
        <f>AI198*VLOOKUP('Données projet'!$B$10,Paramètres!$A$1:$I$89,3,0)*VLOOKUP('Données projet'!$B$10,Paramètres!$A$1:$I$89,5,0)</f>
        <v>1.8001173884840681E-13</v>
      </c>
      <c r="AK198" s="14">
        <f t="shared" si="164"/>
        <v>2.5254331426407198E-12</v>
      </c>
      <c r="AL198" s="22">
        <f t="shared" si="165"/>
        <v>4.7119831685935622E-12</v>
      </c>
      <c r="AM198" s="62">
        <f t="shared" si="193"/>
        <v>293.33333333333803</v>
      </c>
      <c r="AN198" s="62">
        <f ca="1">AVERAGE(OFFSET($AM$3,0,0,'Données projet'!$E$10+1,1))-AVERAGE(OFFSET($H$3,0,0,'Données projet'!$E$10+1,1))</f>
        <v>302.6112905010138</v>
      </c>
      <c r="AO198" s="62">
        <f t="shared" si="205"/>
        <v>423.44006663873375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0.10157279585854218</v>
      </c>
      <c r="AV198" s="23">
        <f>EXP(-LN(2)/25)*AV197+(1-EXP(-LN(2)/25))/(LN(2)/25)*Calculateur!AQ198*Calculateur!AS198*VLOOKUP('Données projet'!$B$10,Paramètres!$A$1:$I$89,3,0)*0.475*44/12</f>
        <v>2.125428101750915E-2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0.12282707687605132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195.80903373714432</v>
      </c>
      <c r="T199" s="62">
        <f t="shared" si="204"/>
        <v>388.30721786668977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1.9895196601282805E-13</v>
      </c>
      <c r="AJ199" s="14">
        <f>AI199*VLOOKUP('Données projet'!$B$10,Paramètres!$A$1:$I$89,3,0)*VLOOKUP('Données projet'!$B$10,Paramètres!$A$1:$I$89,5,0)</f>
        <v>1.8001173884840681E-13</v>
      </c>
      <c r="AK199" s="14">
        <f t="shared" si="164"/>
        <v>2.5254331426407198E-12</v>
      </c>
      <c r="AL199" s="22">
        <f t="shared" si="165"/>
        <v>4.7119831685935622E-12</v>
      </c>
      <c r="AM199" s="62">
        <f t="shared" si="193"/>
        <v>293.33333333333803</v>
      </c>
      <c r="AN199" s="62">
        <f ca="1">AVERAGE(OFFSET($AM$3,0,0,'Données projet'!$E$10+1,1))-AVERAGE(OFFSET($H$3,0,0,'Données projet'!$E$10+1,1))</f>
        <v>302.6112905010138</v>
      </c>
      <c r="AO199" s="62">
        <f t="shared" si="205"/>
        <v>423.44006663873375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9.9581015285044261E-2</v>
      </c>
      <c r="AV199" s="23">
        <f>EXP(-LN(2)/25)*AV198+(1-EXP(-LN(2)/25))/(LN(2)/25)*Calculateur!AQ199*Calculateur!AS199*VLOOKUP('Données projet'!$B$10,Paramètres!$A$1:$I$89,3,0)*0.475*44/12</f>
        <v>2.0673081585371299E-2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0.12025409687041556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195.80903373714432</v>
      </c>
      <c r="T200" s="62">
        <f t="shared" si="204"/>
        <v>388.30721786668977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1.9895196601282805E-13</v>
      </c>
      <c r="AJ200" s="14">
        <f>AI200*VLOOKUP('Données projet'!$B$10,Paramètres!$A$1:$I$89,3,0)*VLOOKUP('Données projet'!$B$10,Paramètres!$A$1:$I$89,5,0)</f>
        <v>1.8001173884840681E-13</v>
      </c>
      <c r="AK200" s="14">
        <f t="shared" si="164"/>
        <v>2.5254331426407198E-12</v>
      </c>
      <c r="AL200" s="22">
        <f t="shared" si="165"/>
        <v>4.7119831685935622E-12</v>
      </c>
      <c r="AM200" s="62">
        <f t="shared" si="193"/>
        <v>293.33333333333803</v>
      </c>
      <c r="AN200" s="62">
        <f ca="1">AVERAGE(OFFSET($AM$3,0,0,'Données projet'!$E$10+1,1))-AVERAGE(OFFSET($H$3,0,0,'Données projet'!$E$10+1,1))</f>
        <v>302.6112905010138</v>
      </c>
      <c r="AO200" s="62">
        <f t="shared" si="205"/>
        <v>423.44006663873375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9.7628292313726439E-2</v>
      </c>
      <c r="AV200" s="23">
        <f>EXP(-LN(2)/25)*AV199+(1-EXP(-LN(2)/25))/(LN(2)/25)*Calculateur!AQ200*Calculateur!AS200*VLOOKUP('Données projet'!$B$10,Paramètres!$A$1:$I$89,3,0)*0.475*44/12</f>
        <v>2.010777508226921E-2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0.11773606739599565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195.80903373714432</v>
      </c>
      <c r="T201" s="62">
        <f t="shared" si="204"/>
        <v>388.30721786668977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1.9895196601282805E-13</v>
      </c>
      <c r="AJ201" s="14">
        <f>AI201*VLOOKUP('Données projet'!$B$10,Paramètres!$A$1:$I$89,3,0)*VLOOKUP('Données projet'!$B$10,Paramètres!$A$1:$I$89,5,0)</f>
        <v>1.8001173884840681E-13</v>
      </c>
      <c r="AK201" s="14">
        <f t="shared" si="164"/>
        <v>2.5254331426407198E-12</v>
      </c>
      <c r="AL201" s="22">
        <f t="shared" si="165"/>
        <v>4.7119831685935622E-12</v>
      </c>
      <c r="AM201" s="62">
        <f t="shared" si="193"/>
        <v>293.33333333333803</v>
      </c>
      <c r="AN201" s="62">
        <f ca="1">AVERAGE(OFFSET($AM$3,0,0,'Données projet'!$E$10+1,1))-AVERAGE(OFFSET($H$3,0,0,'Données projet'!$E$10+1,1))</f>
        <v>302.6112905010138</v>
      </c>
      <c r="AO201" s="62">
        <f t="shared" si="205"/>
        <v>423.44006663873375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9.5713861048832755E-2</v>
      </c>
      <c r="AV201" s="23">
        <f>EXP(-LN(2)/25)*AV200+(1-EXP(-LN(2)/25))/(LN(2)/25)*Calculateur!AQ201*Calculateur!AS201*VLOOKUP('Données projet'!$B$10,Paramètres!$A$1:$I$89,3,0)*0.475*44/12</f>
        <v>1.9557926915222623E-2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0.11527178796405538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195.80903373714432</v>
      </c>
      <c r="T202" s="62">
        <f t="shared" si="204"/>
        <v>388.30721786668977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1.9895196601282805E-13</v>
      </c>
      <c r="AJ202" s="14">
        <f>AI202*VLOOKUP('Données projet'!$B$10,Paramètres!$A$1:$I$89,3,0)*VLOOKUP('Données projet'!$B$10,Paramètres!$A$1:$I$89,5,0)</f>
        <v>1.8001173884840681E-13</v>
      </c>
      <c r="AK202" s="14">
        <f t="shared" si="164"/>
        <v>2.5254331426407198E-12</v>
      </c>
      <c r="AL202" s="22">
        <f t="shared" si="165"/>
        <v>4.7119831685935622E-12</v>
      </c>
      <c r="AM202" s="62">
        <f t="shared" si="193"/>
        <v>293.33333333333803</v>
      </c>
      <c r="AN202" s="62">
        <f ca="1">AVERAGE(OFFSET($AM$3,0,0,'Données projet'!$E$10+1,1))-AVERAGE(OFFSET($H$3,0,0,'Données projet'!$E$10+1,1))</f>
        <v>302.6112905010138</v>
      </c>
      <c r="AO202" s="62">
        <f t="shared" si="205"/>
        <v>423.44006663873375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9.3836970613355872E-2</v>
      </c>
      <c r="AV202" s="23">
        <f>EXP(-LN(2)/25)*AV201+(1-EXP(-LN(2)/25))/(LN(2)/25)*Calculateur!AQ202*Calculateur!AS202*VLOOKUP('Données projet'!$B$10,Paramètres!$A$1:$I$89,3,0)*0.475*44/12</f>
        <v>1.9023114375219183E-2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0.11286008498857505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195.80903373714432</v>
      </c>
      <c r="T203" s="62">
        <f t="shared" si="204"/>
        <v>388.30721786668977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1.9895196601282805E-13</v>
      </c>
      <c r="AJ203" s="14">
        <f>AI203*VLOOKUP('Données projet'!$B$10,Paramètres!$A$1:$I$89,3,0)*VLOOKUP('Données projet'!$B$10,Paramètres!$A$1:$I$89,5,0)</f>
        <v>1.8001173884840681E-13</v>
      </c>
      <c r="AK203" s="14">
        <f t="shared" si="164"/>
        <v>2.5254331426407198E-12</v>
      </c>
      <c r="AL203" s="22">
        <f t="shared" si="165"/>
        <v>4.7119831685935622E-12</v>
      </c>
      <c r="AM203" s="62">
        <f t="shared" si="193"/>
        <v>293.33333333333803</v>
      </c>
      <c r="AN203" s="62">
        <f ca="1">AVERAGE(OFFSET($AM$3,0,0,'Données projet'!$E$10+1,1))-AVERAGE(OFFSET($H$3,0,0,'Données projet'!$E$10+1,1))</f>
        <v>302.6112905010138</v>
      </c>
      <c r="AO203" s="62">
        <f t="shared" si="205"/>
        <v>423.44006663873375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9.199688485452856E-2</v>
      </c>
      <c r="AV203" s="23">
        <f>EXP(-LN(2)/25)*AV202+(1-EXP(-LN(2)/25))/(LN(2)/25)*Calculateur!AQ203*Calculateur!AS203*VLOOKUP('Données projet'!$B$10,Paramètres!$A$1:$I$89,3,0)*0.475*44/12</f>
        <v>1.8502926312246707E-2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0.11049981116677526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1.9472943612303364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I26" sqref="I2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1.7</v>
      </c>
      <c r="C6" s="156">
        <f ca="1">IF(OR('Données projet'!B9="",'Données projet'!C9="",'Données projet'!C9=0%),0,Calculateur!S3)</f>
        <v>195.80903373714432</v>
      </c>
      <c r="D6" s="156">
        <f>IF(OR('Données projet'!B9="",'Données projet'!C9="",'Données projet'!C9=0%),0,Calculateur!T3)</f>
        <v>388.30721786668977</v>
      </c>
      <c r="E6" s="156">
        <f ca="1">MIN(C6,D6)</f>
        <v>195.80903373714432</v>
      </c>
      <c r="F6" s="156">
        <f ca="1">E6*B6</f>
        <v>332.87535735314532</v>
      </c>
      <c r="G6" s="156">
        <f ca="1">F6*(100%-'Données projet'!$C$24)*(100%-'Données projet'!$C$25)*(100%-'Données projet'!$C$26)*(100%-'Données projet'!$C$27)</f>
        <v>284.60843053693924</v>
      </c>
      <c r="H6" s="157">
        <f>IF(OR('Données projet'!B9="",'Données projet'!C9="",'Données projet'!C9=0%),0,AVERAGE(Calculateur!$AC$3:$AC$33)*B6)</f>
        <v>16.462769374098873</v>
      </c>
      <c r="I6" s="158">
        <f>H6*(100%-'Données projet'!$C$24)*(100%-'Données projet'!$C$25)*(100%-'Données projet'!$C$26)*(100%-'Données projet'!$C$27)</f>
        <v>14.075667814854535</v>
      </c>
      <c r="J6" s="159">
        <f>IF(OR('Données projet'!B9="",'Données projet'!C9="",'Données projet'!C9=0%),0,SUM(Calculateur!$V$3:$V$33)*VLOOKUP('Données projet'!$B$9,Paramètres!$A$1:$I$89,9,0)*B6)</f>
        <v>120.35999999999999</v>
      </c>
      <c r="K6" s="160">
        <f>J6*(100%-'Données projet'!$C$24)*(100%-'Données projet'!$C$25)*(100%-'Données projet'!$C$26)*(100%-'Données projet'!$C$27)</f>
        <v>102.90779999999998</v>
      </c>
      <c r="L6" s="161">
        <f ca="1">G6+I6+K6</f>
        <v>401.5918983517937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Robinier faux-acacia</v>
      </c>
      <c r="B7" s="163">
        <f>'Données projet'!D10</f>
        <v>1.7</v>
      </c>
      <c r="C7" s="156">
        <f ca="1">IF(OR('Données projet'!B10="",'Données projet'!C10="",'Données projet'!C10=0%),0,Calculateur!AN3)</f>
        <v>302.6112905010138</v>
      </c>
      <c r="D7" s="156">
        <f>IF(OR('Données projet'!B10="",'Données projet'!C10="",'Données projet'!C10=0%),0,Calculateur!AO3)</f>
        <v>423.44006663873375</v>
      </c>
      <c r="E7" s="156">
        <f t="shared" ref="E7:E15" ca="1" si="0">MIN(C7,D7)</f>
        <v>302.6112905010138</v>
      </c>
      <c r="F7" s="156">
        <f t="shared" ref="F7:F15" ca="1" si="1">E7*B7</f>
        <v>514.43919385172342</v>
      </c>
      <c r="G7" s="156">
        <f ca="1">F7*(100%-'Données projet'!$C$24)*(100%-'Données projet'!$C$25)*(100%-'Données projet'!$C$26)*(100%-'Données projet'!$C$27)</f>
        <v>439.84551074322354</v>
      </c>
      <c r="H7" s="164">
        <f>IF(OR('Données projet'!B10="",'Données projet'!C10="",'Données projet'!C10=0%),0,AVERAGE(Calculateur!$AX$3:$AX$33)*B7)</f>
        <v>1.7227940222755045</v>
      </c>
      <c r="I7" s="158">
        <f>H7*(100%-'Données projet'!$C$24)*(100%-'Données projet'!$C$25)*(100%-'Données projet'!$C$26)*(100%-'Données projet'!$C$27)</f>
        <v>1.4729888890455562</v>
      </c>
      <c r="J7" s="159">
        <f>IF(OR('Données projet'!B10="",'Données projet'!C10="",'Données projet'!C10=0%),0,SUM(Calculateur!$AQ$3:$AQ$33)*VLOOKUP('Données projet'!$B$10,Paramètres!$A$1:$I$89,9,0)*B7)</f>
        <v>32.299999999999997</v>
      </c>
      <c r="K7" s="160">
        <f>J7*(100%-'Données projet'!$C$24)*(100%-'Données projet'!$C$25)*(100%-'Données projet'!$C$26)*(100%-'Données projet'!$C$27)</f>
        <v>27.616499999999995</v>
      </c>
      <c r="L7" s="161">
        <f t="shared" ref="L7:L15" ca="1" si="2">G7+I7+K7</f>
        <v>468.93499963226907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847.31455120486874</v>
      </c>
      <c r="G16" s="175">
        <f t="shared" ca="1" si="3"/>
        <v>724.45394128016278</v>
      </c>
      <c r="H16" s="176">
        <f t="shared" si="3"/>
        <v>18.185563396374377</v>
      </c>
      <c r="I16" s="176">
        <f t="shared" si="3"/>
        <v>15.548656703900091</v>
      </c>
      <c r="J16" s="177">
        <f t="shared" si="3"/>
        <v>152.65999999999997</v>
      </c>
      <c r="K16" s="177">
        <f t="shared" si="3"/>
        <v>130.52429999999998</v>
      </c>
      <c r="L16" s="178">
        <f t="shared" ca="1" si="3"/>
        <v>870.52689798406277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Robinier faux-acacia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G13" zoomScale="90" zoomScaleNormal="90" workbookViewId="0">
      <selection activeCell="Q33" sqref="Q3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4725.370797932399</v>
      </c>
      <c r="U10" s="190">
        <f>'Données projet'!D9</f>
        <v>1.7</v>
      </c>
      <c r="V10" s="189">
        <f>U10*T10</f>
        <v>8033.1303564850778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Robinier faux-acacia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2025.60275918871</v>
      </c>
      <c r="U11" s="190">
        <f>'Données projet'!D10</f>
        <v>1.7</v>
      </c>
      <c r="V11" s="189">
        <f t="shared" ref="V11" si="0">U11*T11</f>
        <v>3443.5246906208072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1230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>
        <v>1</v>
      </c>
      <c r="I21" s="204">
        <v>1230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1230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28</v>
      </c>
      <c r="C23" s="206">
        <v>10</v>
      </c>
      <c r="D23" s="194">
        <f>B23*C23</f>
        <v>280</v>
      </c>
      <c r="E23" s="206"/>
      <c r="F23" s="261"/>
      <c r="H23" s="203">
        <v>3</v>
      </c>
      <c r="I23" s="204">
        <v>1230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-7708.3774216313777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40</v>
      </c>
      <c r="C24" s="206">
        <v>20</v>
      </c>
      <c r="D24" s="194">
        <f t="shared" ref="D24:D42" si="2">B24*C24</f>
        <v>800</v>
      </c>
      <c r="E24" s="206"/>
      <c r="F24" s="264"/>
      <c r="H24" s="203">
        <v>4</v>
      </c>
      <c r="I24" s="204">
        <v>1230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23</v>
      </c>
      <c r="B25" s="193">
        <f>'Données projet'!D38</f>
        <v>52</v>
      </c>
      <c r="C25" s="206">
        <v>30</v>
      </c>
      <c r="D25" s="194">
        <f t="shared" si="2"/>
        <v>1560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-7708.3774216313777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>
        <v>40</v>
      </c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34</v>
      </c>
      <c r="B27" s="193">
        <f>'Données projet'!D40</f>
        <v>325</v>
      </c>
      <c r="C27" s="206">
        <v>50</v>
      </c>
      <c r="D27" s="194">
        <f t="shared" si="2"/>
        <v>16250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Robinier faux-acacia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5</v>
      </c>
      <c r="B54" s="193">
        <f>'Données projet'!D62</f>
        <v>4</v>
      </c>
      <c r="C54" s="204">
        <v>4</v>
      </c>
      <c r="D54" s="191">
        <f>B54*C54</f>
        <v>16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10</v>
      </c>
      <c r="B55" s="193">
        <f>'Données projet'!D63</f>
        <v>21</v>
      </c>
      <c r="C55" s="204">
        <v>8</v>
      </c>
      <c r="D55" s="191">
        <f t="shared" ref="D55:D73" si="4">B55*C55</f>
        <v>168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15</v>
      </c>
      <c r="B56" s="193">
        <f>'Données projet'!D64</f>
        <v>17</v>
      </c>
      <c r="C56" s="204">
        <v>13</v>
      </c>
      <c r="D56" s="191">
        <f t="shared" si="4"/>
        <v>221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20</v>
      </c>
      <c r="B57" s="193">
        <f>'Données projet'!D65</f>
        <v>14</v>
      </c>
      <c r="C57" s="204">
        <v>19</v>
      </c>
      <c r="D57" s="191">
        <f t="shared" si="4"/>
        <v>266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25</v>
      </c>
      <c r="B58" s="193">
        <f>'Données projet'!D66</f>
        <v>11</v>
      </c>
      <c r="C58" s="204">
        <v>22</v>
      </c>
      <c r="D58" s="191">
        <f t="shared" si="4"/>
        <v>242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30</v>
      </c>
      <c r="B59" s="193">
        <f>'Données projet'!D67</f>
        <v>9</v>
      </c>
      <c r="C59" s="204">
        <v>25</v>
      </c>
      <c r="D59" s="191">
        <f t="shared" si="4"/>
        <v>225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35</v>
      </c>
      <c r="B60" s="193">
        <f>'Données projet'!D68</f>
        <v>7</v>
      </c>
      <c r="C60" s="204">
        <v>30</v>
      </c>
      <c r="D60" s="191">
        <f t="shared" si="4"/>
        <v>210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40</v>
      </c>
      <c r="B61" s="193">
        <f>'Données projet'!D69</f>
        <v>6</v>
      </c>
      <c r="C61" s="204">
        <v>37</v>
      </c>
      <c r="D61" s="191">
        <f t="shared" si="4"/>
        <v>222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45</v>
      </c>
      <c r="B62" s="193">
        <f>'Données projet'!D70</f>
        <v>252</v>
      </c>
      <c r="C62" s="204">
        <v>45</v>
      </c>
      <c r="D62" s="191">
        <f t="shared" si="4"/>
        <v>11340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/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2025-03-05T09:51:41Z</dcterms:modified>
</cp:coreProperties>
</file>