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TREMOUILLES (12) - GARRIGUES\Dossier à déposer\"/>
    </mc:Choice>
  </mc:AlternateContent>
  <xr:revisionPtr revIDLastSave="0" documentId="13_ncr:1_{A6999094-7502-4A53-A9CD-4C08F29845F3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199" i="2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<sst xmlns="http://schemas.openxmlformats.org/spreadsheetml/2006/main" count="1171" uniqueCount="324">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</sst>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0" fillId="21" borderId="0" xfId="0" applyNumberFormat="1" applyFill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4.1928698140991418</c:v>
                </c:pt>
                <c:pt idx="2">
                  <c:v>7.6168365307333579</c:v>
                </c:pt>
                <c:pt idx="3">
                  <c:v>13.851557944382177</c:v>
                </c:pt>
                <c:pt idx="4">
                  <c:v>25.215582848202938</c:v>
                </c:pt>
                <c:pt idx="5">
                  <c:v>45.948466940528562</c:v>
                </c:pt>
                <c:pt idx="6">
                  <c:v>58.88887876919231</c:v>
                </c:pt>
                <c:pt idx="7">
                  <c:v>75.762576017329408</c:v>
                </c:pt>
                <c:pt idx="8">
                  <c:v>92.540042131168903</c:v>
                </c:pt>
                <c:pt idx="9">
                  <c:v>109.24128540474889</c:v>
                </c:pt>
                <c:pt idx="10">
                  <c:v>125.87964006712114</c:v>
                </c:pt>
                <c:pt idx="11">
                  <c:v>112.81157172284342</c:v>
                </c:pt>
                <c:pt idx="12">
                  <c:v>129.43778416851515</c:v>
                </c:pt>
                <c:pt idx="13">
                  <c:v>146.0122974801705</c:v>
                </c:pt>
                <c:pt idx="14">
                  <c:v>162.54181354343527</c:v>
                </c:pt>
                <c:pt idx="15">
                  <c:v>179.03155609796639</c:v>
                </c:pt>
                <c:pt idx="16">
                  <c:v>168.4353371188482</c:v>
                </c:pt>
                <c:pt idx="17">
                  <c:v>183.34426585713663</c:v>
                </c:pt>
                <c:pt idx="18">
                  <c:v>198.22485329351457</c:v>
                </c:pt>
                <c:pt idx="19">
                  <c:v>213.07952740360659</c:v>
                </c:pt>
                <c:pt idx="20">
                  <c:v>227.91034965501248</c:v>
                </c:pt>
                <c:pt idx="21">
                  <c:v>220.88807818771124</c:v>
                </c:pt>
                <c:pt idx="22">
                  <c:v>233.36868457739766</c:v>
                </c:pt>
                <c:pt idx="23">
                  <c:v>245.8340553722112</c:v>
                </c:pt>
                <c:pt idx="24">
                  <c:v>258.28507230454863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275.38322031086642</c:v>
                </c:pt>
                <c:pt idx="28">
                  <c:v>285.47535981120433</c:v>
                </c:pt>
                <c:pt idx="29">
                  <c:v>295.55951555452697</c:v>
                </c:pt>
                <c:pt idx="30">
                  <c:v>305.63599851497548</c:v>
                </c:pt>
                <c:pt idx="31">
                  <c:v>302.14883502279832</c:v>
                </c:pt>
                <c:pt idx="32">
                  <c:v>310.28417578084361</c:v>
                </c:pt>
                <c:pt idx="33">
                  <c:v>318.41478230164341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332.34234434510194</c:v>
                </c:pt>
                <c:pt idx="37">
                  <c:v>339.68777684695164</c:v>
                </c:pt>
                <c:pt idx="38">
                  <c:v>347.02971529409774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361.31746248867267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C27" sqref="C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2.63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0.224</v>
      </c>
      <c r="D9" s="36">
        <f t="shared" ref="D9:D18" si="0">C9*$C$5</f>
        <v>0.58911999999999998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0.38800000000000001</v>
      </c>
      <c r="D10" s="36">
        <f t="shared" si="0"/>
        <v>1.02044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0.38800000000000001</v>
      </c>
      <c r="D11" s="36">
        <f t="shared" si="0"/>
        <v>1.02044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2.63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22</v>
      </c>
      <c r="C36" s="63">
        <v>1</v>
      </c>
      <c r="D36" s="63">
        <v>2</v>
      </c>
      <c r="E36" s="54"/>
      <c r="F36" s="54"/>
      <c r="G36" s="54"/>
      <c r="H36" s="54">
        <v>1</v>
      </c>
      <c r="I36" s="52">
        <f>IFERROR(B36/A36,"")</f>
        <v>4.4000000000000004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v>62</v>
      </c>
      <c r="C37" s="63">
        <v>2</v>
      </c>
      <c r="D37" s="63">
        <v>15</v>
      </c>
      <c r="E37" s="54"/>
      <c r="F37" s="54"/>
      <c r="G37" s="54"/>
      <c r="H37" s="54">
        <v>1</v>
      </c>
      <c r="I37" s="56">
        <f t="shared" ref="I37:I55" si="1">IF(A37&lt;&gt;0,(B37-(B36-D36))/(A37-A36),"")</f>
        <v>8.4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89</v>
      </c>
      <c r="C38" s="63">
        <v>3</v>
      </c>
      <c r="D38" s="63">
        <v>13</v>
      </c>
      <c r="E38" s="54">
        <v>0.2</v>
      </c>
      <c r="F38" s="54"/>
      <c r="G38" s="54"/>
      <c r="H38" s="54">
        <v>0.8</v>
      </c>
      <c r="I38" s="56">
        <f t="shared" si="1"/>
        <v>8.4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114</v>
      </c>
      <c r="C39" s="63">
        <v>4</v>
      </c>
      <c r="D39" s="63">
        <v>10</v>
      </c>
      <c r="E39" s="54">
        <v>0.8</v>
      </c>
      <c r="F39" s="54"/>
      <c r="G39" s="54"/>
      <c r="H39" s="54">
        <v>0.2</v>
      </c>
      <c r="I39" s="52">
        <f t="shared" si="1"/>
        <v>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136</v>
      </c>
      <c r="C40" s="63">
        <v>5</v>
      </c>
      <c r="D40" s="63">
        <v>8</v>
      </c>
      <c r="E40" s="54">
        <v>0.8</v>
      </c>
      <c r="F40" s="54"/>
      <c r="G40" s="54"/>
      <c r="H40" s="54">
        <v>0.2</v>
      </c>
      <c r="I40" s="52">
        <f t="shared" si="1"/>
        <v>6.4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154</v>
      </c>
      <c r="C41" s="63">
        <v>6</v>
      </c>
      <c r="D41" s="63">
        <v>6</v>
      </c>
      <c r="E41" s="54">
        <v>0.9</v>
      </c>
      <c r="F41" s="54"/>
      <c r="G41" s="54"/>
      <c r="H41" s="54">
        <v>0.1</v>
      </c>
      <c r="I41" s="56">
        <f t="shared" si="1"/>
        <v>5.2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35</v>
      </c>
      <c r="B42" s="63">
        <v>169</v>
      </c>
      <c r="C42" s="63">
        <v>7</v>
      </c>
      <c r="D42" s="63">
        <v>5</v>
      </c>
      <c r="E42" s="54"/>
      <c r="F42" s="54"/>
      <c r="G42" s="54"/>
      <c r="H42" s="54"/>
      <c r="I42" s="56">
        <f t="shared" si="1"/>
        <v>4.2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40</v>
      </c>
      <c r="B43" s="63">
        <v>183</v>
      </c>
      <c r="C43" s="63">
        <v>8</v>
      </c>
      <c r="D43" s="63">
        <v>4</v>
      </c>
      <c r="E43" s="54"/>
      <c r="F43" s="54"/>
      <c r="G43" s="54"/>
      <c r="H43" s="54"/>
      <c r="I43" s="52">
        <f t="shared" si="1"/>
        <v>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45</v>
      </c>
      <c r="B44" s="63">
        <v>198</v>
      </c>
      <c r="C44" s="63">
        <v>9</v>
      </c>
      <c r="D44" s="63">
        <v>198</v>
      </c>
      <c r="E44" s="54"/>
      <c r="F44" s="54"/>
      <c r="G44" s="54"/>
      <c r="H44" s="54"/>
      <c r="I44" s="52">
        <f t="shared" si="1"/>
        <v>3.8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158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250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350</v>
      </c>
      <c r="C64" s="63">
        <v>3</v>
      </c>
      <c r="D64" s="63">
        <v>88</v>
      </c>
      <c r="E64" s="54"/>
      <c r="F64" s="54"/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377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512</v>
      </c>
      <c r="C66" s="63">
        <v>5</v>
      </c>
      <c r="D66" s="63">
        <v>102</v>
      </c>
      <c r="E66" s="54"/>
      <c r="F66" s="54"/>
      <c r="G66" s="54"/>
      <c r="H66" s="54"/>
      <c r="I66" s="52">
        <f t="shared" ref="I66:I81" si="2">IF(A66&lt;&gt;0,(B66-(B65-D65))/(A66-A65),"")</f>
        <v>13.5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565</v>
      </c>
      <c r="C67" s="63">
        <v>6</v>
      </c>
      <c r="D67" s="63">
        <v>113</v>
      </c>
      <c r="E67" s="54"/>
      <c r="F67" s="54"/>
      <c r="G67" s="54"/>
      <c r="H67" s="54"/>
      <c r="I67" s="52">
        <f t="shared" si="2"/>
        <v>15.5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622</v>
      </c>
      <c r="C68" s="63">
        <v>7</v>
      </c>
      <c r="D68" s="63">
        <v>124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673</v>
      </c>
      <c r="C69" s="53">
        <v>8</v>
      </c>
      <c r="D69" s="53">
        <v>135</v>
      </c>
      <c r="E69" s="54"/>
      <c r="F69" s="54"/>
      <c r="G69" s="54"/>
      <c r="H69" s="54"/>
      <c r="I69" s="52">
        <f t="shared" si="2"/>
        <v>17.5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723</v>
      </c>
      <c r="C70" s="53">
        <v>9</v>
      </c>
      <c r="D70" s="53">
        <v>723</v>
      </c>
      <c r="E70" s="54"/>
      <c r="F70" s="54"/>
      <c r="G70" s="54"/>
      <c r="H70" s="54"/>
      <c r="I70" s="52">
        <f t="shared" si="2"/>
        <v>18.5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22</v>
      </c>
      <c r="B88" s="63">
        <v>123</v>
      </c>
      <c r="C88" s="63">
        <v>1</v>
      </c>
      <c r="D88" s="63">
        <v>16</v>
      </c>
      <c r="E88" s="54"/>
      <c r="F88" s="54"/>
      <c r="G88" s="54">
        <v>1</v>
      </c>
      <c r="H88" s="93"/>
      <c r="I88" s="56">
        <f>IFERROR(B88/A88,"")</f>
        <v>5.5909090909090908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144</v>
      </c>
      <c r="C89" s="63">
        <v>2</v>
      </c>
      <c r="D89" s="63">
        <v>17</v>
      </c>
      <c r="E89" s="54"/>
      <c r="F89" s="54"/>
      <c r="G89" s="54">
        <v>1</v>
      </c>
      <c r="H89" s="93"/>
      <c r="I89" s="56">
        <f t="shared" ref="I89:I107" si="3">IF(A89&lt;&gt;0,(B89-(B88-D88))/(A89-A88),"")</f>
        <v>12.333333333333334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194</v>
      </c>
      <c r="C90" s="63">
        <v>3</v>
      </c>
      <c r="D90" s="63">
        <v>34</v>
      </c>
      <c r="E90" s="93"/>
      <c r="F90" s="93">
        <v>0.2</v>
      </c>
      <c r="G90" s="93">
        <v>0.8</v>
      </c>
      <c r="H90" s="93"/>
      <c r="I90" s="56">
        <f t="shared" si="3"/>
        <v>13.4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233</v>
      </c>
      <c r="C91" s="63">
        <v>4</v>
      </c>
      <c r="D91" s="63">
        <v>41</v>
      </c>
      <c r="E91" s="93"/>
      <c r="F91" s="93"/>
      <c r="G91" s="93"/>
      <c r="H91" s="93"/>
      <c r="I91" s="56">
        <f t="shared" si="3"/>
        <v>14.6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264</v>
      </c>
      <c r="C92" s="63">
        <v>5</v>
      </c>
      <c r="D92" s="63">
        <v>41</v>
      </c>
      <c r="E92" s="93"/>
      <c r="F92" s="93"/>
      <c r="G92" s="93"/>
      <c r="H92" s="93"/>
      <c r="I92" s="56">
        <f t="shared" si="3"/>
        <v>14.4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306</v>
      </c>
      <c r="C93" s="63">
        <v>6</v>
      </c>
      <c r="D93" s="63">
        <v>53</v>
      </c>
      <c r="E93" s="93"/>
      <c r="F93" s="93"/>
      <c r="G93" s="93"/>
      <c r="H93" s="93"/>
      <c r="I93" s="56">
        <f t="shared" si="3"/>
        <v>16.600000000000001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340</v>
      </c>
      <c r="C94" s="63">
        <v>7</v>
      </c>
      <c r="D94" s="63">
        <v>53</v>
      </c>
      <c r="E94" s="93"/>
      <c r="F94" s="93"/>
      <c r="G94" s="93"/>
      <c r="H94" s="93"/>
      <c r="I94" s="56">
        <f t="shared" si="3"/>
        <v>17.399999999999999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58</v>
      </c>
      <c r="B95" s="63">
        <v>428</v>
      </c>
      <c r="C95" s="63">
        <v>8</v>
      </c>
      <c r="D95" s="63">
        <v>78</v>
      </c>
      <c r="E95" s="93"/>
      <c r="F95" s="93"/>
      <c r="G95" s="93"/>
      <c r="H95" s="93"/>
      <c r="I95" s="56">
        <f t="shared" si="3"/>
        <v>17.625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66</v>
      </c>
      <c r="B96" s="63">
        <v>483</v>
      </c>
      <c r="C96" s="63">
        <v>9</v>
      </c>
      <c r="D96" s="63">
        <v>65</v>
      </c>
      <c r="E96" s="93"/>
      <c r="F96" s="93"/>
      <c r="G96" s="93"/>
      <c r="H96" s="93"/>
      <c r="I96" s="56">
        <f t="shared" si="3"/>
        <v>16.625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74</v>
      </c>
      <c r="B97" s="63">
        <v>521</v>
      </c>
      <c r="C97" s="63">
        <v>10</v>
      </c>
      <c r="D97" s="63">
        <v>37</v>
      </c>
      <c r="E97" s="93"/>
      <c r="F97" s="93"/>
      <c r="G97" s="93"/>
      <c r="H97" s="93"/>
      <c r="I97" s="56">
        <f t="shared" si="3"/>
        <v>12.875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82</v>
      </c>
      <c r="B98" s="63">
        <v>555</v>
      </c>
      <c r="C98" s="63">
        <v>11</v>
      </c>
      <c r="D98" s="63">
        <v>555</v>
      </c>
      <c r="E98" s="93"/>
      <c r="F98" s="93"/>
      <c r="G98" s="93"/>
      <c r="H98" s="93"/>
      <c r="I98" s="56">
        <f t="shared" si="3"/>
        <v>8.875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6" sqref="C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Robinier faux-acacia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laricio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244.82163392718377</v>
      </c>
      <c r="T3" s="62">
        <f>IF('Données projet'!E9&gt;30,$R$33-$H$33,LOOKUP('Données projet'!$E$9,$A$3:$A$203,R3:R203)-LOOKUP('Données projet'!$E$9,$A$3:$A$203,$H$3:$H$203))</f>
        <v>342.30266518164211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396.92963589781414</v>
      </c>
      <c r="AO3" s="62">
        <f>IF('Données projet'!E10&gt;30,$AM$33-$H$33,LOOKUP('Données projet'!$E$10,$A$3:$A$203,AM3:AM203)-LOOKUP('Données projet'!$E$10,$A$3:$A$203,$H$3:$H$203))</f>
        <v>294.38852181137639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362.81292020448933</v>
      </c>
      <c r="BJ3" s="62">
        <f>IF('Données projet'!E11&gt;30,$BH$33-$H$33,LOOKUP('Données projet'!$E$11,$A$3:$A$203,BH3:BH203)-LOOKUP('Données projet'!$E$11,$A$3:$A$203,$H$3:$H$203))</f>
        <v>292.26503163353146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4.4000000000000004</v>
      </c>
      <c r="N4" s="14">
        <f>IF('Données projet'!$A$36&gt;35,N3+M4-V3,IF(A4&lt;'Données projet'!$A$36,$K$205^A4,IF(A4='Données projet'!$A$36,'Données projet'!$B$36,N3+M4-V3)))</f>
        <v>1.8556007362580844</v>
      </c>
      <c r="O4" s="14">
        <f>N4*VLOOKUP('Données projet'!$B$9,Paramètres!$A$1:$I$89,3,0)*VLOOKUP('Données projet'!$B$9,Paramètres!$A$1:$I$89,5,0)</f>
        <v>1.6789475461663146</v>
      </c>
      <c r="P4" s="14">
        <f>EXP(-1.0587+0.8836*LN(O4)+0.284)</f>
        <v>0.72844182078056119</v>
      </c>
      <c r="Q4" s="22">
        <f t="shared" ref="Q4:Q34" si="2">(O4+P4)*0.475*44/12</f>
        <v>4.1928698140991418</v>
      </c>
      <c r="R4" s="62">
        <f t="shared" si="0"/>
        <v>262.081758702988</v>
      </c>
      <c r="S4" s="62">
        <f ca="1">AVERAGE(OFFSET($R$3,0,0,'Données projet'!$E$9+1,1))-AVERAGE(OFFSET($H$3,0,0,'Données projet'!$E$9+1,1))</f>
        <v>244.82163392718377</v>
      </c>
      <c r="T4" s="62">
        <f>$T$3</f>
        <v>342.30266518164211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259.45197446629572</v>
      </c>
      <c r="AN4" s="62">
        <f ca="1">AVERAGE(OFFSET($AM$3,0,0,'Données projet'!$E$10+1,1))-AVERAGE(OFFSET($H$3,0,0,'Données projet'!$E$10+1,1))</f>
        <v>396.92963589781414</v>
      </c>
      <c r="AO4" s="62">
        <f>$AO$3</f>
        <v>294.38852181137639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5.5909090909090908</v>
      </c>
      <c r="BD4" s="13">
        <f>IF('Données projet'!$A$88&gt;35,BD3+BC4-BL3,IF(A4&lt;'Données projet'!$A$88,$BA$205^A4,IF(A4='Données projet'!$A$88,'Données projet'!$B$88,BD3+BC4-BL3)))</f>
        <v>1.244502252163008</v>
      </c>
      <c r="BE4" s="14">
        <f>BD4*VLOOKUP('Données projet'!$B$11,Paramètres!$A$1:$I$89,3,0)*VLOOKUP('Données projet'!$B$11,Paramètres!$A$1:$I$89,5,0)</f>
        <v>0.74421234679347892</v>
      </c>
      <c r="BF4" s="14">
        <f>EXP(-1.0587+0.8836*LN(BE4)+0.284)</f>
        <v>0.3549632728022305</v>
      </c>
      <c r="BG4" s="22">
        <f t="shared" ref="BG4:BG67" si="7">(BE4+BF4)*0.475*44/12</f>
        <v>1.9143975374625271</v>
      </c>
      <c r="BH4" s="62">
        <f t="shared" ref="BH4:BH67" si="8">BG4+(AY4+AZ4)*44/12</f>
        <v>259.80328642635141</v>
      </c>
      <c r="BI4" s="62">
        <f ca="1">AVERAGE(OFFSET($BH$3,0,0,'Données projet'!$E$11+1,1))-AVERAGE(OFFSET($H$3,0,0,'Données projet'!$E$11+1,1))</f>
        <v>362.81292020448933</v>
      </c>
      <c r="BJ4" s="62">
        <f>$BJ$3</f>
        <v>292.26503163353146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4.4000000000000004</v>
      </c>
      <c r="N5" s="14">
        <f>IF('Données projet'!$A$36&gt;35,N4+M5-V4,IF(A5&lt;'Données projet'!$A$36,$K$205^A5,IF(A5='Données projet'!$A$36,'Données projet'!$B$36,N4+M5-V4)))</f>
        <v>3.4432540924015451</v>
      </c>
      <c r="O5" s="14">
        <f>N5*VLOOKUP('Données projet'!$B$9,Paramètres!$A$1:$I$89,3,0)*VLOOKUP('Données projet'!$B$9,Paramètres!$A$1:$I$89,5,0)</f>
        <v>3.115456302804918</v>
      </c>
      <c r="P5" s="14">
        <f t="shared" ref="P5:P68" si="33">EXP(-1.0587+0.8836*LN(O5)+0.284)</f>
        <v>1.2578469684295466</v>
      </c>
      <c r="Q5" s="22">
        <f t="shared" si="2"/>
        <v>7.6168365307333579</v>
      </c>
      <c r="R5" s="62">
        <f t="shared" si="0"/>
        <v>266.72794764184448</v>
      </c>
      <c r="S5" s="62">
        <f ca="1">AVERAGE(OFFSET($R$3,0,0,'Données projet'!$E$9+1,1))-AVERAGE(OFFSET($H$3,0,0,'Données projet'!$E$9+1,1))</f>
        <v>244.82163392718377</v>
      </c>
      <c r="T5" s="62">
        <f t="shared" ref="T5:T68" si="34">$T$3</f>
        <v>342.30266518164211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261.10525168652157</v>
      </c>
      <c r="AN5" s="62">
        <f ca="1">AVERAGE(OFFSET($AM$3,0,0,'Données projet'!$E$10+1,1))-AVERAGE(OFFSET($H$3,0,0,'Données projet'!$E$10+1,1))</f>
        <v>396.92963589781414</v>
      </c>
      <c r="AO5" s="62">
        <f t="shared" ref="AO5:AO68" si="36">$AO$3</f>
        <v>294.38852181137639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5.5909090909090908</v>
      </c>
      <c r="BD5" s="13">
        <f>IF('Données projet'!$A$88&gt;35,BD4+BC5-BL4,IF(A5&lt;'Données projet'!$A$88,$BA$205^A5,IF(A5='Données projet'!$A$88,'Données projet'!$B$88,BD4+BC5-BL4)))</f>
        <v>1.5487858556387992</v>
      </c>
      <c r="BE5" s="14">
        <f>BD5*VLOOKUP('Données projet'!$B$11,Paramètres!$A$1:$I$89,3,0)*VLOOKUP('Données projet'!$B$11,Paramètres!$A$1:$I$89,5,0)</f>
        <v>0.92617394167200195</v>
      </c>
      <c r="BF5" s="14">
        <f t="shared" ref="BF5:BF68" si="37">EXP(-1.0587+0.8836*LN(BE5)+0.284)</f>
        <v>0.43064718121421069</v>
      </c>
      <c r="BG5" s="22">
        <f t="shared" si="7"/>
        <v>2.3631301223601535</v>
      </c>
      <c r="BH5" s="62">
        <f t="shared" si="8"/>
        <v>261.47424123347128</v>
      </c>
      <c r="BI5" s="62">
        <f ca="1">AVERAGE(OFFSET($BH$3,0,0,'Données projet'!$E$11+1,1))-AVERAGE(OFFSET($H$3,0,0,'Données projet'!$E$11+1,1))</f>
        <v>362.81292020448933</v>
      </c>
      <c r="BJ5" s="62">
        <f t="shared" ref="BJ5:BJ68" si="38">$BJ$3</f>
        <v>292.26503163353146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4.4000000000000004</v>
      </c>
      <c r="N6" s="14">
        <f>IF('Données projet'!$A$36&gt;35,N5+M6-V5,IF(A6&lt;'Données projet'!$A$36,$K$205^A6,IF(A6='Données projet'!$A$36,'Données projet'!$B$36,N5+M6-V5)))</f>
        <v>6.3893048289839696</v>
      </c>
      <c r="O6" s="14">
        <f>N6*VLOOKUP('Données projet'!$B$9,Paramètres!$A$1:$I$89,3,0)*VLOOKUP('Données projet'!$B$9,Paramètres!$A$1:$I$89,5,0)</f>
        <v>5.7810430092646952</v>
      </c>
      <c r="P6" s="14">
        <f t="shared" si="33"/>
        <v>2.1720046143040199</v>
      </c>
      <c r="Q6" s="22">
        <f t="shared" si="2"/>
        <v>13.851557944382177</v>
      </c>
      <c r="R6" s="62">
        <f t="shared" si="0"/>
        <v>274.18489127771551</v>
      </c>
      <c r="S6" s="62">
        <f ca="1">AVERAGE(OFFSET($R$3,0,0,'Données projet'!$E$9+1,1))-AVERAGE(OFFSET($H$3,0,0,'Données projet'!$E$9+1,1))</f>
        <v>244.82163392718377</v>
      </c>
      <c r="T6" s="62">
        <f t="shared" si="34"/>
        <v>342.30266518164211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262.8778838402435</v>
      </c>
      <c r="AN6" s="62">
        <f ca="1">AVERAGE(OFFSET($AM$3,0,0,'Données projet'!$E$10+1,1))-AVERAGE(OFFSET($H$3,0,0,'Données projet'!$E$10+1,1))</f>
        <v>396.92963589781414</v>
      </c>
      <c r="AO6" s="62">
        <f t="shared" si="36"/>
        <v>294.38852181137639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5.5909090909090908</v>
      </c>
      <c r="BD6" s="13">
        <f>IF('Données projet'!$A$88&gt;35,BD5+BC6-BL5,IF(A6&lt;'Données projet'!$A$88,$BA$205^A6,IF(A6='Données projet'!$A$88,'Données projet'!$B$88,BD5+BC6-BL5)))</f>
        <v>1.927467485460697</v>
      </c>
      <c r="BE6" s="14">
        <f>BD6*VLOOKUP('Données projet'!$B$11,Paramètres!$A$1:$I$89,3,0)*VLOOKUP('Données projet'!$B$11,Paramètres!$A$1:$I$89,5,0)</f>
        <v>1.152625556305497</v>
      </c>
      <c r="BF6" s="14">
        <f t="shared" si="37"/>
        <v>0.52246812247269758</v>
      </c>
      <c r="BG6" s="22">
        <f t="shared" si="7"/>
        <v>2.9174548238720219</v>
      </c>
      <c r="BH6" s="62">
        <f t="shared" si="8"/>
        <v>263.25078815720536</v>
      </c>
      <c r="BI6" s="62">
        <f ca="1">AVERAGE(OFFSET($BH$3,0,0,'Données projet'!$E$11+1,1))-AVERAGE(OFFSET($H$3,0,0,'Données projet'!$E$11+1,1))</f>
        <v>362.81292020448933</v>
      </c>
      <c r="BJ6" s="62">
        <f t="shared" si="38"/>
        <v>292.26503163353146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4.4000000000000004</v>
      </c>
      <c r="N7" s="14">
        <f>IF('Données projet'!$A$36&gt;35,N6+M7-V6,IF(A7&lt;'Données projet'!$A$36,$K$205^A7,IF(A7='Données projet'!$A$36,'Données projet'!$B$36,N6+M7-V6)))</f>
        <v>11.855998744839988</v>
      </c>
      <c r="O7" s="14">
        <f>N7*VLOOKUP('Données projet'!$B$9,Paramètres!$A$1:$I$89,3,0)*VLOOKUP('Données projet'!$B$9,Paramètres!$A$1:$I$89,5,0)</f>
        <v>10.727307664331221</v>
      </c>
      <c r="P7" s="14">
        <f t="shared" si="33"/>
        <v>3.7505389470771635</v>
      </c>
      <c r="Q7" s="22">
        <f t="shared" si="2"/>
        <v>25.215582848202938</v>
      </c>
      <c r="R7" s="62">
        <f t="shared" si="0"/>
        <v>286.77113840375847</v>
      </c>
      <c r="S7" s="62">
        <f ca="1">AVERAGE(OFFSET($R$3,0,0,'Données projet'!$E$9+1,1))-AVERAGE(OFFSET($H$3,0,0,'Données projet'!$E$9+1,1))</f>
        <v>244.82163392718377</v>
      </c>
      <c r="T7" s="62">
        <f t="shared" si="34"/>
        <v>342.30266518164211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264.80304536680109</v>
      </c>
      <c r="AN7" s="62">
        <f ca="1">AVERAGE(OFFSET($AM$3,0,0,'Données projet'!$E$10+1,1))-AVERAGE(OFFSET($H$3,0,0,'Données projet'!$E$10+1,1))</f>
        <v>396.92963589781414</v>
      </c>
      <c r="AO7" s="62">
        <f t="shared" si="36"/>
        <v>294.38852181137639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5.5909090909090908</v>
      </c>
      <c r="BD7" s="13">
        <f>IF('Données projet'!$A$88&gt;35,BD6+BC7-BL6,IF(A7&lt;'Données projet'!$A$88,$BA$205^A7,IF(A7='Données projet'!$A$88,'Données projet'!$B$88,BD6+BC7-BL6)))</f>
        <v>2.3987376266268075</v>
      </c>
      <c r="BE7" s="14">
        <f>BD7*VLOOKUP('Données projet'!$B$11,Paramètres!$A$1:$I$89,3,0)*VLOOKUP('Données projet'!$B$11,Paramètres!$A$1:$I$89,5,0)</f>
        <v>1.4344451007228309</v>
      </c>
      <c r="BF7" s="14">
        <f t="shared" si="37"/>
        <v>0.63386677286612625</v>
      </c>
      <c r="BG7" s="22">
        <f t="shared" si="7"/>
        <v>3.6023098465007668</v>
      </c>
      <c r="BH7" s="62">
        <f t="shared" si="8"/>
        <v>265.1578654020563</v>
      </c>
      <c r="BI7" s="62">
        <f ca="1">AVERAGE(OFFSET($BH$3,0,0,'Données projet'!$E$11+1,1))-AVERAGE(OFFSET($H$3,0,0,'Données projet'!$E$11+1,1))</f>
        <v>362.81292020448933</v>
      </c>
      <c r="BJ7" s="62">
        <f t="shared" si="38"/>
        <v>292.26503163353146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22</v>
      </c>
      <c r="L8" s="13">
        <f>VLOOKUP(A8,'Données projet'!$A$35:$I$55,9,0)</f>
        <v>4.4000000000000004</v>
      </c>
      <c r="M8" s="13">
        <f t="array" ref="M8">INDEX(L:L,MIN(IF(ISNUMBER(L8:L204),ROW(L8:L204),"")))</f>
        <v>4.4000000000000004</v>
      </c>
      <c r="N8" s="14">
        <f>IF('Données projet'!$A$36&gt;35,N7+M8-V7,IF(A8&lt;'Données projet'!$A$36,$K$205^A8,IF(A8='Données projet'!$A$36,'Données projet'!$B$36,N7+M8-V7)))</f>
        <v>22</v>
      </c>
      <c r="O8" s="14">
        <f>N8*VLOOKUP('Données projet'!$B$9,Paramètres!$A$1:$I$89,3,0)*VLOOKUP('Données projet'!$B$9,Paramètres!$A$1:$I$89,5,0)</f>
        <v>19.9056</v>
      </c>
      <c r="P8" s="14">
        <f t="shared" si="33"/>
        <v>6.4762948940833853</v>
      </c>
      <c r="Q8" s="22">
        <f t="shared" si="2"/>
        <v>45.948466940528562</v>
      </c>
      <c r="R8" s="62">
        <f t="shared" si="0"/>
        <v>308.72624471830636</v>
      </c>
      <c r="S8" s="62">
        <f ca="1">AVERAGE(OFFSET($R$3,0,0,'Données projet'!$E$9+1,1))-AVERAGE(OFFSET($H$3,0,0,'Données projet'!$E$9+1,1))</f>
        <v>244.82163392718377</v>
      </c>
      <c r="T8" s="62">
        <f t="shared" si="34"/>
        <v>342.30266518164211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2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266.92316437994907</v>
      </c>
      <c r="AN8" s="62">
        <f ca="1">AVERAGE(OFFSET($AM$3,0,0,'Données projet'!$E$10+1,1))-AVERAGE(OFFSET($H$3,0,0,'Données projet'!$E$10+1,1))</f>
        <v>396.92963589781414</v>
      </c>
      <c r="AO8" s="62">
        <f t="shared" si="36"/>
        <v>294.38852181137639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5.5909090909090908</v>
      </c>
      <c r="BD8" s="13">
        <f>IF('Données projet'!$A$88&gt;35,BD7+BC8-BL7,IF(A8&lt;'Données projet'!$A$88,$BA$205^A8,IF(A8='Données projet'!$A$88,'Données projet'!$B$88,BD7+BC8-BL7)))</f>
        <v>2.9852343786852105</v>
      </c>
      <c r="BE8" s="14">
        <f>BD8*VLOOKUP('Données projet'!$B$11,Paramètres!$A$1:$I$89,3,0)*VLOOKUP('Données projet'!$B$11,Paramètres!$A$1:$I$89,5,0)</f>
        <v>1.785170158453756</v>
      </c>
      <c r="BF8" s="14">
        <f t="shared" si="37"/>
        <v>0.7690174164926461</v>
      </c>
      <c r="BG8" s="22">
        <f t="shared" si="7"/>
        <v>4.4485433596983173</v>
      </c>
      <c r="BH8" s="62">
        <f t="shared" si="8"/>
        <v>267.22632113747608</v>
      </c>
      <c r="BI8" s="62">
        <f ca="1">AVERAGE(OFFSET($BH$3,0,0,'Données projet'!$E$11+1,1))-AVERAGE(OFFSET($H$3,0,0,'Données projet'!$E$11+1,1))</f>
        <v>362.81292020448933</v>
      </c>
      <c r="BJ8" s="62">
        <f t="shared" si="38"/>
        <v>292.26503163353146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8.4</v>
      </c>
      <c r="N9" s="14">
        <f>IF('Données projet'!$A$36&gt;35,N8+M9-V8,IF(A9&lt;'Données projet'!$A$36,$K$205^A9,IF(A9='Données projet'!$A$36,'Données projet'!$B$36,N8+M9-V8)))</f>
        <v>28.4</v>
      </c>
      <c r="O9" s="14">
        <f>N9*VLOOKUP('Données projet'!$B$9,Paramètres!$A$1:$I$89,3,0)*VLOOKUP('Données projet'!$B$9,Paramètres!$A$1:$I$89,5,0)</f>
        <v>25.696319999999996</v>
      </c>
      <c r="P9" s="14">
        <f t="shared" si="33"/>
        <v>8.1154764225027609</v>
      </c>
      <c r="Q9" s="22">
        <f t="shared" si="2"/>
        <v>58.88887876919231</v>
      </c>
      <c r="R9" s="62">
        <f t="shared" si="0"/>
        <v>322.88887876919233</v>
      </c>
      <c r="S9" s="62">
        <f ca="1">AVERAGE(OFFSET($R$3,0,0,'Données projet'!$E$9+1,1))-AVERAGE(OFFSET($H$3,0,0,'Données projet'!$E$9+1,1))</f>
        <v>244.82163392718377</v>
      </c>
      <c r="T9" s="62">
        <f t="shared" si="34"/>
        <v>342.30266518164211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269.29251243621979</v>
      </c>
      <c r="AN9" s="62">
        <f ca="1">AVERAGE(OFFSET($AM$3,0,0,'Données projet'!$E$10+1,1))-AVERAGE(OFFSET($H$3,0,0,'Données projet'!$E$10+1,1))</f>
        <v>396.92963589781414</v>
      </c>
      <c r="AO9" s="62">
        <f t="shared" si="36"/>
        <v>294.38852181137639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5.5909090909090908</v>
      </c>
      <c r="BD9" s="13">
        <f>IF('Données projet'!$A$88&gt;35,BD8+BC9-BL8,IF(A9&lt;'Données projet'!$A$88,$BA$205^A9,IF(A9='Données projet'!$A$88,'Données projet'!$B$88,BD8+BC9-BL8)))</f>
        <v>3.7151309075081826</v>
      </c>
      <c r="BE9" s="14">
        <f>BD9*VLOOKUP('Données projet'!$B$11,Paramètres!$A$1:$I$89,3,0)*VLOOKUP('Données projet'!$B$11,Paramètres!$A$1:$I$89,5,0)</f>
        <v>2.2216482826898933</v>
      </c>
      <c r="BF9" s="14">
        <f t="shared" si="37"/>
        <v>0.93298436230530435</v>
      </c>
      <c r="BG9" s="22">
        <f t="shared" si="7"/>
        <v>5.4943185233666361</v>
      </c>
      <c r="BH9" s="62">
        <f t="shared" si="8"/>
        <v>269.49431852336664</v>
      </c>
      <c r="BI9" s="62">
        <f ca="1">AVERAGE(OFFSET($BH$3,0,0,'Données projet'!$E$11+1,1))-AVERAGE(OFFSET($H$3,0,0,'Données projet'!$E$11+1,1))</f>
        <v>362.81292020448933</v>
      </c>
      <c r="BJ9" s="62">
        <f t="shared" si="38"/>
        <v>292.26503163353146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8.4</v>
      </c>
      <c r="N10" s="14">
        <f>IF('Données projet'!$A$36&gt;35,N9+M10-V9,IF(A10&lt;'Données projet'!$A$36,$K$205^A10,IF(A10='Données projet'!$A$36,'Données projet'!$B$36,N9+M10-V9)))</f>
        <v>36.799999999999997</v>
      </c>
      <c r="O10" s="14">
        <f>N10*VLOOKUP('Données projet'!$B$9,Paramètres!$A$1:$I$89,3,0)*VLOOKUP('Données projet'!$B$9,Paramètres!$A$1:$I$89,5,0)</f>
        <v>33.296639999999996</v>
      </c>
      <c r="P10" s="14">
        <f t="shared" si="33"/>
        <v>10.203403646313538</v>
      </c>
      <c r="Q10" s="22">
        <f t="shared" si="2"/>
        <v>75.762576017329408</v>
      </c>
      <c r="R10" s="62">
        <f t="shared" si="0"/>
        <v>340.98479823955165</v>
      </c>
      <c r="S10" s="62">
        <f ca="1">AVERAGE(OFFSET($R$3,0,0,'Données projet'!$E$9+1,1))-AVERAGE(OFFSET($H$3,0,0,'Données projet'!$E$9+1,1))</f>
        <v>244.82163392718377</v>
      </c>
      <c r="T10" s="62">
        <f t="shared" si="34"/>
        <v>342.30266518164211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271.98052129859713</v>
      </c>
      <c r="AN10" s="62">
        <f ca="1">AVERAGE(OFFSET($AM$3,0,0,'Données projet'!$E$10+1,1))-AVERAGE(OFFSET($H$3,0,0,'Données projet'!$E$10+1,1))</f>
        <v>396.92963589781414</v>
      </c>
      <c r="AO10" s="62">
        <f t="shared" si="36"/>
        <v>294.38852181137639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5.5909090909090908</v>
      </c>
      <c r="BD10" s="13">
        <f>IF('Données projet'!$A$88&gt;35,BD9+BC10-BL9,IF(A10&lt;'Données projet'!$A$88,$BA$205^A10,IF(A10='Données projet'!$A$88,'Données projet'!$B$88,BD9+BC10-BL9)))</f>
        <v>4.6234887814743333</v>
      </c>
      <c r="BE10" s="14">
        <f>BD10*VLOOKUP('Données projet'!$B$11,Paramètres!$A$1:$I$89,3,0)*VLOOKUP('Données projet'!$B$11,Paramètres!$A$1:$I$89,5,0)</f>
        <v>2.7648462913216516</v>
      </c>
      <c r="BF10" s="14">
        <f t="shared" si="37"/>
        <v>1.1319117118000401</v>
      </c>
      <c r="BG10" s="22">
        <f t="shared" si="7"/>
        <v>6.7868535221036126</v>
      </c>
      <c r="BH10" s="62">
        <f t="shared" si="8"/>
        <v>272.00907574432586</v>
      </c>
      <c r="BI10" s="62">
        <f ca="1">AVERAGE(OFFSET($BH$3,0,0,'Données projet'!$E$11+1,1))-AVERAGE(OFFSET($H$3,0,0,'Données projet'!$E$11+1,1))</f>
        <v>362.81292020448933</v>
      </c>
      <c r="BJ10" s="62">
        <f t="shared" si="38"/>
        <v>292.26503163353146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8.4</v>
      </c>
      <c r="N11" s="14">
        <f>IF('Données projet'!$A$36&gt;35,N10+M11-V10,IF(A11&lt;'Données projet'!$A$36,$K$205^A11,IF(A11='Données projet'!$A$36,'Données projet'!$B$36,N10+M11-V10)))</f>
        <v>45.199999999999996</v>
      </c>
      <c r="O11" s="14">
        <f>N11*VLOOKUP('Données projet'!$B$9,Paramètres!$A$1:$I$89,3,0)*VLOOKUP('Données projet'!$B$9,Paramètres!$A$1:$I$89,5,0)</f>
        <v>40.896959999999993</v>
      </c>
      <c r="P11" s="14">
        <f t="shared" si="33"/>
        <v>12.236078544211829</v>
      </c>
      <c r="Q11" s="22">
        <f t="shared" si="2"/>
        <v>92.540042131168903</v>
      </c>
      <c r="R11" s="62">
        <f t="shared" si="0"/>
        <v>358.98448657561335</v>
      </c>
      <c r="S11" s="62">
        <f ca="1">AVERAGE(OFFSET($R$3,0,0,'Données projet'!$E$9+1,1))-AVERAGE(OFFSET($H$3,0,0,'Données projet'!$E$9+1,1))</f>
        <v>244.82163392718377</v>
      </c>
      <c r="T11" s="62">
        <f t="shared" si="34"/>
        <v>342.30266518164211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275.07603134727827</v>
      </c>
      <c r="AN11" s="62">
        <f ca="1">AVERAGE(OFFSET($AM$3,0,0,'Données projet'!$E$10+1,1))-AVERAGE(OFFSET($H$3,0,0,'Données projet'!$E$10+1,1))</f>
        <v>396.92963589781414</v>
      </c>
      <c r="AO11" s="62">
        <f t="shared" si="36"/>
        <v>294.38852181137639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5.5909090909090908</v>
      </c>
      <c r="BD11" s="13">
        <f>IF('Données projet'!$A$88&gt;35,BD10+BC11-BL10,IF(A11&lt;'Données projet'!$A$88,$BA$205^A11,IF(A11='Données projet'!$A$88,'Données projet'!$B$88,BD10+BC11-BL10)))</f>
        <v>5.7539422013952093</v>
      </c>
      <c r="BE11" s="14">
        <f>BD11*VLOOKUP('Données projet'!$B$11,Paramètres!$A$1:$I$89,3,0)*VLOOKUP('Données projet'!$B$11,Paramètres!$A$1:$I$89,5,0)</f>
        <v>3.4408574364343356</v>
      </c>
      <c r="BF11" s="14">
        <f t="shared" si="37"/>
        <v>1.3732535882427113</v>
      </c>
      <c r="BG11" s="22">
        <f t="shared" si="7"/>
        <v>8.3845767013125236</v>
      </c>
      <c r="BH11" s="62">
        <f t="shared" si="8"/>
        <v>274.829021145757</v>
      </c>
      <c r="BI11" s="62">
        <f ca="1">AVERAGE(OFFSET($BH$3,0,0,'Données projet'!$E$11+1,1))-AVERAGE(OFFSET($H$3,0,0,'Données projet'!$E$11+1,1))</f>
        <v>362.81292020448933</v>
      </c>
      <c r="BJ11" s="62">
        <f t="shared" si="38"/>
        <v>292.26503163353146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8.4</v>
      </c>
      <c r="N12" s="14">
        <f>IF('Données projet'!$A$36&gt;35,N11+M12-V11,IF(A12&lt;'Données projet'!$A$36,$K$205^A12,IF(A12='Données projet'!$A$36,'Données projet'!$B$36,N11+M12-V11)))</f>
        <v>53.599999999999994</v>
      </c>
      <c r="O12" s="14">
        <f>N12*VLOOKUP('Données projet'!$B$9,Paramètres!$A$1:$I$89,3,0)*VLOOKUP('Données projet'!$B$9,Paramètres!$A$1:$I$89,5,0)</f>
        <v>48.497279999999989</v>
      </c>
      <c r="P12" s="14">
        <f t="shared" si="33"/>
        <v>14.224989131913244</v>
      </c>
      <c r="Q12" s="22">
        <f t="shared" si="2"/>
        <v>109.24128540474889</v>
      </c>
      <c r="R12" s="62">
        <f t="shared" si="0"/>
        <v>376.90795207141559</v>
      </c>
      <c r="S12" s="62">
        <f ca="1">AVERAGE(OFFSET($R$3,0,0,'Données projet'!$E$9+1,1))-AVERAGE(OFFSET($H$3,0,0,'Données projet'!$E$9+1,1))</f>
        <v>244.82163392718377</v>
      </c>
      <c r="T12" s="62">
        <f t="shared" si="34"/>
        <v>342.30266518164211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278.6927340463364</v>
      </c>
      <c r="AN12" s="62">
        <f ca="1">AVERAGE(OFFSET($AM$3,0,0,'Données projet'!$E$10+1,1))-AVERAGE(OFFSET($H$3,0,0,'Données projet'!$E$10+1,1))</f>
        <v>396.92963589781414</v>
      </c>
      <c r="AO12" s="62">
        <f t="shared" si="36"/>
        <v>294.38852181137639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5.5909090909090908</v>
      </c>
      <c r="BD12" s="13">
        <f>IF('Données projet'!$A$88&gt;35,BD11+BC12-BL11,IF(A12&lt;'Données projet'!$A$88,$BA$205^A12,IF(A12='Données projet'!$A$88,'Données projet'!$B$88,BD11+BC12-BL11)))</f>
        <v>7.1607940284521145</v>
      </c>
      <c r="BE12" s="14">
        <f>BD12*VLOOKUP('Données projet'!$B$11,Paramètres!$A$1:$I$89,3,0)*VLOOKUP('Données projet'!$B$11,Paramètres!$A$1:$I$89,5,0)</f>
        <v>4.2821548290143649</v>
      </c>
      <c r="BF12" s="14">
        <f t="shared" si="37"/>
        <v>1.6660534544894132</v>
      </c>
      <c r="BG12" s="22">
        <f t="shared" si="7"/>
        <v>10.359796093769079</v>
      </c>
      <c r="BH12" s="62">
        <f t="shared" si="8"/>
        <v>278.02646276043578</v>
      </c>
      <c r="BI12" s="62">
        <f ca="1">AVERAGE(OFFSET($BH$3,0,0,'Données projet'!$E$11+1,1))-AVERAGE(OFFSET($H$3,0,0,'Données projet'!$E$11+1,1))</f>
        <v>362.81292020448933</v>
      </c>
      <c r="BJ12" s="62">
        <f t="shared" si="38"/>
        <v>292.26503163353146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62</v>
      </c>
      <c r="L13" s="13">
        <f>VLOOKUP(A13,'Données projet'!$A$35:$I$55,9,0)</f>
        <v>8.4</v>
      </c>
      <c r="M13" s="13">
        <f t="array" ref="M13">INDEX(L:L,MIN(IF(ISNUMBER(L13:L209),ROW(L13:L209),"")))</f>
        <v>8.4</v>
      </c>
      <c r="N13" s="14">
        <f>IF('Données projet'!$A$36&gt;35,N12+M13-V12,IF(A13&lt;'Données projet'!$A$36,$K$205^A13,IF(A13='Données projet'!$A$36,'Données projet'!$B$36,N12+M13-V12)))</f>
        <v>61.999999999999993</v>
      </c>
      <c r="O13" s="14">
        <f>N13*VLOOKUP('Données projet'!$B$9,Paramètres!$A$1:$I$89,3,0)*VLOOKUP('Données projet'!$B$9,Paramètres!$A$1:$I$89,5,0)</f>
        <v>56.097599999999993</v>
      </c>
      <c r="P13" s="14">
        <f t="shared" si="33"/>
        <v>16.177791426098278</v>
      </c>
      <c r="Q13" s="22">
        <f t="shared" si="2"/>
        <v>125.87964006712114</v>
      </c>
      <c r="R13" s="62">
        <f t="shared" si="0"/>
        <v>394.76852895601002</v>
      </c>
      <c r="S13" s="62">
        <f ca="1">AVERAGE(OFFSET($R$3,0,0,'Données projet'!$E$9+1,1))-AVERAGE(OFFSET($H$3,0,0,'Données projet'!$E$9+1,1))</f>
        <v>244.82163392718377</v>
      </c>
      <c r="T13" s="62">
        <f t="shared" si="34"/>
        <v>342.30266518164211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15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282.97614497005429</v>
      </c>
      <c r="AN13" s="62">
        <f ca="1">AVERAGE(OFFSET($AM$3,0,0,'Données projet'!$E$10+1,1))-AVERAGE(OFFSET($H$3,0,0,'Données projet'!$E$10+1,1))</f>
        <v>396.92963589781414</v>
      </c>
      <c r="AO13" s="62">
        <f t="shared" si="36"/>
        <v>294.38852181137639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5.5909090909090908</v>
      </c>
      <c r="BD13" s="13">
        <f>IF('Données projet'!$A$88&gt;35,BD12+BC13-BL12,IF(A13&lt;'Données projet'!$A$88,$BA$205^A13,IF(A13='Données projet'!$A$88,'Données projet'!$B$88,BD12+BC13-BL12)))</f>
        <v>8.9116242956840761</v>
      </c>
      <c r="BE13" s="14">
        <f>BD13*VLOOKUP('Données projet'!$B$11,Paramètres!$A$1:$I$89,3,0)*VLOOKUP('Données projet'!$B$11,Paramètres!$A$1:$I$89,5,0)</f>
        <v>5.3291513288190782</v>
      </c>
      <c r="BF13" s="14">
        <f t="shared" si="37"/>
        <v>2.0212829858817885</v>
      </c>
      <c r="BG13" s="22">
        <f t="shared" si="7"/>
        <v>12.802006431437341</v>
      </c>
      <c r="BH13" s="62">
        <f t="shared" si="8"/>
        <v>281.69089532032621</v>
      </c>
      <c r="BI13" s="62">
        <f ca="1">AVERAGE(OFFSET($BH$3,0,0,'Données projet'!$E$11+1,1))-AVERAGE(OFFSET($H$3,0,0,'Données projet'!$E$11+1,1))</f>
        <v>362.81292020448933</v>
      </c>
      <c r="BJ13" s="62">
        <f t="shared" si="38"/>
        <v>292.26503163353146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8.4</v>
      </c>
      <c r="N14" s="14">
        <f>IF('Données projet'!$A$36&gt;35,N13+M14-V13,IF(A14&lt;'Données projet'!$A$36,$K$205^A14,IF(A14='Données projet'!$A$36,'Données projet'!$B$36,N13+M14-V13)))</f>
        <v>55.399999999999991</v>
      </c>
      <c r="O14" s="14">
        <f>N14*VLOOKUP('Données projet'!$B$9,Paramètres!$A$1:$I$89,3,0)*VLOOKUP('Données projet'!$B$9,Paramètres!$A$1:$I$89,5,0)</f>
        <v>50.125919999999986</v>
      </c>
      <c r="P14" s="14">
        <f t="shared" si="33"/>
        <v>14.646274290627822</v>
      </c>
      <c r="Q14" s="22">
        <f t="shared" si="2"/>
        <v>112.81157172284342</v>
      </c>
      <c r="R14" s="62">
        <f t="shared" si="0"/>
        <v>382.92268283395458</v>
      </c>
      <c r="S14" s="62">
        <f ca="1">AVERAGE(OFFSET($R$3,0,0,'Données projet'!$E$9+1,1))-AVERAGE(OFFSET($H$3,0,0,'Données projet'!$E$9+1,1))</f>
        <v>244.82163392718377</v>
      </c>
      <c r="T14" s="62">
        <f t="shared" si="34"/>
        <v>342.30266518164211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288.11253895675651</v>
      </c>
      <c r="AN14" s="62">
        <f ca="1">AVERAGE(OFFSET($AM$3,0,0,'Données projet'!$E$10+1,1))-AVERAGE(OFFSET($H$3,0,0,'Données projet'!$E$10+1,1))</f>
        <v>396.92963589781414</v>
      </c>
      <c r="AO14" s="62">
        <f t="shared" si="36"/>
        <v>294.38852181137639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5.5909090909090908</v>
      </c>
      <c r="BD14" s="13">
        <f>IF('Données projet'!$A$88&gt;35,BD13+BC14-BL13,IF(A14&lt;'Données projet'!$A$88,$BA$205^A14,IF(A14='Données projet'!$A$88,'Données projet'!$B$88,BD13+BC14-BL13)))</f>
        <v>11.090536506409412</v>
      </c>
      <c r="BE14" s="14">
        <f>BD14*VLOOKUP('Données projet'!$B$11,Paramètres!$A$1:$I$89,3,0)*VLOOKUP('Données projet'!$B$11,Paramètres!$A$1:$I$89,5,0)</f>
        <v>6.6321408308328289</v>
      </c>
      <c r="BF14" s="14">
        <f t="shared" si="37"/>
        <v>2.4522531963221348</v>
      </c>
      <c r="BG14" s="22">
        <f t="shared" si="7"/>
        <v>15.821986263961561</v>
      </c>
      <c r="BH14" s="62">
        <f t="shared" si="8"/>
        <v>285.93309737507269</v>
      </c>
      <c r="BI14" s="62">
        <f ca="1">AVERAGE(OFFSET($BH$3,0,0,'Données projet'!$E$11+1,1))-AVERAGE(OFFSET($H$3,0,0,'Données projet'!$E$11+1,1))</f>
        <v>362.81292020448933</v>
      </c>
      <c r="BJ14" s="62">
        <f t="shared" si="38"/>
        <v>292.26503163353146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8.4</v>
      </c>
      <c r="N15" s="14">
        <f>IF('Données projet'!$A$36&gt;35,N14+M15-V14,IF(A15&lt;'Données projet'!$A$36,$K$205^A15,IF(A15='Données projet'!$A$36,'Données projet'!$B$36,N14+M15-V14)))</f>
        <v>63.79999999999999</v>
      </c>
      <c r="O15" s="14">
        <f>N15*VLOOKUP('Données projet'!$B$9,Paramètres!$A$1:$I$89,3,0)*VLOOKUP('Données projet'!$B$9,Paramètres!$A$1:$I$89,5,0)</f>
        <v>57.72623999999999</v>
      </c>
      <c r="P15" s="14">
        <f t="shared" si="33"/>
        <v>16.59210497713789</v>
      </c>
      <c r="Q15" s="22">
        <f t="shared" si="2"/>
        <v>129.43778416851515</v>
      </c>
      <c r="R15" s="62">
        <f t="shared" si="0"/>
        <v>400.77111750184849</v>
      </c>
      <c r="S15" s="62">
        <f ca="1">AVERAGE(OFFSET($R$3,0,0,'Données projet'!$E$9+1,1))-AVERAGE(OFFSET($H$3,0,0,'Données projet'!$E$9+1,1))</f>
        <v>244.82163392718377</v>
      </c>
      <c r="T15" s="62">
        <f t="shared" si="34"/>
        <v>342.30266518164211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294.3404009375538</v>
      </c>
      <c r="AN15" s="62">
        <f ca="1">AVERAGE(OFFSET($AM$3,0,0,'Données projet'!$E$10+1,1))-AVERAGE(OFFSET($H$3,0,0,'Données projet'!$E$10+1,1))</f>
        <v>396.92963589781414</v>
      </c>
      <c r="AO15" s="62">
        <f t="shared" si="36"/>
        <v>294.38852181137639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5.5909090909090908</v>
      </c>
      <c r="BD15" s="13">
        <f>IF('Données projet'!$A$88&gt;35,BD14+BC15-BL14,IF(A15&lt;'Données projet'!$A$88,$BA$205^A15,IF(A15='Données projet'!$A$88,'Données projet'!$B$88,BD14+BC15-BL14)))</f>
        <v>13.802197659922571</v>
      </c>
      <c r="BE15" s="14">
        <f>BD15*VLOOKUP('Données projet'!$B$11,Paramètres!$A$1:$I$89,3,0)*VLOOKUP('Données projet'!$B$11,Paramètres!$A$1:$I$89,5,0)</f>
        <v>8.2537142006336985</v>
      </c>
      <c r="BF15" s="14">
        <f t="shared" si="37"/>
        <v>2.9751132230743558</v>
      </c>
      <c r="BG15" s="22">
        <f t="shared" si="7"/>
        <v>19.556874429624859</v>
      </c>
      <c r="BH15" s="62">
        <f t="shared" si="8"/>
        <v>290.8902077629582</v>
      </c>
      <c r="BI15" s="62">
        <f ca="1">AVERAGE(OFFSET($BH$3,0,0,'Données projet'!$E$11+1,1))-AVERAGE(OFFSET($H$3,0,0,'Données projet'!$E$11+1,1))</f>
        <v>362.81292020448933</v>
      </c>
      <c r="BJ15" s="62">
        <f t="shared" si="38"/>
        <v>292.26503163353146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8.4</v>
      </c>
      <c r="N16" s="14">
        <f>IF('Données projet'!$A$36&gt;35,N15+M16-V15,IF(A16&lt;'Données projet'!$A$36,$K$205^A16,IF(A16='Données projet'!$A$36,'Données projet'!$B$36,N15+M16-V15)))</f>
        <v>72.199999999999989</v>
      </c>
      <c r="O16" s="14">
        <f>N16*VLOOKUP('Données projet'!$B$9,Paramètres!$A$1:$I$89,3,0)*VLOOKUP('Données projet'!$B$9,Paramètres!$A$1:$I$89,5,0)</f>
        <v>65.326559999999986</v>
      </c>
      <c r="P16" s="14">
        <f t="shared" si="33"/>
        <v>18.508251950337144</v>
      </c>
      <c r="Q16" s="22">
        <f t="shared" si="2"/>
        <v>146.0122974801705</v>
      </c>
      <c r="R16" s="62">
        <f t="shared" si="0"/>
        <v>418.56785303572605</v>
      </c>
      <c r="S16" s="62">
        <f ca="1">AVERAGE(OFFSET($R$3,0,0,'Données projet'!$E$9+1,1))-AVERAGE(OFFSET($H$3,0,0,'Données projet'!$E$9+1,1))</f>
        <v>244.82163392718377</v>
      </c>
      <c r="T16" s="62">
        <f t="shared" si="34"/>
        <v>342.30266518164211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301.9651025183199</v>
      </c>
      <c r="AN16" s="62">
        <f ca="1">AVERAGE(OFFSET($AM$3,0,0,'Données projet'!$E$10+1,1))-AVERAGE(OFFSET($H$3,0,0,'Données projet'!$E$10+1,1))</f>
        <v>396.92963589781414</v>
      </c>
      <c r="AO16" s="62">
        <f t="shared" si="36"/>
        <v>294.38852181137639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5.5909090909090908</v>
      </c>
      <c r="BD16" s="13">
        <f>IF('Données projet'!$A$88&gt;35,BD15+BC16-BL15,IF(A16&lt;'Données projet'!$A$88,$BA$205^A16,IF(A16='Données projet'!$A$88,'Données projet'!$B$88,BD15+BC16-BL15)))</f>
        <v>17.17686607257264</v>
      </c>
      <c r="BE16" s="14">
        <f>BD16*VLOOKUP('Données projet'!$B$11,Paramètres!$A$1:$I$89,3,0)*VLOOKUP('Données projet'!$B$11,Paramètres!$A$1:$I$89,5,0)</f>
        <v>10.27176591139844</v>
      </c>
      <c r="BF16" s="14">
        <f t="shared" si="37"/>
        <v>3.609455460548272</v>
      </c>
      <c r="BG16" s="22">
        <f t="shared" si="7"/>
        <v>24.176460556140523</v>
      </c>
      <c r="BH16" s="62">
        <f t="shared" si="8"/>
        <v>296.73201611169605</v>
      </c>
      <c r="BI16" s="62">
        <f ca="1">AVERAGE(OFFSET($BH$3,0,0,'Données projet'!$E$11+1,1))-AVERAGE(OFFSET($H$3,0,0,'Données projet'!$E$11+1,1))</f>
        <v>362.81292020448933</v>
      </c>
      <c r="BJ16" s="62">
        <f t="shared" si="38"/>
        <v>292.26503163353146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8.4</v>
      </c>
      <c r="N17" s="14">
        <f>IF('Données projet'!$A$36&gt;35,N16+M17-V16,IF(A17&lt;'Données projet'!$A$36,$K$205^A17,IF(A17='Données projet'!$A$36,'Données projet'!$B$36,N16+M17-V16)))</f>
        <v>80.599999999999994</v>
      </c>
      <c r="O17" s="14">
        <f>N17*VLOOKUP('Données projet'!$B$9,Paramètres!$A$1:$I$89,3,0)*VLOOKUP('Données projet'!$B$9,Paramètres!$A$1:$I$89,5,0)</f>
        <v>72.926879999999983</v>
      </c>
      <c r="P17" s="14">
        <f t="shared" si="33"/>
        <v>20.398563182833673</v>
      </c>
      <c r="Q17" s="22">
        <f t="shared" si="2"/>
        <v>162.54181354343527</v>
      </c>
      <c r="R17" s="62">
        <f t="shared" si="0"/>
        <v>436.31959132121301</v>
      </c>
      <c r="S17" s="62">
        <f ca="1">AVERAGE(OFFSET($R$3,0,0,'Données projet'!$E$9+1,1))-AVERAGE(OFFSET($H$3,0,0,'Données projet'!$E$9+1,1))</f>
        <v>244.82163392718377</v>
      </c>
      <c r="T17" s="62">
        <f t="shared" si="34"/>
        <v>342.30266518164211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311.37771528134829</v>
      </c>
      <c r="AN17" s="62">
        <f ca="1">AVERAGE(OFFSET($AM$3,0,0,'Données projet'!$E$10+1,1))-AVERAGE(OFFSET($H$3,0,0,'Données projet'!$E$10+1,1))</f>
        <v>396.92963589781414</v>
      </c>
      <c r="AO17" s="62">
        <f t="shared" si="36"/>
        <v>294.38852181137639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5.5909090909090908</v>
      </c>
      <c r="BD17" s="13">
        <f>IF('Données projet'!$A$88&gt;35,BD16+BC17-BL16,IF(A17&lt;'Données projet'!$A$88,$BA$205^A17,IF(A17='Données projet'!$A$88,'Données projet'!$B$88,BD16+BC17-BL16)))</f>
        <v>21.376648512419013</v>
      </c>
      <c r="BE17" s="14">
        <f>BD17*VLOOKUP('Données projet'!$B$11,Paramètres!$A$1:$I$89,3,0)*VLOOKUP('Données projet'!$B$11,Paramètres!$A$1:$I$89,5,0)</f>
        <v>12.783235810426572</v>
      </c>
      <c r="BF17" s="14">
        <f t="shared" si="37"/>
        <v>4.3790497183898731</v>
      </c>
      <c r="BG17" s="22">
        <f t="shared" si="7"/>
        <v>29.890980629355308</v>
      </c>
      <c r="BH17" s="62">
        <f t="shared" si="8"/>
        <v>303.66875840713305</v>
      </c>
      <c r="BI17" s="62">
        <f ca="1">AVERAGE(OFFSET($BH$3,0,0,'Données projet'!$E$11+1,1))-AVERAGE(OFFSET($H$3,0,0,'Données projet'!$E$11+1,1))</f>
        <v>362.81292020448933</v>
      </c>
      <c r="BJ17" s="62">
        <f t="shared" si="38"/>
        <v>292.26503163353146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89</v>
      </c>
      <c r="L18" s="13">
        <f>VLOOKUP(A18,'Données projet'!$A$35:$I$55,9,0)</f>
        <v>8.4</v>
      </c>
      <c r="M18" s="13">
        <f t="array" ref="M18">INDEX(L:L,MIN(IF(ISNUMBER(L18:L214),ROW(L18:L214),"")))</f>
        <v>8.4</v>
      </c>
      <c r="N18" s="14">
        <f>IF('Données projet'!$A$36&gt;35,N17+M18-V17,IF(A18&lt;'Données projet'!$A$36,$K$205^A18,IF(A18='Données projet'!$A$36,'Données projet'!$B$36,N17+M18-V17)))</f>
        <v>89</v>
      </c>
      <c r="O18" s="14">
        <f>N18*VLOOKUP('Données projet'!$B$9,Paramètres!$A$1:$I$89,3,0)*VLOOKUP('Données projet'!$B$9,Paramètres!$A$1:$I$89,5,0)</f>
        <v>80.527199999999993</v>
      </c>
      <c r="P18" s="14">
        <f t="shared" si="33"/>
        <v>22.266037950985503</v>
      </c>
      <c r="Q18" s="22">
        <f t="shared" si="2"/>
        <v>179.03155609796639</v>
      </c>
      <c r="R18" s="62">
        <f t="shared" si="0"/>
        <v>454.03155609796636</v>
      </c>
      <c r="S18" s="62">
        <f ca="1">AVERAGE(OFFSET($R$3,0,0,'Données projet'!$E$9+1,1))-AVERAGE(OFFSET($H$3,0,0,'Données projet'!$E$9+1,1))</f>
        <v>244.82163392718377</v>
      </c>
      <c r="T18" s="62">
        <f t="shared" si="34"/>
        <v>342.30266518164211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13</v>
      </c>
      <c r="W18" s="17">
        <f>IF(ISNA(VLOOKUP(A18,'Données projet'!$A$35:$I$55,5,0)),0%,VLOOKUP(A18,'Données projet'!$A$35:$I$55,5,0)*VLOOKUP('Données projet'!$B$9,Paramètres!$A$1:$I$89,7,0))</f>
        <v>0.06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0.78017908753310239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0.78017908753310239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323.07912961223798</v>
      </c>
      <c r="AN18" s="62">
        <f ca="1">AVERAGE(OFFSET($AM$3,0,0,'Données projet'!$E$10+1,1))-AVERAGE(OFFSET($H$3,0,0,'Données projet'!$E$10+1,1))</f>
        <v>396.92963589781414</v>
      </c>
      <c r="AO18" s="62">
        <f t="shared" si="36"/>
        <v>294.38852181137639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5.5909090909090908</v>
      </c>
      <c r="BD18" s="13">
        <f>IF('Données projet'!$A$88&gt;35,BD17+BC18-BL17,IF(A18&lt;'Données projet'!$A$88,$BA$205^A18,IF(A18='Données projet'!$A$88,'Données projet'!$B$88,BD17+BC18-BL17)))</f>
        <v>26.603287217402478</v>
      </c>
      <c r="BE18" s="14">
        <f>BD18*VLOOKUP('Données projet'!$B$11,Paramètres!$A$1:$I$89,3,0)*VLOOKUP('Données projet'!$B$11,Paramètres!$A$1:$I$89,5,0)</f>
        <v>15.908765756006684</v>
      </c>
      <c r="BF18" s="14">
        <f t="shared" si="37"/>
        <v>5.312733913945455</v>
      </c>
      <c r="BG18" s="22">
        <f t="shared" si="7"/>
        <v>36.960778591833304</v>
      </c>
      <c r="BH18" s="62">
        <f t="shared" si="8"/>
        <v>311.96077859183333</v>
      </c>
      <c r="BI18" s="62">
        <f ca="1">AVERAGE(OFFSET($BH$3,0,0,'Données projet'!$E$11+1,1))-AVERAGE(OFFSET($H$3,0,0,'Données projet'!$E$11+1,1))</f>
        <v>362.81292020448933</v>
      </c>
      <c r="BJ18" s="62">
        <f t="shared" si="38"/>
        <v>292.26503163353146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7.6</v>
      </c>
      <c r="N19" s="14">
        <f>IF('Données projet'!$A$36&gt;35,N18+M19-V18,IF(A19&lt;'Données projet'!$A$36,$K$205^A19,IF(A19='Données projet'!$A$36,'Données projet'!$B$36,N18+M19-V18)))</f>
        <v>83.6</v>
      </c>
      <c r="O19" s="14">
        <f>N19*VLOOKUP('Données projet'!$B$9,Paramètres!$A$1:$I$89,3,0)*VLOOKUP('Données projet'!$B$9,Paramètres!$A$1:$I$89,5,0)</f>
        <v>75.641279999999995</v>
      </c>
      <c r="P19" s="14">
        <f t="shared" si="33"/>
        <v>21.068004470152093</v>
      </c>
      <c r="Q19" s="22">
        <f t="shared" si="2"/>
        <v>168.4353371188482</v>
      </c>
      <c r="R19" s="62">
        <f t="shared" si="0"/>
        <v>444.6575593410704</v>
      </c>
      <c r="S19" s="62">
        <f ca="1">AVERAGE(OFFSET($R$3,0,0,'Données projet'!$E$9+1,1))-AVERAGE(OFFSET($H$3,0,0,'Données projet'!$E$9+1,1))</f>
        <v>244.82163392718377</v>
      </c>
      <c r="T19" s="62">
        <f t="shared" si="34"/>
        <v>342.30266518164211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0.76488025148883421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0.76488025148883421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337.71097882304434</v>
      </c>
      <c r="AN19" s="62">
        <f ca="1">AVERAGE(OFFSET($AM$3,0,0,'Données projet'!$E$10+1,1))-AVERAGE(OFFSET($H$3,0,0,'Données projet'!$E$10+1,1))</f>
        <v>396.92963589781414</v>
      </c>
      <c r="AO19" s="62">
        <f t="shared" si="36"/>
        <v>294.38852181137639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5.5909090909090908</v>
      </c>
      <c r="BD19" s="13">
        <f>IF('Données projet'!$A$88&gt;35,BD18+BC19-BL18,IF(A19&lt;'Données projet'!$A$88,$BA$205^A19,IF(A19='Données projet'!$A$88,'Données projet'!$B$88,BD18+BC19-BL18)))</f>
        <v>33.107850856996748</v>
      </c>
      <c r="BE19" s="14">
        <f>BD19*VLOOKUP('Données projet'!$B$11,Paramètres!$A$1:$I$89,3,0)*VLOOKUP('Données projet'!$B$11,Paramètres!$A$1:$I$89,5,0)</f>
        <v>19.798494812484059</v>
      </c>
      <c r="BF19" s="14">
        <f t="shared" si="37"/>
        <v>6.4454946747588586</v>
      </c>
      <c r="BG19" s="22">
        <f t="shared" si="7"/>
        <v>45.70828169028141</v>
      </c>
      <c r="BH19" s="62">
        <f t="shared" si="8"/>
        <v>321.93050391250364</v>
      </c>
      <c r="BI19" s="62">
        <f ca="1">AVERAGE(OFFSET($BH$3,0,0,'Données projet'!$E$11+1,1))-AVERAGE(OFFSET($H$3,0,0,'Données projet'!$E$11+1,1))</f>
        <v>362.81292020448933</v>
      </c>
      <c r="BJ19" s="62">
        <f t="shared" si="38"/>
        <v>292.26503163353146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7.6</v>
      </c>
      <c r="N20" s="14">
        <f>IF('Données projet'!$A$36&gt;35,N19+M20-V19,IF(A20&lt;'Données projet'!$A$36,$K$205^A20,IF(A20='Données projet'!$A$36,'Données projet'!$B$36,N19+M20-V19)))</f>
        <v>91.199999999999989</v>
      </c>
      <c r="O20" s="14">
        <f>N20*VLOOKUP('Données projet'!$B$9,Paramètres!$A$1:$I$89,3,0)*VLOOKUP('Données projet'!$B$9,Paramètres!$A$1:$I$89,5,0)</f>
        <v>82.517759999999981</v>
      </c>
      <c r="P20" s="14">
        <f t="shared" si="33"/>
        <v>22.751674941896663</v>
      </c>
      <c r="Q20" s="22">
        <f t="shared" si="2"/>
        <v>183.34426585713663</v>
      </c>
      <c r="R20" s="62">
        <f t="shared" si="0"/>
        <v>460.78871030158109</v>
      </c>
      <c r="S20" s="62">
        <f ca="1">AVERAGE(OFFSET($R$3,0,0,'Données projet'!$E$9+1,1))-AVERAGE(OFFSET($H$3,0,0,'Données projet'!$E$9+1,1))</f>
        <v>244.82163392718377</v>
      </c>
      <c r="T20" s="62">
        <f t="shared" si="34"/>
        <v>342.30266518164211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0.74988141628802552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0.74988141628802552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356.09529321188012</v>
      </c>
      <c r="AN20" s="62">
        <f ca="1">AVERAGE(OFFSET($AM$3,0,0,'Données projet'!$E$10+1,1))-AVERAGE(OFFSET($H$3,0,0,'Données projet'!$E$10+1,1))</f>
        <v>396.92963589781414</v>
      </c>
      <c r="AO20" s="62">
        <f t="shared" si="36"/>
        <v>294.38852181137639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5.5909090909090908</v>
      </c>
      <c r="BD20" s="13">
        <f>IF('Données projet'!$A$88&gt;35,BD19+BC20-BL19,IF(A20&lt;'Données projet'!$A$88,$BA$205^A20,IF(A20='Données projet'!$A$88,'Données projet'!$B$88,BD19+BC20-BL19)))</f>
        <v>41.202794955809431</v>
      </c>
      <c r="BE20" s="14">
        <f>BD20*VLOOKUP('Données projet'!$B$11,Paramètres!$A$1:$I$89,3,0)*VLOOKUP('Données projet'!$B$11,Paramètres!$A$1:$I$89,5,0)</f>
        <v>24.639271383574041</v>
      </c>
      <c r="BF20" s="14">
        <f t="shared" si="37"/>
        <v>7.8197783429910519</v>
      </c>
      <c r="BG20" s="22">
        <f t="shared" si="7"/>
        <v>56.532844940434195</v>
      </c>
      <c r="BH20" s="62">
        <f t="shared" si="8"/>
        <v>333.97728938487865</v>
      </c>
      <c r="BI20" s="62">
        <f ca="1">AVERAGE(OFFSET($BH$3,0,0,'Données projet'!$E$11+1,1))-AVERAGE(OFFSET($H$3,0,0,'Données projet'!$E$11+1,1))</f>
        <v>362.81292020448933</v>
      </c>
      <c r="BJ20" s="62">
        <f t="shared" si="38"/>
        <v>292.26503163353146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7.6</v>
      </c>
      <c r="N21" s="14">
        <f>IF('Données projet'!$A$36&gt;35,N20+M21-V20,IF(A21&lt;'Données projet'!$A$36,$K$205^A21,IF(A21='Données projet'!$A$36,'Données projet'!$B$36,N20+M21-V20)))</f>
        <v>98.799999999999983</v>
      </c>
      <c r="O21" s="14">
        <f>N21*VLOOKUP('Données projet'!$B$9,Paramètres!$A$1:$I$89,3,0)*VLOOKUP('Données projet'!$B$9,Paramètres!$A$1:$I$89,5,0)</f>
        <v>89.394239999999982</v>
      </c>
      <c r="P21" s="14">
        <f t="shared" si="33"/>
        <v>24.419072895797868</v>
      </c>
      <c r="Q21" s="22">
        <f t="shared" si="2"/>
        <v>198.22485329351457</v>
      </c>
      <c r="R21" s="62">
        <f t="shared" si="0"/>
        <v>476.89151996018126</v>
      </c>
      <c r="S21" s="62">
        <f ca="1">AVERAGE(OFFSET($R$3,0,0,'Données projet'!$E$9+1,1))-AVERAGE(OFFSET($H$3,0,0,'Données projet'!$E$9+1,1))</f>
        <v>244.82163392718377</v>
      </c>
      <c r="T21" s="62">
        <f t="shared" si="34"/>
        <v>342.30266518164211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0.73517669909711847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0.73517669909711847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379.28535416224724</v>
      </c>
      <c r="AN21" s="62">
        <f ca="1">AVERAGE(OFFSET($AM$3,0,0,'Données projet'!$E$10+1,1))-AVERAGE(OFFSET($H$3,0,0,'Données projet'!$E$10+1,1))</f>
        <v>396.92963589781414</v>
      </c>
      <c r="AO21" s="62">
        <f t="shared" si="36"/>
        <v>294.38852181137639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5.5909090909090908</v>
      </c>
      <c r="BD21" s="13">
        <f>IF('Données projet'!$A$88&gt;35,BD20+BC21-BL20,IF(A21&lt;'Données projet'!$A$88,$BA$205^A21,IF(A21='Données projet'!$A$88,'Données projet'!$B$88,BD20+BC21-BL20)))</f>
        <v>51.276971117915458</v>
      </c>
      <c r="BE21" s="14">
        <f>BD21*VLOOKUP('Données projet'!$B$11,Paramètres!$A$1:$I$89,3,0)*VLOOKUP('Données projet'!$B$11,Paramètres!$A$1:$I$89,5,0)</f>
        <v>30.663628728513448</v>
      </c>
      <c r="BF21" s="14">
        <f t="shared" si="37"/>
        <v>9.4870815071768995</v>
      </c>
      <c r="BG21" s="22">
        <f t="shared" si="7"/>
        <v>69.929153660494023</v>
      </c>
      <c r="BH21" s="62">
        <f t="shared" si="8"/>
        <v>348.59582032716071</v>
      </c>
      <c r="BI21" s="62">
        <f ca="1">AVERAGE(OFFSET($BH$3,0,0,'Données projet'!$E$11+1,1))-AVERAGE(OFFSET($H$3,0,0,'Données projet'!$E$11+1,1))</f>
        <v>362.81292020448933</v>
      </c>
      <c r="BJ21" s="62">
        <f t="shared" si="38"/>
        <v>292.26503163353146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7.6</v>
      </c>
      <c r="N22" s="14">
        <f>IF('Données projet'!$A$36&gt;35,N21+M22-V21,IF(A22&lt;'Données projet'!$A$36,$K$205^A22,IF(A22='Données projet'!$A$36,'Données projet'!$B$36,N21+M22-V21)))</f>
        <v>106.39999999999998</v>
      </c>
      <c r="O22" s="14">
        <f>N22*VLOOKUP('Données projet'!$B$9,Paramètres!$A$1:$I$89,3,0)*VLOOKUP('Données projet'!$B$9,Paramètres!$A$1:$I$89,5,0)</f>
        <v>96.270719999999969</v>
      </c>
      <c r="P22" s="14">
        <f t="shared" si="33"/>
        <v>26.071592384845928</v>
      </c>
      <c r="Q22" s="22">
        <f t="shared" si="2"/>
        <v>213.07952740360659</v>
      </c>
      <c r="R22" s="62">
        <f t="shared" si="0"/>
        <v>492.96841629249548</v>
      </c>
      <c r="S22" s="62">
        <f ca="1">AVERAGE(OFFSET($R$3,0,0,'Données projet'!$E$9+1,1))-AVERAGE(OFFSET($H$3,0,0,'Données projet'!$E$9+1,1))</f>
        <v>244.82163392718377</v>
      </c>
      <c r="T22" s="62">
        <f t="shared" si="34"/>
        <v>342.30266518164211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0.72076033244133331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0.72076033244133331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408.63091873093396</v>
      </c>
      <c r="AN22" s="62">
        <f ca="1">AVERAGE(OFFSET($AM$3,0,0,'Données projet'!$E$10+1,1))-AVERAGE(OFFSET($H$3,0,0,'Données projet'!$E$10+1,1))</f>
        <v>396.92963589781414</v>
      </c>
      <c r="AO22" s="62">
        <f t="shared" si="36"/>
        <v>294.38852181137639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5.5909090909090908</v>
      </c>
      <c r="BD22" s="13">
        <f>IF('Données projet'!$A$88&gt;35,BD21+BC22-BL21,IF(A22&lt;'Données projet'!$A$88,$BA$205^A22,IF(A22='Données projet'!$A$88,'Données projet'!$B$88,BD21+BC22-BL21)))</f>
        <v>63.814306040343304</v>
      </c>
      <c r="BE22" s="14">
        <f>BD22*VLOOKUP('Données projet'!$B$11,Paramètres!$A$1:$I$89,3,0)*VLOOKUP('Données projet'!$B$11,Paramètres!$A$1:$I$89,5,0)</f>
        <v>38.160955012125299</v>
      </c>
      <c r="BF22" s="14">
        <f t="shared" si="37"/>
        <v>11.509880661066306</v>
      </c>
      <c r="BG22" s="22">
        <f t="shared" si="7"/>
        <v>86.510038797475374</v>
      </c>
      <c r="BH22" s="62">
        <f t="shared" si="8"/>
        <v>366.39892768636423</v>
      </c>
      <c r="BI22" s="62">
        <f ca="1">AVERAGE(OFFSET($BH$3,0,0,'Données projet'!$E$11+1,1))-AVERAGE(OFFSET($H$3,0,0,'Données projet'!$E$11+1,1))</f>
        <v>362.81292020448933</v>
      </c>
      <c r="BJ22" s="62">
        <f t="shared" si="38"/>
        <v>292.26503163353146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114</v>
      </c>
      <c r="L23" s="13">
        <f>VLOOKUP(A23,'Données projet'!$A$35:$I$55,9,0)</f>
        <v>7.6</v>
      </c>
      <c r="M23" s="13">
        <f t="array" ref="M23">INDEX(L:L,MIN(IF(ISNUMBER(L23:L219),ROW(L23:L219),"")))</f>
        <v>7.6</v>
      </c>
      <c r="N23" s="14">
        <f>IF('Données projet'!$A$36&gt;35,N22+M23-V22,IF(A23&lt;'Données projet'!$A$36,$K$205^A23,IF(A23='Données projet'!$A$36,'Données projet'!$B$36,N22+M23-V22)))</f>
        <v>113.99999999999997</v>
      </c>
      <c r="O23" s="14">
        <f>N23*VLOOKUP('Données projet'!$B$9,Paramètres!$A$1:$I$89,3,0)*VLOOKUP('Données projet'!$B$9,Paramètres!$A$1:$I$89,5,0)</f>
        <v>103.14719999999997</v>
      </c>
      <c r="P23" s="14">
        <f t="shared" si="33"/>
        <v>27.710417026801451</v>
      </c>
      <c r="Q23" s="22">
        <f t="shared" si="2"/>
        <v>227.91034965501248</v>
      </c>
      <c r="R23" s="62">
        <f t="shared" si="0"/>
        <v>509.0214607661236</v>
      </c>
      <c r="S23" s="62">
        <f ca="1">AVERAGE(OFFSET($R$3,0,0,'Données projet'!$E$9+1,1))-AVERAGE(OFFSET($H$3,0,0,'Données projet'!$E$9+1,1))</f>
        <v>244.82163392718377</v>
      </c>
      <c r="T23" s="62">
        <f t="shared" si="34"/>
        <v>342.30266518164211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10</v>
      </c>
      <c r="W23" s="17">
        <f>IF(ISNA(VLOOKUP(A23,'Données projet'!$A$35:$I$55,5,0)),0%,VLOOKUP(A23,'Données projet'!$A$35:$I$55,5,0)*VLOOKUP('Données projet'!$B$9,Paramètres!$A$1:$I$89,7,0))</f>
        <v>0.24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3.1071777005059444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3.1071777005059444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445.86188445423306</v>
      </c>
      <c r="AN23" s="62">
        <f ca="1">AVERAGE(OFFSET($AM$3,0,0,'Données projet'!$E$10+1,1))-AVERAGE(OFFSET($H$3,0,0,'Données projet'!$E$10+1,1))</f>
        <v>396.92963589781414</v>
      </c>
      <c r="AO23" s="62">
        <f t="shared" si="36"/>
        <v>294.38852181137639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5.5909090909090908</v>
      </c>
      <c r="BD23" s="13">
        <f>IF('Données projet'!$A$88&gt;35,BD22+BC23-BL22,IF(A23&lt;'Données projet'!$A$88,$BA$205^A23,IF(A23='Données projet'!$A$88,'Données projet'!$B$88,BD22+BC23-BL22)))</f>
        <v>79.417047587426694</v>
      </c>
      <c r="BE23" s="14">
        <f>BD23*VLOOKUP('Données projet'!$B$11,Paramètres!$A$1:$I$89,3,0)*VLOOKUP('Données projet'!$B$11,Paramètres!$A$1:$I$89,5,0)</f>
        <v>47.49139445728116</v>
      </c>
      <c r="BF23" s="14">
        <f t="shared" si="37"/>
        <v>13.96397329692701</v>
      </c>
      <c r="BG23" s="22">
        <f t="shared" si="7"/>
        <v>107.03476550524589</v>
      </c>
      <c r="BH23" s="62">
        <f t="shared" si="8"/>
        <v>388.14587661635704</v>
      </c>
      <c r="BI23" s="62">
        <f ca="1">AVERAGE(OFFSET($BH$3,0,0,'Données projet'!$E$11+1,1))-AVERAGE(OFFSET($H$3,0,0,'Données projet'!$E$11+1,1))</f>
        <v>362.81292020448933</v>
      </c>
      <c r="BJ23" s="62">
        <f t="shared" si="38"/>
        <v>292.26503163353146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6.4</v>
      </c>
      <c r="N24" s="14">
        <f>IF('Données projet'!$A$36&gt;35,N23+M24-V23,IF(A24&lt;'Données projet'!$A$36,$K$205^A24,IF(A24='Données projet'!$A$36,'Données projet'!$B$36,N23+M24-V23)))</f>
        <v>110.39999999999998</v>
      </c>
      <c r="O24" s="14">
        <f>N24*VLOOKUP('Données projet'!$B$9,Paramètres!$A$1:$I$89,3,0)*VLOOKUP('Données projet'!$B$9,Paramètres!$A$1:$I$89,5,0)</f>
        <v>99.889919999999975</v>
      </c>
      <c r="P24" s="14">
        <f t="shared" si="33"/>
        <v>26.935770825480166</v>
      </c>
      <c r="Q24" s="22">
        <f t="shared" si="2"/>
        <v>220.88807818771124</v>
      </c>
      <c r="R24" s="62">
        <f t="shared" si="0"/>
        <v>503.22141152104456</v>
      </c>
      <c r="S24" s="62">
        <f ca="1">AVERAGE(OFFSET($R$3,0,0,'Données projet'!$E$9+1,1))-AVERAGE(OFFSET($H$3,0,0,'Données projet'!$E$9+1,1))</f>
        <v>244.82163392718377</v>
      </c>
      <c r="T24" s="62">
        <f t="shared" si="34"/>
        <v>342.30266518164211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3.0462478409902856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3.0462478409902856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167.2</v>
      </c>
      <c r="AJ24" s="14">
        <f>AI24*VLOOKUP('Données projet'!$B$10,Paramètres!$A$1:$I$89,3,0)*VLOOKUP('Données projet'!$B$10,Paramètres!$A$1:$I$89,5,0)</f>
        <v>78.249599999999987</v>
      </c>
      <c r="AK24" s="14">
        <f t="shared" si="35"/>
        <v>21.708652740239781</v>
      </c>
      <c r="AL24" s="22">
        <f t="shared" si="4"/>
        <v>174.09395685591758</v>
      </c>
      <c r="AM24" s="62">
        <f t="shared" si="5"/>
        <v>456.42729018925093</v>
      </c>
      <c r="AN24" s="62">
        <f ca="1">AVERAGE(OFFSET($AM$3,0,0,'Données projet'!$E$10+1,1))-AVERAGE(OFFSET($H$3,0,0,'Données projet'!$E$10+1,1))</f>
        <v>396.92963589781414</v>
      </c>
      <c r="AO24" s="62">
        <f t="shared" si="36"/>
        <v>294.38852181137639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5.5909090909090908</v>
      </c>
      <c r="BD24" s="13">
        <f>IF('Données projet'!$A$88&gt;35,BD23+BC24-BL23,IF(A24&lt;'Données projet'!$A$88,$BA$205^A24,IF(A24='Données projet'!$A$88,'Données projet'!$B$88,BD23+BC24-BL23)))</f>
        <v>98.834694582689295</v>
      </c>
      <c r="BE24" s="14">
        <f>BD24*VLOOKUP('Données projet'!$B$11,Paramètres!$A$1:$I$89,3,0)*VLOOKUP('Données projet'!$B$11,Paramètres!$A$1:$I$89,5,0)</f>
        <v>59.103147360448204</v>
      </c>
      <c r="BF24" s="14">
        <f t="shared" si="37"/>
        <v>16.94131815778756</v>
      </c>
      <c r="BG24" s="22">
        <f t="shared" si="7"/>
        <v>132.44411077759398</v>
      </c>
      <c r="BH24" s="62">
        <f t="shared" si="8"/>
        <v>414.77744411092726</v>
      </c>
      <c r="BI24" s="62">
        <f ca="1">AVERAGE(OFFSET($BH$3,0,0,'Données projet'!$E$11+1,1))-AVERAGE(OFFSET($H$3,0,0,'Données projet'!$E$11+1,1))</f>
        <v>362.81292020448933</v>
      </c>
      <c r="BJ24" s="62">
        <f t="shared" si="38"/>
        <v>292.26503163353146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6.4</v>
      </c>
      <c r="N25" s="14">
        <f>IF('Données projet'!$A$36&gt;35,N24+M25-V24,IF(A25&lt;'Données projet'!$A$36,$K$205^A25,IF(A25='Données projet'!$A$36,'Données projet'!$B$36,N24+M25-V24)))</f>
        <v>116.79999999999998</v>
      </c>
      <c r="O25" s="14">
        <f>N25*VLOOKUP('Données projet'!$B$9,Paramètres!$A$1:$I$89,3,0)*VLOOKUP('Données projet'!$B$9,Paramètres!$A$1:$I$89,5,0)</f>
        <v>105.68063999999998</v>
      </c>
      <c r="P25" s="14">
        <f t="shared" si="33"/>
        <v>28.31094923104175</v>
      </c>
      <c r="Q25" s="22">
        <f t="shared" si="2"/>
        <v>233.36868457739766</v>
      </c>
      <c r="R25" s="62">
        <f t="shared" si="0"/>
        <v>516.92424013295317</v>
      </c>
      <c r="S25" s="62">
        <f ca="1">AVERAGE(OFFSET($R$3,0,0,'Données projet'!$E$9+1,1))-AVERAGE(OFFSET($H$3,0,0,'Données projet'!$E$9+1,1))</f>
        <v>244.82163392718377</v>
      </c>
      <c r="T25" s="62">
        <f t="shared" si="34"/>
        <v>342.30266518164211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2.9865127788561843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2.9865127788561843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176.39999999999998</v>
      </c>
      <c r="AJ25" s="14">
        <f>AI25*VLOOKUP('Données projet'!$B$10,Paramètres!$A$1:$I$89,3,0)*VLOOKUP('Données projet'!$B$10,Paramètres!$A$1:$I$89,5,0)</f>
        <v>82.555199999999985</v>
      </c>
      <c r="AK25" s="14">
        <f t="shared" si="35"/>
        <v>22.760796016854769</v>
      </c>
      <c r="AL25" s="22">
        <f t="shared" si="4"/>
        <v>183.42535972935536</v>
      </c>
      <c r="AM25" s="62">
        <f t="shared" si="5"/>
        <v>466.98091528491091</v>
      </c>
      <c r="AN25" s="62">
        <f ca="1">AVERAGE(OFFSET($AM$3,0,0,'Données projet'!$E$10+1,1))-AVERAGE(OFFSET($H$3,0,0,'Données projet'!$E$10+1,1))</f>
        <v>396.92963589781414</v>
      </c>
      <c r="AO25" s="62">
        <f t="shared" si="36"/>
        <v>294.38852181137639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123</v>
      </c>
      <c r="BB25" s="13">
        <f>VLOOKUP(A25,'Données projet'!$A$87:$I$107,9,0)</f>
        <v>5.5909090909090908</v>
      </c>
      <c r="BC25" s="13">
        <f t="array" ref="BC25">INDEX(BB:BB,MIN(IF(ISNUMBER(BB25:BB221),ROW(BB25:BB221),"")))</f>
        <v>5.5909090909090908</v>
      </c>
      <c r="BD25" s="13">
        <f>IF('Données projet'!$A$88&gt;35,BD24+BC25-BL24,IF(A25&lt;'Données projet'!$A$88,$BA$205^A25,IF(A25='Données projet'!$A$88,'Données projet'!$B$88,BD24+BC25-BL24)))</f>
        <v>123</v>
      </c>
      <c r="BE25" s="14">
        <f>BD25*VLOOKUP('Données projet'!$B$11,Paramètres!$A$1:$I$89,3,0)*VLOOKUP('Données projet'!$B$11,Paramètres!$A$1:$I$89,5,0)</f>
        <v>73.554000000000016</v>
      </c>
      <c r="BF25" s="14">
        <f t="shared" si="37"/>
        <v>20.553481077376691</v>
      </c>
      <c r="BG25" s="22">
        <f t="shared" si="7"/>
        <v>163.90386287643108</v>
      </c>
      <c r="BH25" s="62">
        <f t="shared" si="8"/>
        <v>447.45941843198659</v>
      </c>
      <c r="BI25" s="62">
        <f ca="1">AVERAGE(OFFSET($BH$3,0,0,'Données projet'!$E$11+1,1))-AVERAGE(OFFSET($H$3,0,0,'Données projet'!$E$11+1,1))</f>
        <v>362.81292020448933</v>
      </c>
      <c r="BJ25" s="62">
        <f t="shared" si="38"/>
        <v>292.26503163353146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16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1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10.833198622733226</v>
      </c>
      <c r="BS25" s="24">
        <f t="shared" si="9"/>
        <v>10.833198622733226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6.4</v>
      </c>
      <c r="N26" s="14">
        <f>IF('Données projet'!$A$36&gt;35,N25+M26-V25,IF(A26&lt;'Données projet'!$A$36,$K$205^A26,IF(A26='Données projet'!$A$36,'Données projet'!$B$36,N25+M26-V25)))</f>
        <v>123.19999999999999</v>
      </c>
      <c r="O26" s="14">
        <f>N26*VLOOKUP('Données projet'!$B$9,Paramètres!$A$1:$I$89,3,0)*VLOOKUP('Données projet'!$B$9,Paramètres!$A$1:$I$89,5,0)</f>
        <v>111.47135999999999</v>
      </c>
      <c r="P26" s="14">
        <f t="shared" si="33"/>
        <v>29.677379926628468</v>
      </c>
      <c r="Q26" s="22">
        <f t="shared" si="2"/>
        <v>245.8340553722112</v>
      </c>
      <c r="R26" s="62">
        <f t="shared" si="0"/>
        <v>530.61183314998902</v>
      </c>
      <c r="S26" s="62">
        <f ca="1">AVERAGE(OFFSET($R$3,0,0,'Données projet'!$E$9+1,1))-AVERAGE(OFFSET($H$3,0,0,'Données projet'!$E$9+1,1))</f>
        <v>244.82163392718377</v>
      </c>
      <c r="T26" s="62">
        <f t="shared" si="34"/>
        <v>342.30266518164211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2.9279490848557423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2.9279490848557423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185.59999999999997</v>
      </c>
      <c r="AJ26" s="14">
        <f>AI26*VLOOKUP('Données projet'!$B$10,Paramètres!$A$1:$I$89,3,0)*VLOOKUP('Données projet'!$B$10,Paramètres!$A$1:$I$89,5,0)</f>
        <v>86.860799999999983</v>
      </c>
      <c r="AK26" s="14">
        <f t="shared" si="35"/>
        <v>23.806568296036275</v>
      </c>
      <c r="AL26" s="22">
        <f t="shared" si="4"/>
        <v>192.7456664489298</v>
      </c>
      <c r="AM26" s="62">
        <f t="shared" si="5"/>
        <v>477.52344422670757</v>
      </c>
      <c r="AN26" s="62">
        <f ca="1">AVERAGE(OFFSET($AM$3,0,0,'Données projet'!$E$10+1,1))-AVERAGE(OFFSET($H$3,0,0,'Données projet'!$E$10+1,1))</f>
        <v>396.92963589781414</v>
      </c>
      <c r="AO26" s="62">
        <f t="shared" si="36"/>
        <v>294.38852181137639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12.333333333333334</v>
      </c>
      <c r="BD26" s="13">
        <f>IF('Données projet'!$A$88&gt;35,BD25+BC26-BL25,IF(A26&lt;'Données projet'!$A$88,$BA$205^A26,IF(A26='Données projet'!$A$88,'Données projet'!$B$88,BD25+BC26-BL25)))</f>
        <v>119.33333333333334</v>
      </c>
      <c r="BE26" s="14">
        <f>BD26*VLOOKUP('Données projet'!$B$11,Paramètres!$A$1:$I$89,3,0)*VLOOKUP('Données projet'!$B$11,Paramètres!$A$1:$I$89,5,0)</f>
        <v>71.361333333333349</v>
      </c>
      <c r="BF26" s="14">
        <f t="shared" si="37"/>
        <v>20.011144716858571</v>
      </c>
      <c r="BG26" s="22">
        <f t="shared" si="7"/>
        <v>159.14039927075092</v>
      </c>
      <c r="BH26" s="62">
        <f t="shared" si="8"/>
        <v>443.91817704852872</v>
      </c>
      <c r="BI26" s="62">
        <f ca="1">AVERAGE(OFFSET($BH$3,0,0,'Données projet'!$E$11+1,1))-AVERAGE(OFFSET($H$3,0,0,'Données projet'!$E$11+1,1))</f>
        <v>362.81292020448933</v>
      </c>
      <c r="BJ26" s="62">
        <f t="shared" si="38"/>
        <v>292.26503163353146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7.6602282080754316</v>
      </c>
      <c r="BS26" s="24">
        <f t="shared" si="9"/>
        <v>7.6602282080754316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6.4</v>
      </c>
      <c r="N27" s="14">
        <f>IF('Données projet'!$A$36&gt;35,N26+M27-V26,IF(A27&lt;'Données projet'!$A$36,$K$205^A27,IF(A27='Données projet'!$A$36,'Données projet'!$B$36,N26+M27-V26)))</f>
        <v>129.6</v>
      </c>
      <c r="O27" s="14">
        <f>N27*VLOOKUP('Données projet'!$B$9,Paramètres!$A$1:$I$89,3,0)*VLOOKUP('Données projet'!$B$9,Paramètres!$A$1:$I$89,5,0)</f>
        <v>117.26208</v>
      </c>
      <c r="P27" s="14">
        <f t="shared" si="33"/>
        <v>31.035569170075775</v>
      </c>
      <c r="Q27" s="22">
        <f t="shared" si="2"/>
        <v>258.28507230454863</v>
      </c>
      <c r="R27" s="62">
        <f t="shared" si="0"/>
        <v>544.28507230454863</v>
      </c>
      <c r="S27" s="62">
        <f ca="1">AVERAGE(OFFSET($R$3,0,0,'Données projet'!$E$9+1,1))-AVERAGE(OFFSET($H$3,0,0,'Données projet'!$E$9+1,1))</f>
        <v>244.82163392718377</v>
      </c>
      <c r="T27" s="62">
        <f t="shared" si="34"/>
        <v>342.30266518164211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2.8705337891743228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2.8705337891743228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194.79999999999995</v>
      </c>
      <c r="AJ27" s="14">
        <f>AI27*VLOOKUP('Données projet'!$B$10,Paramètres!$A$1:$I$89,3,0)*VLOOKUP('Données projet'!$B$10,Paramètres!$A$1:$I$89,5,0)</f>
        <v>91.166399999999982</v>
      </c>
      <c r="AK27" s="14">
        <f t="shared" si="35"/>
        <v>24.846321420979159</v>
      </c>
      <c r="AL27" s="22">
        <f t="shared" si="4"/>
        <v>202.05548980820535</v>
      </c>
      <c r="AM27" s="62">
        <f t="shared" si="5"/>
        <v>488.05548980820538</v>
      </c>
      <c r="AN27" s="62">
        <f ca="1">AVERAGE(OFFSET($AM$3,0,0,'Données projet'!$E$10+1,1))-AVERAGE(OFFSET($H$3,0,0,'Données projet'!$E$10+1,1))</f>
        <v>396.92963589781414</v>
      </c>
      <c r="AO27" s="62">
        <f t="shared" si="36"/>
        <v>294.38852181137639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12.333333333333334</v>
      </c>
      <c r="BD27" s="13">
        <f>IF('Données projet'!$A$88&gt;35,BD26+BC27-BL26,IF(A27&lt;'Données projet'!$A$88,$BA$205^A27,IF(A27='Données projet'!$A$88,'Données projet'!$B$88,BD26+BC27-BL26)))</f>
        <v>131.66666666666669</v>
      </c>
      <c r="BE27" s="14">
        <f>BD27*VLOOKUP('Données projet'!$B$11,Paramètres!$A$1:$I$89,3,0)*VLOOKUP('Données projet'!$B$11,Paramètres!$A$1:$I$89,5,0)</f>
        <v>78.736666666666679</v>
      </c>
      <c r="BF27" s="14">
        <f t="shared" si="37"/>
        <v>21.828006984037064</v>
      </c>
      <c r="BG27" s="22">
        <f t="shared" si="7"/>
        <v>175.15013994164235</v>
      </c>
      <c r="BH27" s="62">
        <f t="shared" si="8"/>
        <v>461.15013994164235</v>
      </c>
      <c r="BI27" s="62">
        <f ca="1">AVERAGE(OFFSET($BH$3,0,0,'Données projet'!$E$11+1,1))-AVERAGE(OFFSET($H$3,0,0,'Données projet'!$E$11+1,1))</f>
        <v>362.81292020448933</v>
      </c>
      <c r="BJ27" s="62">
        <f t="shared" si="38"/>
        <v>292.26503163353146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5.416599311366614</v>
      </c>
      <c r="BS27" s="24">
        <f t="shared" si="9"/>
        <v>5.416599311366614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136</v>
      </c>
      <c r="L28" s="13">
        <f>VLOOKUP(A28,'Données projet'!$A$35:$I$55,9,0)</f>
        <v>6.4</v>
      </c>
      <c r="M28" s="13">
        <f t="array" ref="M28">INDEX(L:L,MIN(IF(ISNUMBER(L28:L224),ROW(L28:L224),"")))</f>
        <v>6.4</v>
      </c>
      <c r="N28" s="14">
        <f>IF('Données projet'!$A$36&gt;35,N27+M28-V27,IF(A28&lt;'Données projet'!$A$36,$K$205^A28,IF(A28='Données projet'!$A$36,'Données projet'!$B$36,N27+M28-V27)))</f>
        <v>136</v>
      </c>
      <c r="O28" s="14">
        <f>N28*VLOOKUP('Données projet'!$B$9,Paramètres!$A$1:$I$89,3,0)*VLOOKUP('Données projet'!$B$9,Paramètres!$A$1:$I$89,5,0)</f>
        <v>123.05279999999999</v>
      </c>
      <c r="P28" s="14">
        <f t="shared" si="33"/>
        <v>32.385970393750824</v>
      </c>
      <c r="Q28" s="22">
        <f t="shared" si="2"/>
        <v>270.72252510244931</v>
      </c>
      <c r="R28" s="62">
        <f t="shared" si="0"/>
        <v>557.94474732467154</v>
      </c>
      <c r="S28" s="62">
        <f ca="1">AVERAGE(OFFSET($R$3,0,0,'Données projet'!$E$9+1,1))-AVERAGE(OFFSET($H$3,0,0,'Données projet'!$E$9+1,1))</f>
        <v>244.82163392718377</v>
      </c>
      <c r="T28" s="62">
        <f t="shared" si="34"/>
        <v>342.30266518164211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0.24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4.7346852032720577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4.7346852032720577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203.99999999999994</v>
      </c>
      <c r="AJ28" s="14">
        <f>AI28*VLOOKUP('Données projet'!$B$10,Paramètres!$A$1:$I$89,3,0)*VLOOKUP('Données projet'!$B$10,Paramètres!$A$1:$I$89,5,0)</f>
        <v>95.47199999999998</v>
      </c>
      <c r="AK28" s="14">
        <f t="shared" si="35"/>
        <v>25.880372123231144</v>
      </c>
      <c r="AL28" s="22">
        <f t="shared" si="4"/>
        <v>211.35538144796087</v>
      </c>
      <c r="AM28" s="62">
        <f t="shared" si="5"/>
        <v>498.57760367018307</v>
      </c>
      <c r="AN28" s="62">
        <f ca="1">AVERAGE(OFFSET($AM$3,0,0,'Données projet'!$E$10+1,1))-AVERAGE(OFFSET($H$3,0,0,'Données projet'!$E$10+1,1))</f>
        <v>396.92963589781414</v>
      </c>
      <c r="AO28" s="62">
        <f t="shared" si="36"/>
        <v>294.38852181137639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144</v>
      </c>
      <c r="BB28" s="13">
        <f>VLOOKUP(A28,'Données projet'!$A$87:$I$107,9,0)</f>
        <v>12.333333333333334</v>
      </c>
      <c r="BC28" s="13">
        <f t="array" ref="BC28">INDEX(BB:BB,MIN(IF(ISNUMBER(BB28:BB224),ROW(BB28:BB224),"")))</f>
        <v>12.333333333333334</v>
      </c>
      <c r="BD28" s="13">
        <f>IF('Données projet'!$A$88&gt;35,BD27+BC28-BL27,IF(A28&lt;'Données projet'!$A$88,$BA$205^A28,IF(A28='Données projet'!$A$88,'Données projet'!$B$88,BD27+BC28-BL27)))</f>
        <v>144.00000000000003</v>
      </c>
      <c r="BE28" s="14">
        <f>BD28*VLOOKUP('Données projet'!$B$11,Paramètres!$A$1:$I$89,3,0)*VLOOKUP('Données projet'!$B$11,Paramètres!$A$1:$I$89,5,0)</f>
        <v>86.112000000000009</v>
      </c>
      <c r="BF28" s="14">
        <f t="shared" si="37"/>
        <v>23.625136642852297</v>
      </c>
      <c r="BG28" s="22">
        <f t="shared" si="7"/>
        <v>191.12551298630106</v>
      </c>
      <c r="BH28" s="62">
        <f t="shared" si="8"/>
        <v>478.34773520852332</v>
      </c>
      <c r="BI28" s="62">
        <f ca="1">AVERAGE(OFFSET($BH$3,0,0,'Données projet'!$E$11+1,1))-AVERAGE(OFFSET($H$3,0,0,'Données projet'!$E$11+1,1))</f>
        <v>362.81292020448933</v>
      </c>
      <c r="BJ28" s="62">
        <f t="shared" si="38"/>
        <v>292.26503163353146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15.34038764069177</v>
      </c>
      <c r="BS28" s="24">
        <f t="shared" si="9"/>
        <v>15.34038764069177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5.2</v>
      </c>
      <c r="N29" s="14">
        <f>IF('Données projet'!$A$36&gt;35,N28+M29-V28,IF(A29&lt;'Données projet'!$A$36,$K$205^A29,IF(A29='Données projet'!$A$36,'Données projet'!$B$36,N28+M29-V28)))</f>
        <v>133.19999999999999</v>
      </c>
      <c r="O29" s="14">
        <f>N29*VLOOKUP('Données projet'!$B$9,Paramètres!$A$1:$I$89,3,0)*VLOOKUP('Données projet'!$B$9,Paramètres!$A$1:$I$89,5,0)</f>
        <v>120.51935999999998</v>
      </c>
      <c r="P29" s="14">
        <f t="shared" si="33"/>
        <v>31.796101022354524</v>
      </c>
      <c r="Q29" s="22">
        <f t="shared" si="2"/>
        <v>265.28276128060071</v>
      </c>
      <c r="R29" s="62">
        <f t="shared" si="0"/>
        <v>553.72720572504522</v>
      </c>
      <c r="S29" s="62">
        <f ca="1">AVERAGE(OFFSET($R$3,0,0,'Données projet'!$E$9+1,1))-AVERAGE(OFFSET($H$3,0,0,'Données projet'!$E$9+1,1))</f>
        <v>244.82163392718377</v>
      </c>
      <c r="T29" s="62">
        <f t="shared" si="34"/>
        <v>342.30266518164211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4.6418409143087125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4.6418409143087125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213.19999999999993</v>
      </c>
      <c r="AJ29" s="14">
        <f>AI29*VLOOKUP('Données projet'!$B$10,Paramètres!$A$1:$I$89,3,0)*VLOOKUP('Données projet'!$B$10,Paramètres!$A$1:$I$89,5,0)</f>
        <v>99.777599999999964</v>
      </c>
      <c r="AK29" s="14">
        <f t="shared" si="35"/>
        <v>26.909006951444532</v>
      </c>
      <c r="AL29" s="22">
        <f t="shared" si="4"/>
        <v>220.64584044043249</v>
      </c>
      <c r="AM29" s="62">
        <f t="shared" si="5"/>
        <v>509.09028488487695</v>
      </c>
      <c r="AN29" s="62">
        <f ca="1">AVERAGE(OFFSET($AM$3,0,0,'Données projet'!$E$10+1,1))-AVERAGE(OFFSET($H$3,0,0,'Données projet'!$E$10+1,1))</f>
        <v>396.92963589781414</v>
      </c>
      <c r="AO29" s="62">
        <f t="shared" si="36"/>
        <v>294.38852181137639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13.4</v>
      </c>
      <c r="BD29" s="13">
        <f>IF('Données projet'!$A$88&gt;35,BD28+BC29-BL28,IF(A29&lt;'Données projet'!$A$88,$BA$205^A29,IF(A29='Données projet'!$A$88,'Données projet'!$B$88,BD28+BC29-BL28)))</f>
        <v>140.40000000000003</v>
      </c>
      <c r="BE29" s="14">
        <f>BD29*VLOOKUP('Données projet'!$B$11,Paramètres!$A$1:$I$89,3,0)*VLOOKUP('Données projet'!$B$11,Paramètres!$A$1:$I$89,5,0)</f>
        <v>83.959200000000024</v>
      </c>
      <c r="BF29" s="14">
        <f t="shared" si="37"/>
        <v>23.102490880810642</v>
      </c>
      <c r="BG29" s="22">
        <f t="shared" si="7"/>
        <v>186.46577828407854</v>
      </c>
      <c r="BH29" s="62">
        <f t="shared" si="8"/>
        <v>474.91022272852297</v>
      </c>
      <c r="BI29" s="62">
        <f ca="1">AVERAGE(OFFSET($BH$3,0,0,'Données projet'!$E$11+1,1))-AVERAGE(OFFSET($H$3,0,0,'Données projet'!$E$11+1,1))</f>
        <v>362.81292020448933</v>
      </c>
      <c r="BJ29" s="62">
        <f t="shared" si="38"/>
        <v>292.26503163353146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10.847292126763454</v>
      </c>
      <c r="BS29" s="24">
        <f t="shared" si="9"/>
        <v>10.847292126763454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5.2</v>
      </c>
      <c r="N30" s="14">
        <f>IF('Données projet'!$A$36&gt;35,N29+M30-V29,IF(A30&lt;'Données projet'!$A$36,$K$205^A30,IF(A30='Données projet'!$A$36,'Données projet'!$B$36,N29+M30-V29)))</f>
        <v>138.39999999999998</v>
      </c>
      <c r="O30" s="14">
        <f>N30*VLOOKUP('Données projet'!$B$9,Paramètres!$A$1:$I$89,3,0)*VLOOKUP('Données projet'!$B$9,Paramètres!$A$1:$I$89,5,0)</f>
        <v>125.22431999999996</v>
      </c>
      <c r="P30" s="14">
        <f t="shared" si="33"/>
        <v>32.890447642602773</v>
      </c>
      <c r="Q30" s="22">
        <f t="shared" si="2"/>
        <v>275.38322031086642</v>
      </c>
      <c r="R30" s="62">
        <f t="shared" si="0"/>
        <v>565.04988697753311</v>
      </c>
      <c r="S30" s="62">
        <f ca="1">AVERAGE(OFFSET($R$3,0,0,'Données projet'!$E$9+1,1))-AVERAGE(OFFSET($H$3,0,0,'Données projet'!$E$9+1,1))</f>
        <v>244.82163392718377</v>
      </c>
      <c r="T30" s="62">
        <f t="shared" si="34"/>
        <v>342.30266518164211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4.5508172452225146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4.5508172452225146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222.39999999999992</v>
      </c>
      <c r="AJ30" s="14">
        <f>AI30*VLOOKUP('Données projet'!$B$10,Paramètres!$A$1:$I$89,3,0)*VLOOKUP('Données projet'!$B$10,Paramètres!$A$1:$I$89,5,0)</f>
        <v>104.08319999999996</v>
      </c>
      <c r="AK30" s="14">
        <f t="shared" si="35"/>
        <v>27.932486325387405</v>
      </c>
      <c r="AL30" s="22">
        <f t="shared" si="4"/>
        <v>229.92732035004965</v>
      </c>
      <c r="AM30" s="62">
        <f t="shared" si="5"/>
        <v>519.59398701671637</v>
      </c>
      <c r="AN30" s="62">
        <f ca="1">AVERAGE(OFFSET($AM$3,0,0,'Données projet'!$E$10+1,1))-AVERAGE(OFFSET($H$3,0,0,'Données projet'!$E$10+1,1))</f>
        <v>396.92963589781414</v>
      </c>
      <c r="AO30" s="62">
        <f t="shared" si="36"/>
        <v>294.38852181137639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13.4</v>
      </c>
      <c r="BD30" s="13">
        <f>IF('Données projet'!$A$88&gt;35,BD29+BC30-BL29,IF(A30&lt;'Données projet'!$A$88,$BA$205^A30,IF(A30='Données projet'!$A$88,'Données projet'!$B$88,BD29+BC30-BL29)))</f>
        <v>153.80000000000004</v>
      </c>
      <c r="BE30" s="14">
        <f>BD30*VLOOKUP('Données projet'!$B$11,Paramètres!$A$1:$I$89,3,0)*VLOOKUP('Données projet'!$B$11,Paramètres!$A$1:$I$89,5,0)</f>
        <v>91.972400000000022</v>
      </c>
      <c r="BF30" s="14">
        <f t="shared" si="37"/>
        <v>25.040318527820091</v>
      </c>
      <c r="BG30" s="22">
        <f t="shared" si="7"/>
        <v>203.79715143595334</v>
      </c>
      <c r="BH30" s="62">
        <f t="shared" si="8"/>
        <v>493.46381810262005</v>
      </c>
      <c r="BI30" s="62">
        <f ca="1">AVERAGE(OFFSET($BH$3,0,0,'Données projet'!$E$11+1,1))-AVERAGE(OFFSET($H$3,0,0,'Données projet'!$E$11+1,1))</f>
        <v>362.81292020448933</v>
      </c>
      <c r="BJ30" s="62">
        <f t="shared" si="38"/>
        <v>292.26503163353146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7.6701938203458866</v>
      </c>
      <c r="BS30" s="24">
        <f t="shared" si="9"/>
        <v>7.6701938203458866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5.2</v>
      </c>
      <c r="N31" s="14">
        <f>IF('Données projet'!$A$36&gt;35,N30+M31-V30,IF(A31&lt;'Données projet'!$A$36,$K$205^A31,IF(A31='Données projet'!$A$36,'Données projet'!$B$36,N30+M31-V30)))</f>
        <v>143.59999999999997</v>
      </c>
      <c r="O31" s="14">
        <f>N31*VLOOKUP('Données projet'!$B$9,Paramètres!$A$1:$I$89,3,0)*VLOOKUP('Données projet'!$B$9,Paramètres!$A$1:$I$89,5,0)</f>
        <v>129.92927999999995</v>
      </c>
      <c r="P31" s="14">
        <f t="shared" si="33"/>
        <v>33.980017499256149</v>
      </c>
      <c r="Q31" s="22">
        <f t="shared" si="2"/>
        <v>285.47535981120433</v>
      </c>
      <c r="R31" s="62">
        <f t="shared" si="0"/>
        <v>576.36424870009319</v>
      </c>
      <c r="S31" s="62">
        <f ca="1">AVERAGE(OFFSET($R$3,0,0,'Données projet'!$E$9+1,1))-AVERAGE(OFFSET($H$3,0,0,'Données projet'!$E$9+1,1))</f>
        <v>244.82163392718377</v>
      </c>
      <c r="T31" s="62">
        <f t="shared" si="34"/>
        <v>342.30266518164211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4.4615784947681405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4.4615784947681405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231.59999999999991</v>
      </c>
      <c r="AJ31" s="14">
        <f>AI31*VLOOKUP('Données projet'!$B$10,Paramètres!$A$1:$I$89,3,0)*VLOOKUP('Données projet'!$B$10,Paramètres!$A$1:$I$89,5,0)</f>
        <v>108.38879999999996</v>
      </c>
      <c r="AK31" s="14">
        <f t="shared" si="35"/>
        <v>28.95104790024919</v>
      </c>
      <c r="AL31" s="22">
        <f t="shared" si="4"/>
        <v>239.20023509293392</v>
      </c>
      <c r="AM31" s="62">
        <f t="shared" si="5"/>
        <v>530.08912398182281</v>
      </c>
      <c r="AN31" s="62">
        <f ca="1">AVERAGE(OFFSET($AM$3,0,0,'Données projet'!$E$10+1,1))-AVERAGE(OFFSET($H$3,0,0,'Données projet'!$E$10+1,1))</f>
        <v>396.92963589781414</v>
      </c>
      <c r="AO31" s="62">
        <f t="shared" si="36"/>
        <v>294.38852181137639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13.4</v>
      </c>
      <c r="BD31" s="13">
        <f>IF('Données projet'!$A$88&gt;35,BD30+BC31-BL30,IF(A31&lt;'Données projet'!$A$88,$BA$205^A31,IF(A31='Données projet'!$A$88,'Données projet'!$B$88,BD30+BC31-BL30)))</f>
        <v>167.20000000000005</v>
      </c>
      <c r="BE31" s="14">
        <f>BD31*VLOOKUP('Données projet'!$B$11,Paramètres!$A$1:$I$89,3,0)*VLOOKUP('Données projet'!$B$11,Paramètres!$A$1:$I$89,5,0)</f>
        <v>99.985600000000034</v>
      </c>
      <c r="BF31" s="14">
        <f t="shared" si="37"/>
        <v>26.958566918169435</v>
      </c>
      <c r="BG31" s="22">
        <f t="shared" si="7"/>
        <v>221.09442404914515</v>
      </c>
      <c r="BH31" s="62">
        <f t="shared" si="8"/>
        <v>511.98331293803403</v>
      </c>
      <c r="BI31" s="62">
        <f ca="1">AVERAGE(OFFSET($BH$3,0,0,'Données projet'!$E$11+1,1))-AVERAGE(OFFSET($H$3,0,0,'Données projet'!$E$11+1,1))</f>
        <v>362.81292020448933</v>
      </c>
      <c r="BJ31" s="62">
        <f t="shared" si="38"/>
        <v>292.26503163353146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5.4236460633817281</v>
      </c>
      <c r="BS31" s="24">
        <f t="shared" si="9"/>
        <v>5.4236460633817281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5.2</v>
      </c>
      <c r="N32" s="14">
        <f>IF('Données projet'!$A$36&gt;35,N31+M32-V31,IF(A32&lt;'Données projet'!$A$36,$K$205^A32,IF(A32='Données projet'!$A$36,'Données projet'!$B$36,N31+M32-V31)))</f>
        <v>148.79999999999995</v>
      </c>
      <c r="O32" s="14">
        <f>N32*VLOOKUP('Données projet'!$B$9,Paramètres!$A$1:$I$89,3,0)*VLOOKUP('Données projet'!$B$9,Paramètres!$A$1:$I$89,5,0)</f>
        <v>134.63423999999998</v>
      </c>
      <c r="P32" s="14">
        <f t="shared" si="33"/>
        <v>35.065003380589694</v>
      </c>
      <c r="Q32" s="22">
        <f t="shared" si="2"/>
        <v>295.55951555452697</v>
      </c>
      <c r="R32" s="62">
        <f t="shared" si="0"/>
        <v>587.67062666563811</v>
      </c>
      <c r="S32" s="62">
        <f ca="1">AVERAGE(OFFSET($R$3,0,0,'Données projet'!$E$9+1,1))-AVERAGE(OFFSET($H$3,0,0,'Données projet'!$E$9+1,1))</f>
        <v>244.82163392718377</v>
      </c>
      <c r="T32" s="62">
        <f t="shared" si="34"/>
        <v>342.30266518164211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4.3740896617799132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4.3740896617799132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240.7999999999999</v>
      </c>
      <c r="AJ32" s="14">
        <f>AI32*VLOOKUP('Données projet'!$B$10,Paramètres!$A$1:$I$89,3,0)*VLOOKUP('Données projet'!$B$10,Paramètres!$A$1:$I$89,5,0)</f>
        <v>112.69439999999994</v>
      </c>
      <c r="AK32" s="14">
        <f t="shared" si="35"/>
        <v>29.964909381330607</v>
      </c>
      <c r="AL32" s="22">
        <f t="shared" si="4"/>
        <v>248.46496383915073</v>
      </c>
      <c r="AM32" s="62">
        <f t="shared" si="5"/>
        <v>540.57607495026184</v>
      </c>
      <c r="AN32" s="62">
        <f ca="1">AVERAGE(OFFSET($AM$3,0,0,'Données projet'!$E$10+1,1))-AVERAGE(OFFSET($H$3,0,0,'Données projet'!$E$10+1,1))</f>
        <v>396.92963589781414</v>
      </c>
      <c r="AO32" s="62">
        <f t="shared" si="36"/>
        <v>294.38852181137639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13.4</v>
      </c>
      <c r="BD32" s="13">
        <f>IF('Données projet'!$A$88&gt;35,BD31+BC32-BL31,IF(A32&lt;'Données projet'!$A$88,$BA$205^A32,IF(A32='Données projet'!$A$88,'Données projet'!$B$88,BD31+BC32-BL31)))</f>
        <v>180.60000000000005</v>
      </c>
      <c r="BE32" s="14">
        <f>BD32*VLOOKUP('Données projet'!$B$11,Paramètres!$A$1:$I$89,3,0)*VLOOKUP('Données projet'!$B$11,Paramètres!$A$1:$I$89,5,0)</f>
        <v>107.99880000000003</v>
      </c>
      <c r="BF32" s="14">
        <f t="shared" si="37"/>
        <v>28.85898360070161</v>
      </c>
      <c r="BG32" s="22">
        <f t="shared" si="7"/>
        <v>238.36063977122203</v>
      </c>
      <c r="BH32" s="62">
        <f t="shared" si="8"/>
        <v>530.47175088233314</v>
      </c>
      <c r="BI32" s="62">
        <f ca="1">AVERAGE(OFFSET($BH$3,0,0,'Données projet'!$E$11+1,1))-AVERAGE(OFFSET($H$3,0,0,'Données projet'!$E$11+1,1))</f>
        <v>362.81292020448933</v>
      </c>
      <c r="BJ32" s="62">
        <f t="shared" si="38"/>
        <v>292.26503163353146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3.8350969101729437</v>
      </c>
      <c r="BS32" s="24">
        <f t="shared" si="9"/>
        <v>3.8350969101729437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154</v>
      </c>
      <c r="L33" s="13">
        <f>VLOOKUP(A33,'Données projet'!$A$35:$I$55,9,0)</f>
        <v>5.2</v>
      </c>
      <c r="M33" s="13">
        <f t="array" ref="M33">INDEX(L:L,MIN(IF(ISNUMBER(L33:L229),ROW(L33:L229),"")))</f>
        <v>5.2</v>
      </c>
      <c r="N33" s="14">
        <f>IF('Données projet'!$A$36&gt;35,N32+M33-V32,IF(A33&lt;'Données projet'!$A$36,$K$205^A33,IF(A33='Données projet'!$A$36,'Données projet'!$B$36,N32+M33-V32)))</f>
        <v>153.99999999999994</v>
      </c>
      <c r="O33" s="14">
        <f>N33*VLOOKUP('Données projet'!$B$9,Paramètres!$A$1:$I$89,3,0)*VLOOKUP('Données projet'!$B$9,Paramètres!$A$1:$I$89,5,0)</f>
        <v>139.33919999999995</v>
      </c>
      <c r="P33" s="14">
        <f t="shared" si="33"/>
        <v>36.145583836349623</v>
      </c>
      <c r="Q33" s="22">
        <f t="shared" si="2"/>
        <v>305.63599851497548</v>
      </c>
      <c r="R33" s="62">
        <f t="shared" si="0"/>
        <v>598.9693318483088</v>
      </c>
      <c r="S33" s="62">
        <f ca="1">AVERAGE(OFFSET($R$3,0,0,'Données projet'!$E$9+1,1))-AVERAGE(OFFSET($H$3,0,0,'Données projet'!$E$9+1,1))</f>
        <v>244.82163392718377</v>
      </c>
      <c r="T33" s="62">
        <f t="shared" si="34"/>
        <v>342.30266518164211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6</v>
      </c>
      <c r="W33" s="17">
        <f>IF(ISNA(VLOOKUP(A33,'Données projet'!$A$35:$I$55,5,0)),0%,VLOOKUP(A33,'Données projet'!$A$35:$I$55,5,0)*VLOOKUP('Données projet'!$B$9,Paramètres!$A$1:$I$89,7,0))</f>
        <v>0.27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5.9086883824739562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5.9086883824739562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249.99999999999989</v>
      </c>
      <c r="AJ33" s="14">
        <f>AI33*VLOOKUP('Données projet'!$B$10,Paramètres!$A$1:$I$89,3,0)*VLOOKUP('Données projet'!$B$10,Paramètres!$A$1:$I$89,5,0)</f>
        <v>116.99999999999994</v>
      </c>
      <c r="AK33" s="14">
        <f t="shared" si="35"/>
        <v>30.974270896484118</v>
      </c>
      <c r="AL33" s="22">
        <f t="shared" si="4"/>
        <v>257.72185514470976</v>
      </c>
      <c r="AM33" s="62">
        <f t="shared" si="5"/>
        <v>551.05518847804308</v>
      </c>
      <c r="AN33" s="62">
        <f ca="1">AVERAGE(OFFSET($AM$3,0,0,'Données projet'!$E$10+1,1))-AVERAGE(OFFSET($H$3,0,0,'Données projet'!$E$10+1,1))</f>
        <v>396.92963589781414</v>
      </c>
      <c r="AO33" s="62">
        <f t="shared" si="36"/>
        <v>294.38852181137639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194</v>
      </c>
      <c r="BB33" s="13">
        <f>VLOOKUP(A33,'Données projet'!$A$87:$I$107,9,0)</f>
        <v>13.4</v>
      </c>
      <c r="BC33" s="13">
        <f t="array" ref="BC33">INDEX(BB:BB,MIN(IF(ISNUMBER(BB33:BB229),ROW(BB33:BB229),"")))</f>
        <v>13.4</v>
      </c>
      <c r="BD33" s="13">
        <f>IF('Données projet'!$A$88&gt;35,BD32+BC33-BL32,IF(A33&lt;'Données projet'!$A$88,$BA$205^A33,IF(A33='Données projet'!$A$88,'Données projet'!$B$88,BD32+BC33-BL32)))</f>
        <v>194.00000000000006</v>
      </c>
      <c r="BE33" s="14">
        <f>BD33*VLOOKUP('Données projet'!$B$11,Paramètres!$A$1:$I$89,3,0)*VLOOKUP('Données projet'!$B$11,Paramètres!$A$1:$I$89,5,0)</f>
        <v>116.01200000000003</v>
      </c>
      <c r="BF33" s="14">
        <f t="shared" si="37"/>
        <v>30.743042086238173</v>
      </c>
      <c r="BG33" s="22">
        <f t="shared" si="7"/>
        <v>255.59836496686489</v>
      </c>
      <c r="BH33" s="62">
        <f t="shared" si="8"/>
        <v>548.93169830019815</v>
      </c>
      <c r="BI33" s="62">
        <f ca="1">AVERAGE(OFFSET($BH$3,0,0,'Données projet'!$E$11+1,1))-AVERAGE(OFFSET($H$3,0,0,'Données projet'!$E$11+1,1))</f>
        <v>362.81292020448933</v>
      </c>
      <c r="BJ33" s="62">
        <f t="shared" si="38"/>
        <v>292.26503163353146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9.0000000000000011E-2</v>
      </c>
      <c r="BO33" s="17">
        <f>IF(ISNA(VLOOKUP(A33,'Données projet'!$A$87:$I$107,7,0)),0%,VLOOKUP(A33,'Données projet'!$A$87:$I$107,7,0))</f>
        <v>0.8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2.4178959553116695</v>
      </c>
      <c r="BR33" s="23">
        <f>EXP(-LN(2)/2)*BR32+(1-EXP(-LN(2)/2))/(LN(2)/2)*BL33*BO33*VLOOKUP('Données projet'!$B$11,Paramètres!$A$1:$I$89,3,0)*0.475*44/12</f>
        <v>21.128260690337349</v>
      </c>
      <c r="BS33" s="24">
        <f t="shared" si="9"/>
        <v>23.54615664564902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4.2</v>
      </c>
      <c r="N34" s="14">
        <f>IF('Données projet'!$A$36&gt;35,N33+M34-V33,IF(A34&lt;'Données projet'!$A$36,$K$205^A34,IF(A34='Données projet'!$A$36,'Données projet'!$B$36,N33+M34-V33)))</f>
        <v>152.19999999999993</v>
      </c>
      <c r="O34" s="14">
        <f>N34*VLOOKUP('Données projet'!$B$9,Paramètres!$A$1:$I$89,3,0)*VLOOKUP('Données projet'!$B$9,Paramètres!$A$1:$I$89,5,0)</f>
        <v>137.71055999999993</v>
      </c>
      <c r="P34" s="14">
        <f t="shared" si="33"/>
        <v>35.772024702085233</v>
      </c>
      <c r="Q34" s="22">
        <f t="shared" si="2"/>
        <v>302.14883502279832</v>
      </c>
      <c r="R34" s="62">
        <f t="shared" si="0"/>
        <v>595.48216835613164</v>
      </c>
      <c r="S34" s="62">
        <f ca="1">AVERAGE(OFFSET($R$3,0,0,'Données projet'!$E$9+1,1))-AVERAGE(OFFSET($H$3,0,0,'Données projet'!$E$9+1,1))</f>
        <v>244.82163392718377</v>
      </c>
      <c r="T34" s="62">
        <f t="shared" si="34"/>
        <v>342.30266518164211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5.7928226072376949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5.7928226072376949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259.99999999999989</v>
      </c>
      <c r="AJ34" s="14">
        <f>AI34*VLOOKUP('Données projet'!$B$10,Paramètres!$A$1:$I$89,3,0)*VLOOKUP('Données projet'!$B$10,Paramètres!$A$1:$I$89,5,0)</f>
        <v>121.67999999999994</v>
      </c>
      <c r="AK34" s="14">
        <f t="shared" si="35"/>
        <v>32.066514091456256</v>
      </c>
      <c r="AL34" s="22">
        <f t="shared" si="4"/>
        <v>267.77517870928619</v>
      </c>
      <c r="AM34" s="62">
        <f t="shared" si="5"/>
        <v>561.10851204261951</v>
      </c>
      <c r="AN34" s="62">
        <f ca="1">AVERAGE(OFFSET($AM$3,0,0,'Données projet'!$E$10+1,1))-AVERAGE(OFFSET($H$3,0,0,'Données projet'!$E$10+1,1))</f>
        <v>396.92963589781414</v>
      </c>
      <c r="AO34" s="62">
        <f t="shared" si="36"/>
        <v>294.38852181137639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174.60000000000005</v>
      </c>
      <c r="BE34" s="14">
        <f>BD34*VLOOKUP('Données projet'!$B$11,Paramètres!$A$1:$I$89,3,0)*VLOOKUP('Données projet'!$B$11,Paramètres!$A$1:$I$89,5,0)</f>
        <v>104.41080000000004</v>
      </c>
      <c r="BF34" s="14">
        <f t="shared" si="37"/>
        <v>28.010155571424168</v>
      </c>
      <c r="BG34" s="22">
        <f t="shared" si="7"/>
        <v>230.63316428689714</v>
      </c>
      <c r="BH34" s="62">
        <f t="shared" si="8"/>
        <v>523.96649762023048</v>
      </c>
      <c r="BI34" s="62">
        <f ca="1">AVERAGE(OFFSET($BH$3,0,0,'Données projet'!$E$11+1,1))-AVERAGE(OFFSET($H$3,0,0,'Données projet'!$E$11+1,1))</f>
        <v>362.81292020448933</v>
      </c>
      <c r="BJ34" s="62">
        <f t="shared" si="38"/>
        <v>292.26503163353146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2.3517784632620495</v>
      </c>
      <c r="BR34" s="23">
        <f>EXP(-LN(2)/2)*BR33+(1-EXP(-LN(2)/2))/(LN(2)/2)*BL34*BO34*VLOOKUP('Données projet'!$B$11,Paramètres!$A$1:$I$89,3,0)*0.475*44/12</f>
        <v>14.939936408814706</v>
      </c>
      <c r="BS34" s="24">
        <f t="shared" si="9"/>
        <v>17.291714872076756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4.2</v>
      </c>
      <c r="N35" s="14">
        <f>IF('Données projet'!$A$36&gt;35,N34+M35-V34,IF(A35&lt;'Données projet'!$A$36,$K$205^A35,IF(A35='Données projet'!$A$36,'Données projet'!$B$36,N34+M35-V34)))</f>
        <v>156.39999999999992</v>
      </c>
      <c r="O35" s="14">
        <f>N35*VLOOKUP('Données projet'!$B$9,Paramètres!$A$1:$I$89,3,0)*VLOOKUP('Données projet'!$B$9,Paramètres!$A$1:$I$89,5,0)</f>
        <v>141.51071999999994</v>
      </c>
      <c r="P35" s="14">
        <f t="shared" si="33"/>
        <v>36.642873749766764</v>
      </c>
      <c r="Q35" s="22">
        <f t="shared" ref="Q35:Q66" si="53">(O35+P35)*0.475*44/12</f>
        <v>310.28417578084361</v>
      </c>
      <c r="R35" s="62">
        <f t="shared" si="0"/>
        <v>603.61750911417698</v>
      </c>
      <c r="S35" s="62">
        <f ca="1">AVERAGE(OFFSET($R$3,0,0,'Données projet'!$E$9+1,1))-AVERAGE(OFFSET($H$3,0,0,'Données projet'!$E$9+1,1))</f>
        <v>244.82163392718377</v>
      </c>
      <c r="T35" s="62">
        <f t="shared" si="34"/>
        <v>342.30266518164211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5.6792288891826725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5.6792288891826725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269.99999999999989</v>
      </c>
      <c r="AJ35" s="14">
        <f>AI35*VLOOKUP('Données projet'!$B$10,Paramètres!$A$1:$I$89,3,0)*VLOOKUP('Données projet'!$B$10,Paramètres!$A$1:$I$89,5,0)</f>
        <v>126.35999999999996</v>
      </c>
      <c r="AK35" s="14">
        <f t="shared" si="35"/>
        <v>33.153877056327453</v>
      </c>
      <c r="AL35" s="22">
        <f t="shared" si="4"/>
        <v>277.82000253977026</v>
      </c>
      <c r="AM35" s="62">
        <f t="shared" si="5"/>
        <v>571.15333587310352</v>
      </c>
      <c r="AN35" s="62">
        <f ca="1">AVERAGE(OFFSET($AM$3,0,0,'Données projet'!$E$10+1,1))-AVERAGE(OFFSET($H$3,0,0,'Données projet'!$E$10+1,1))</f>
        <v>396.92963589781414</v>
      </c>
      <c r="AO35" s="62">
        <f t="shared" si="36"/>
        <v>294.38852181137639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189.20000000000005</v>
      </c>
      <c r="BE35" s="14">
        <f>BD35*VLOOKUP('Données projet'!$B$11,Paramètres!$A$1:$I$89,3,0)*VLOOKUP('Données projet'!$B$11,Paramètres!$A$1:$I$89,5,0)</f>
        <v>113.14160000000004</v>
      </c>
      <c r="BF35" s="14">
        <f t="shared" si="37"/>
        <v>30.069952587742019</v>
      </c>
      <c r="BG35" s="22">
        <f t="shared" si="7"/>
        <v>249.42678742365072</v>
      </c>
      <c r="BH35" s="62">
        <f t="shared" si="8"/>
        <v>542.76012075698407</v>
      </c>
      <c r="BI35" s="62">
        <f ca="1">AVERAGE(OFFSET($BH$3,0,0,'Données projet'!$E$11+1,1))-AVERAGE(OFFSET($H$3,0,0,'Données projet'!$E$11+1,1))</f>
        <v>362.81292020448933</v>
      </c>
      <c r="BJ35" s="62">
        <f t="shared" si="38"/>
        <v>292.26503163353146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2.2874689575094944</v>
      </c>
      <c r="BR35" s="23">
        <f>EXP(-LN(2)/2)*BR34+(1-EXP(-LN(2)/2))/(LN(2)/2)*BL35*BO35*VLOOKUP('Données projet'!$B$11,Paramètres!$A$1:$I$89,3,0)*0.475*44/12</f>
        <v>10.564130345168676</v>
      </c>
      <c r="BS35" s="24">
        <f t="shared" si="9"/>
        <v>12.851599302678171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4.2</v>
      </c>
      <c r="N36" s="14">
        <f>IF('Données projet'!$A$36&gt;35,N35+M36-V35,IF(A36&lt;'Données projet'!$A$36,$K$205^A36,IF(A36='Données projet'!$A$36,'Données projet'!$B$36,N35+M36-V35)))</f>
        <v>160.59999999999991</v>
      </c>
      <c r="O36" s="14">
        <f>N36*VLOOKUP('Données projet'!$B$9,Paramètres!$A$1:$I$89,3,0)*VLOOKUP('Données projet'!$B$9,Paramètres!$A$1:$I$89,5,0)</f>
        <v>145.31087999999991</v>
      </c>
      <c r="P36" s="14">
        <f t="shared" si="33"/>
        <v>37.511004575106362</v>
      </c>
      <c r="Q36" s="22">
        <f t="shared" si="53"/>
        <v>318.41478230164341</v>
      </c>
      <c r="R36" s="62">
        <f t="shared" si="0"/>
        <v>611.74811563497678</v>
      </c>
      <c r="S36" s="62">
        <f ca="1">AVERAGE(OFFSET($R$3,0,0,'Données projet'!$E$9+1,1))-AVERAGE(OFFSET($H$3,0,0,'Données projet'!$E$9+1,1))</f>
        <v>244.82163392718377</v>
      </c>
      <c r="T36" s="62">
        <f t="shared" si="34"/>
        <v>342.30266518164211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5.5678626746533828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5.5678626746533828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279.99999999999989</v>
      </c>
      <c r="AJ36" s="14">
        <f>AI36*VLOOKUP('Données projet'!$B$10,Paramètres!$A$1:$I$89,3,0)*VLOOKUP('Données projet'!$B$10,Paramètres!$A$1:$I$89,5,0)</f>
        <v>131.03999999999994</v>
      </c>
      <c r="AK36" s="14">
        <f t="shared" si="35"/>
        <v>34.236561238949889</v>
      </c>
      <c r="AL36" s="22">
        <f t="shared" si="4"/>
        <v>287.85667749117096</v>
      </c>
      <c r="AM36" s="62">
        <f t="shared" si="5"/>
        <v>581.19001082450427</v>
      </c>
      <c r="AN36" s="62">
        <f ca="1">AVERAGE(OFFSET($AM$3,0,0,'Données projet'!$E$10+1,1))-AVERAGE(OFFSET($H$3,0,0,'Données projet'!$E$10+1,1))</f>
        <v>396.92963589781414</v>
      </c>
      <c r="AO36" s="62">
        <f t="shared" si="36"/>
        <v>294.38852181137639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203.80000000000004</v>
      </c>
      <c r="BE36" s="14">
        <f>BD36*VLOOKUP('Données projet'!$B$11,Paramètres!$A$1:$I$89,3,0)*VLOOKUP('Données projet'!$B$11,Paramètres!$A$1:$I$89,5,0)</f>
        <v>121.87240000000003</v>
      </c>
      <c r="BF36" s="14">
        <f t="shared" si="37"/>
        <v>32.111311550408985</v>
      </c>
      <c r="BG36" s="22">
        <f t="shared" si="7"/>
        <v>268.1882976169623</v>
      </c>
      <c r="BH36" s="62">
        <f t="shared" si="8"/>
        <v>561.52163095029562</v>
      </c>
      <c r="BI36" s="62">
        <f ca="1">AVERAGE(OFFSET($BH$3,0,0,'Données projet'!$E$11+1,1))-AVERAGE(OFFSET($H$3,0,0,'Données projet'!$E$11+1,1))</f>
        <v>362.81292020448933</v>
      </c>
      <c r="BJ36" s="62">
        <f t="shared" si="38"/>
        <v>292.26503163353146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2.2249179985736327</v>
      </c>
      <c r="BR36" s="23">
        <f>EXP(-LN(2)/2)*BR35+(1-EXP(-LN(2)/2))/(LN(2)/2)*BL36*BO36*VLOOKUP('Données projet'!$B$11,Paramètres!$A$1:$I$89,3,0)*0.475*44/12</f>
        <v>7.4699682044073548</v>
      </c>
      <c r="BS36" s="24">
        <f t="shared" si="9"/>
        <v>9.694886202980987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4.2</v>
      </c>
      <c r="N37" s="14">
        <f>IF('Données projet'!$A$36&gt;35,N36+M37-V36,IF(A37&lt;'Données projet'!$A$36,$K$205^A37,IF(A37='Données projet'!$A$36,'Données projet'!$B$36,N36+M37-V36)))</f>
        <v>164.7999999999999</v>
      </c>
      <c r="O37" s="14">
        <f>N37*VLOOKUP('Données projet'!$B$9,Paramètres!$A$1:$I$89,3,0)*VLOOKUP('Données projet'!$B$9,Paramètres!$A$1:$I$89,5,0)</f>
        <v>149.11103999999989</v>
      </c>
      <c r="P37" s="14">
        <f t="shared" si="33"/>
        <v>38.376496436982357</v>
      </c>
      <c r="Q37" s="22">
        <f t="shared" si="53"/>
        <v>326.54079262774405</v>
      </c>
      <c r="R37" s="62">
        <f t="shared" si="0"/>
        <v>619.87412596107743</v>
      </c>
      <c r="S37" s="62">
        <f ca="1">AVERAGE(OFFSET($R$3,0,0,'Données projet'!$E$9+1,1))-AVERAGE(OFFSET($H$3,0,0,'Données projet'!$E$9+1,1))</f>
        <v>244.82163392718377</v>
      </c>
      <c r="T37" s="62">
        <f t="shared" si="34"/>
        <v>342.30266518164211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5.4586802836643287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5.4586802836643287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289.99999999999989</v>
      </c>
      <c r="AJ37" s="14">
        <f>AI37*VLOOKUP('Données projet'!$B$10,Paramètres!$A$1:$I$89,3,0)*VLOOKUP('Données projet'!$B$10,Paramètres!$A$1:$I$89,5,0)</f>
        <v>135.71999999999994</v>
      </c>
      <c r="AK37" s="14">
        <f t="shared" si="35"/>
        <v>35.314752882348131</v>
      </c>
      <c r="AL37" s="22">
        <f t="shared" si="4"/>
        <v>297.8855279367562</v>
      </c>
      <c r="AM37" s="62">
        <f t="shared" si="5"/>
        <v>591.21886127008952</v>
      </c>
      <c r="AN37" s="62">
        <f ca="1">AVERAGE(OFFSET($AM$3,0,0,'Données projet'!$E$10+1,1))-AVERAGE(OFFSET($H$3,0,0,'Données projet'!$E$10+1,1))</f>
        <v>396.92963589781414</v>
      </c>
      <c r="AO37" s="62">
        <f t="shared" si="36"/>
        <v>294.38852181137639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218.40000000000003</v>
      </c>
      <c r="BE37" s="14">
        <f>BD37*VLOOKUP('Données projet'!$B$11,Paramètres!$A$1:$I$89,3,0)*VLOOKUP('Données projet'!$B$11,Paramètres!$A$1:$I$89,5,0)</f>
        <v>130.60320000000004</v>
      </c>
      <c r="BF37" s="14">
        <f t="shared" si="37"/>
        <v>34.135703567016428</v>
      </c>
      <c r="BG37" s="22">
        <f t="shared" si="7"/>
        <v>286.92025704588701</v>
      </c>
      <c r="BH37" s="62">
        <f t="shared" si="8"/>
        <v>580.25359037922033</v>
      </c>
      <c r="BI37" s="62">
        <f ca="1">AVERAGE(OFFSET($BH$3,0,0,'Données projet'!$E$11+1,1))-AVERAGE(OFFSET($H$3,0,0,'Données projet'!$E$11+1,1))</f>
        <v>362.81292020448933</v>
      </c>
      <c r="BJ37" s="62">
        <f t="shared" si="38"/>
        <v>292.26503163353146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2.1640774988992844</v>
      </c>
      <c r="BR37" s="23">
        <f>EXP(-LN(2)/2)*BR36+(1-EXP(-LN(2)/2))/(LN(2)/2)*BL37*BO37*VLOOKUP('Données projet'!$B$11,Paramètres!$A$1:$I$89,3,0)*0.475*44/12</f>
        <v>5.2820651725843391</v>
      </c>
      <c r="BS37" s="24">
        <f t="shared" si="9"/>
        <v>7.4461426714836234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169</v>
      </c>
      <c r="L38" s="13">
        <f>VLOOKUP(A38,'Données projet'!$A$35:$I$55,9,0)</f>
        <v>4.2</v>
      </c>
      <c r="M38" s="13">
        <f t="array" ref="M38">INDEX(L:L,MIN(IF(ISNUMBER(L38:L234),ROW(L38:L234),"")))</f>
        <v>4.2</v>
      </c>
      <c r="N38" s="14">
        <f>IF('Données projet'!$A$36&gt;35,N37+M38-V37,IF(A38&lt;'Données projet'!$A$36,$K$205^A38,IF(A38='Données projet'!$A$36,'Données projet'!$B$36,N37+M38-V37)))</f>
        <v>168.99999999999989</v>
      </c>
      <c r="O38" s="14">
        <f>N38*VLOOKUP('Données projet'!$B$9,Paramètres!$A$1:$I$89,3,0)*VLOOKUP('Données projet'!$B$9,Paramètres!$A$1:$I$89,5,0)</f>
        <v>152.91119999999989</v>
      </c>
      <c r="P38" s="14">
        <f t="shared" si="33"/>
        <v>39.239424324197508</v>
      </c>
      <c r="Q38" s="22">
        <f t="shared" si="53"/>
        <v>334.66233736464375</v>
      </c>
      <c r="R38" s="62">
        <f t="shared" si="0"/>
        <v>627.99567069797706</v>
      </c>
      <c r="S38" s="62">
        <f ca="1">AVERAGE(OFFSET($R$3,0,0,'Données projet'!$E$9+1,1))-AVERAGE(OFFSET($H$3,0,0,'Données projet'!$E$9+1,1))</f>
        <v>244.82163392718377</v>
      </c>
      <c r="T38" s="62">
        <f t="shared" si="34"/>
        <v>342.30266518164211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5.3516388927678866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5.3516388927678866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299.99999999999989</v>
      </c>
      <c r="AJ38" s="14">
        <f>AI38*VLOOKUP('Données projet'!$B$10,Paramètres!$A$1:$I$89,3,0)*VLOOKUP('Données projet'!$B$10,Paramètres!$A$1:$I$89,5,0)</f>
        <v>140.39999999999995</v>
      </c>
      <c r="AK38" s="14">
        <f t="shared" si="35"/>
        <v>36.388624656711166</v>
      </c>
      <c r="AL38" s="22">
        <f t="shared" si="4"/>
        <v>307.90685461043853</v>
      </c>
      <c r="AM38" s="62">
        <f t="shared" si="5"/>
        <v>601.24018794377184</v>
      </c>
      <c r="AN38" s="62">
        <f ca="1">AVERAGE(OFFSET($AM$3,0,0,'Données projet'!$E$10+1,1))-AVERAGE(OFFSET($H$3,0,0,'Données projet'!$E$10+1,1))</f>
        <v>396.92963589781414</v>
      </c>
      <c r="AO38" s="62">
        <f t="shared" si="36"/>
        <v>294.38852181137639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233</v>
      </c>
      <c r="BB38" s="13">
        <f>VLOOKUP(A38,'Données projet'!$A$87:$I$107,9,0)</f>
        <v>14.6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233.00000000000003</v>
      </c>
      <c r="BE38" s="14">
        <f>BD38*VLOOKUP('Données projet'!$B$11,Paramètres!$A$1:$I$89,3,0)*VLOOKUP('Données projet'!$B$11,Paramètres!$A$1:$I$89,5,0)</f>
        <v>139.33400000000003</v>
      </c>
      <c r="BF38" s="14">
        <f t="shared" si="37"/>
        <v>36.144391930570897</v>
      </c>
      <c r="BG38" s="22">
        <f t="shared" si="7"/>
        <v>305.62486594574438</v>
      </c>
      <c r="BH38" s="62">
        <f t="shared" si="8"/>
        <v>598.95819927907769</v>
      </c>
      <c r="BI38" s="62">
        <f ca="1">AVERAGE(OFFSET($BH$3,0,0,'Données projet'!$E$11+1,1))-AVERAGE(OFFSET($H$3,0,0,'Données projet'!$E$11+1,1))</f>
        <v>362.81292020448933</v>
      </c>
      <c r="BJ38" s="62">
        <f t="shared" si="38"/>
        <v>292.26503163353146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2.1049006858879937</v>
      </c>
      <c r="BR38" s="23">
        <f>EXP(-LN(2)/2)*BR37+(1-EXP(-LN(2)/2))/(LN(2)/2)*BL38*BO38*VLOOKUP('Données projet'!$B$11,Paramètres!$A$1:$I$89,3,0)*0.475*44/12</f>
        <v>3.7349841022036778</v>
      </c>
      <c r="BS38" s="24">
        <f t="shared" si="9"/>
        <v>5.8398847880916716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3.8</v>
      </c>
      <c r="N39" s="14">
        <f>IF('Données projet'!$A$36&gt;35,N38+M39-V38,IF(A39&lt;'Données projet'!$A$36,$K$205^A39,IF(A39='Données projet'!$A$36,'Données projet'!$B$36,N38+M39-V38)))</f>
        <v>167.7999999999999</v>
      </c>
      <c r="O39" s="14">
        <f>N39*VLOOKUP('Données projet'!$B$9,Paramètres!$A$1:$I$89,3,0)*VLOOKUP('Données projet'!$B$9,Paramètres!$A$1:$I$89,5,0)</f>
        <v>151.8254399999999</v>
      </c>
      <c r="P39" s="14">
        <f t="shared" si="33"/>
        <v>38.993130915848106</v>
      </c>
      <c r="Q39" s="22">
        <f t="shared" si="53"/>
        <v>332.34234434510194</v>
      </c>
      <c r="R39" s="62">
        <f t="shared" si="0"/>
        <v>625.67567767843525</v>
      </c>
      <c r="S39" s="62">
        <f ca="1">AVERAGE(OFFSET($R$3,0,0,'Données projet'!$E$9+1,1))-AVERAGE(OFFSET($H$3,0,0,'Données projet'!$E$9+1,1))</f>
        <v>244.82163392718377</v>
      </c>
      <c r="T39" s="62">
        <f t="shared" si="34"/>
        <v>342.30266518164211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5.2466965182581218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5.2466965182581218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309.99999999999989</v>
      </c>
      <c r="AJ39" s="14">
        <f>AI39*VLOOKUP('Données projet'!$B$10,Paramètres!$A$1:$I$89,3,0)*VLOOKUP('Données projet'!$B$10,Paramètres!$A$1:$I$89,5,0)</f>
        <v>145.07999999999996</v>
      </c>
      <c r="AK39" s="14">
        <f t="shared" si="35"/>
        <v>37.458337067672986</v>
      </c>
      <c r="AL39" s="22">
        <f t="shared" si="4"/>
        <v>317.92093705953039</v>
      </c>
      <c r="AM39" s="62">
        <f t="shared" si="5"/>
        <v>611.25427039286365</v>
      </c>
      <c r="AN39" s="62">
        <f ca="1">AVERAGE(OFFSET($AM$3,0,0,'Données projet'!$E$10+1,1))-AVERAGE(OFFSET($H$3,0,0,'Données projet'!$E$10+1,1))</f>
        <v>396.92963589781414</v>
      </c>
      <c r="AO39" s="62">
        <f t="shared" si="36"/>
        <v>294.38852181137639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14.4</v>
      </c>
      <c r="BD39" s="13">
        <f>IF('Données projet'!$A$88&gt;35,BD38+BC39-BL38,IF(A39&lt;'Données projet'!$A$88,$BA$205^A39,IF(A39='Données projet'!$A$88,'Données projet'!$B$88,BD38+BC39-BL38)))</f>
        <v>206.40000000000003</v>
      </c>
      <c r="BE39" s="14">
        <f>BD39*VLOOKUP('Données projet'!$B$11,Paramètres!$A$1:$I$89,3,0)*VLOOKUP('Données projet'!$B$11,Paramètres!$A$1:$I$89,5,0)</f>
        <v>123.42720000000003</v>
      </c>
      <c r="BF39" s="14">
        <f t="shared" si="37"/>
        <v>32.473022671122074</v>
      </c>
      <c r="BG39" s="22">
        <f t="shared" si="7"/>
        <v>271.5262211522043</v>
      </c>
      <c r="BH39" s="62">
        <f t="shared" si="8"/>
        <v>564.85955448553761</v>
      </c>
      <c r="BI39" s="62">
        <f ca="1">AVERAGE(OFFSET($BH$3,0,0,'Données projet'!$E$11+1,1))-AVERAGE(OFFSET($H$3,0,0,'Données projet'!$E$11+1,1))</f>
        <v>362.81292020448933</v>
      </c>
      <c r="BJ39" s="62">
        <f t="shared" si="38"/>
        <v>292.26503163353146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2.0473420659404704</v>
      </c>
      <c r="BR39" s="23">
        <f>EXP(-LN(2)/2)*BR38+(1-EXP(-LN(2)/2))/(LN(2)/2)*BL39*BO39*VLOOKUP('Données projet'!$B$11,Paramètres!$A$1:$I$89,3,0)*0.475*44/12</f>
        <v>2.64103258629217</v>
      </c>
      <c r="BS39" s="24">
        <f t="shared" si="9"/>
        <v>4.6883746522326408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3.8</v>
      </c>
      <c r="N40" s="14">
        <f>IF('Données projet'!$A$36&gt;35,N39+M40-V39,IF(A40&lt;'Données projet'!$A$36,$K$205^A40,IF(A40='Données projet'!$A$36,'Données projet'!$B$36,N39+M40-V39)))</f>
        <v>171.59999999999991</v>
      </c>
      <c r="O40" s="14">
        <f>N40*VLOOKUP('Données projet'!$B$9,Paramètres!$A$1:$I$89,3,0)*VLOOKUP('Données projet'!$B$9,Paramètres!$A$1:$I$89,5,0)</f>
        <v>155.26367999999991</v>
      </c>
      <c r="P40" s="14">
        <f t="shared" si="33"/>
        <v>39.77236412265178</v>
      </c>
      <c r="Q40" s="22">
        <f t="shared" si="53"/>
        <v>339.68777684695164</v>
      </c>
      <c r="R40" s="62">
        <f t="shared" si="0"/>
        <v>633.02111018028495</v>
      </c>
      <c r="S40" s="62">
        <f ca="1">AVERAGE(OFFSET($R$3,0,0,'Données projet'!$E$9+1,1))-AVERAGE(OFFSET($H$3,0,0,'Données projet'!$E$9+1,1))</f>
        <v>244.82163392718377</v>
      </c>
      <c r="T40" s="62">
        <f t="shared" si="34"/>
        <v>342.30266518164211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5.1438119997039653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5.1438119997039653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319.99999999999989</v>
      </c>
      <c r="AJ40" s="14">
        <f>AI40*VLOOKUP('Données projet'!$B$10,Paramètres!$A$1:$I$89,3,0)*VLOOKUP('Données projet'!$B$10,Paramètres!$A$1:$I$89,5,0)</f>
        <v>149.75999999999996</v>
      </c>
      <c r="AK40" s="14">
        <f t="shared" si="35"/>
        <v>38.524039677774766</v>
      </c>
      <c r="AL40" s="22">
        <f t="shared" si="4"/>
        <v>327.9280357721243</v>
      </c>
      <c r="AM40" s="62">
        <f t="shared" si="5"/>
        <v>621.26136910545756</v>
      </c>
      <c r="AN40" s="62">
        <f ca="1">AVERAGE(OFFSET($AM$3,0,0,'Données projet'!$E$10+1,1))-AVERAGE(OFFSET($H$3,0,0,'Données projet'!$E$10+1,1))</f>
        <v>396.92963589781414</v>
      </c>
      <c r="AO40" s="62">
        <f t="shared" si="36"/>
        <v>294.38852181137639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14.4</v>
      </c>
      <c r="BD40" s="13">
        <f>IF('Données projet'!$A$88&gt;35,BD39+BC40-BL39,IF(A40&lt;'Données projet'!$A$88,$BA$205^A40,IF(A40='Données projet'!$A$88,'Données projet'!$B$88,BD39+BC40-BL39)))</f>
        <v>220.80000000000004</v>
      </c>
      <c r="BE40" s="14">
        <f>BD40*VLOOKUP('Données projet'!$B$11,Paramètres!$A$1:$I$89,3,0)*VLOOKUP('Données projet'!$B$11,Paramètres!$A$1:$I$89,5,0)</f>
        <v>132.03840000000005</v>
      </c>
      <c r="BF40" s="14">
        <f t="shared" si="37"/>
        <v>34.466946374534373</v>
      </c>
      <c r="BG40" s="22">
        <f t="shared" si="7"/>
        <v>289.99681160231415</v>
      </c>
      <c r="BH40" s="62">
        <f t="shared" si="8"/>
        <v>583.33014493564747</v>
      </c>
      <c r="BI40" s="62">
        <f ca="1">AVERAGE(OFFSET($BH$3,0,0,'Données projet'!$E$11+1,1))-AVERAGE(OFFSET($H$3,0,0,'Données projet'!$E$11+1,1))</f>
        <v>362.81292020448933</v>
      </c>
      <c r="BJ40" s="62">
        <f t="shared" si="38"/>
        <v>292.26503163353146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1.9913573894822882</v>
      </c>
      <c r="BR40" s="23">
        <f>EXP(-LN(2)/2)*BR39+(1-EXP(-LN(2)/2))/(LN(2)/2)*BL40*BO40*VLOOKUP('Données projet'!$B$11,Paramètres!$A$1:$I$89,3,0)*0.475*44/12</f>
        <v>1.8674920511018394</v>
      </c>
      <c r="BS40" s="24">
        <f t="shared" si="9"/>
        <v>3.8588494405841276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3.8</v>
      </c>
      <c r="N41" s="14">
        <f>IF('Données projet'!$A$36&gt;35,N40+M41-V40,IF(A41&lt;'Données projet'!$A$36,$K$205^A41,IF(A41='Données projet'!$A$36,'Données projet'!$B$36,N40+M41-V40)))</f>
        <v>175.39999999999992</v>
      </c>
      <c r="O41" s="14">
        <f>N41*VLOOKUP('Données projet'!$B$9,Paramètres!$A$1:$I$89,3,0)*VLOOKUP('Données projet'!$B$9,Paramètres!$A$1:$I$89,5,0)</f>
        <v>158.70191999999992</v>
      </c>
      <c r="P41" s="14">
        <f t="shared" si="33"/>
        <v>40.549591173644728</v>
      </c>
      <c r="Q41" s="22">
        <f t="shared" si="53"/>
        <v>347.02971529409774</v>
      </c>
      <c r="R41" s="62">
        <f t="shared" si="0"/>
        <v>640.363048627431</v>
      </c>
      <c r="S41" s="62">
        <f ca="1">AVERAGE(OFFSET($R$3,0,0,'Données projet'!$E$9+1,1))-AVERAGE(OFFSET($H$3,0,0,'Données projet'!$E$9+1,1))</f>
        <v>244.82163392718377</v>
      </c>
      <c r="T41" s="62">
        <f t="shared" si="34"/>
        <v>342.30266518164211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5.0429449838052962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5.0429449838052962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329.99999999999989</v>
      </c>
      <c r="AJ41" s="14">
        <f>AI41*VLOOKUP('Données projet'!$B$10,Paramètres!$A$1:$I$89,3,0)*VLOOKUP('Données projet'!$B$10,Paramètres!$A$1:$I$89,5,0)</f>
        <v>154.43999999999994</v>
      </c>
      <c r="AK41" s="14">
        <f t="shared" si="35"/>
        <v>39.585872170955454</v>
      </c>
      <c r="AL41" s="22">
        <f t="shared" si="4"/>
        <v>337.92839403108059</v>
      </c>
      <c r="AM41" s="62">
        <f t="shared" si="5"/>
        <v>631.2617273644139</v>
      </c>
      <c r="AN41" s="62">
        <f ca="1">AVERAGE(OFFSET($AM$3,0,0,'Données projet'!$E$10+1,1))-AVERAGE(OFFSET($H$3,0,0,'Données projet'!$E$10+1,1))</f>
        <v>396.92963589781414</v>
      </c>
      <c r="AO41" s="62">
        <f t="shared" si="36"/>
        <v>294.38852181137639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14.4</v>
      </c>
      <c r="BD41" s="13">
        <f>IF('Données projet'!$A$88&gt;35,BD40+BC41-BL40,IF(A41&lt;'Données projet'!$A$88,$BA$205^A41,IF(A41='Données projet'!$A$88,'Données projet'!$B$88,BD40+BC41-BL40)))</f>
        <v>235.20000000000005</v>
      </c>
      <c r="BE41" s="14">
        <f>BD41*VLOOKUP('Données projet'!$B$11,Paramètres!$A$1:$I$89,3,0)*VLOOKUP('Données projet'!$B$11,Paramètres!$A$1:$I$89,5,0)</f>
        <v>140.64960000000002</v>
      </c>
      <c r="BF41" s="14">
        <f t="shared" si="37"/>
        <v>36.445779615258601</v>
      </c>
      <c r="BG41" s="22">
        <f t="shared" si="7"/>
        <v>308.44111949657542</v>
      </c>
      <c r="BH41" s="62">
        <f t="shared" si="8"/>
        <v>601.7744528299088</v>
      </c>
      <c r="BI41" s="62">
        <f ca="1">AVERAGE(OFFSET($BH$3,0,0,'Données projet'!$E$11+1,1))-AVERAGE(OFFSET($H$3,0,0,'Données projet'!$E$11+1,1))</f>
        <v>362.81292020448933</v>
      </c>
      <c r="BJ41" s="62">
        <f t="shared" si="38"/>
        <v>292.26503163353146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1.9369036169459612</v>
      </c>
      <c r="BR41" s="23">
        <f>EXP(-LN(2)/2)*BR40+(1-EXP(-LN(2)/2))/(LN(2)/2)*BL41*BO41*VLOOKUP('Données projet'!$B$11,Paramètres!$A$1:$I$89,3,0)*0.475*44/12</f>
        <v>1.3205162931460852</v>
      </c>
      <c r="BS41" s="24">
        <f t="shared" si="9"/>
        <v>3.2574199100920467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3.8</v>
      </c>
      <c r="N42" s="14">
        <f>IF('Données projet'!$A$36&gt;35,N41+M42-V41,IF(A42&lt;'Données projet'!$A$36,$K$205^A42,IF(A42='Données projet'!$A$36,'Données projet'!$B$36,N41+M42-V41)))</f>
        <v>179.19999999999993</v>
      </c>
      <c r="O42" s="14">
        <f>N42*VLOOKUP('Données projet'!$B$9,Paramètres!$A$1:$I$89,3,0)*VLOOKUP('Données projet'!$B$9,Paramètres!$A$1:$I$89,5,0)</f>
        <v>162.14015999999992</v>
      </c>
      <c r="P42" s="14">
        <f t="shared" si="33"/>
        <v>41.324860537333677</v>
      </c>
      <c r="Q42" s="22">
        <f t="shared" si="53"/>
        <v>354.36824410252262</v>
      </c>
      <c r="R42" s="62">
        <f t="shared" si="0"/>
        <v>647.70157743585594</v>
      </c>
      <c r="S42" s="62">
        <f ca="1">AVERAGE(OFFSET($R$3,0,0,'Données projet'!$E$9+1,1))-AVERAGE(OFFSET($H$3,0,0,'Données projet'!$E$9+1,1))</f>
        <v>244.82163392718377</v>
      </c>
      <c r="T42" s="62">
        <f t="shared" si="34"/>
        <v>342.30266518164211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4.9440559085655957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4.9440559085655957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339.99999999999989</v>
      </c>
      <c r="AJ42" s="14">
        <f>AI42*VLOOKUP('Données projet'!$B$10,Paramètres!$A$1:$I$89,3,0)*VLOOKUP('Données projet'!$B$10,Paramètres!$A$1:$I$89,5,0)</f>
        <v>159.11999999999995</v>
      </c>
      <c r="AK42" s="14">
        <f t="shared" si="35"/>
        <v>40.643965284387697</v>
      </c>
      <c r="AL42" s="22">
        <f t="shared" si="4"/>
        <v>347.92223953697516</v>
      </c>
      <c r="AM42" s="62">
        <f t="shared" si="5"/>
        <v>641.25557287030847</v>
      </c>
      <c r="AN42" s="62">
        <f ca="1">AVERAGE(OFFSET($AM$3,0,0,'Données projet'!$E$10+1,1))-AVERAGE(OFFSET($H$3,0,0,'Données projet'!$E$10+1,1))</f>
        <v>396.92963589781414</v>
      </c>
      <c r="AO42" s="62">
        <f t="shared" si="36"/>
        <v>294.38852181137639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14.4</v>
      </c>
      <c r="BD42" s="13">
        <f>IF('Données projet'!$A$88&gt;35,BD41+BC42-BL41,IF(A42&lt;'Données projet'!$A$88,$BA$205^A42,IF(A42='Données projet'!$A$88,'Données projet'!$B$88,BD41+BC42-BL41)))</f>
        <v>249.60000000000005</v>
      </c>
      <c r="BE42" s="14">
        <f>BD42*VLOOKUP('Données projet'!$B$11,Paramètres!$A$1:$I$89,3,0)*VLOOKUP('Données projet'!$B$11,Paramètres!$A$1:$I$89,5,0)</f>
        <v>149.26080000000005</v>
      </c>
      <c r="BF42" s="14">
        <f t="shared" si="37"/>
        <v>38.410551499792909</v>
      </c>
      <c r="BG42" s="22">
        <f t="shared" si="7"/>
        <v>326.86093719547273</v>
      </c>
      <c r="BH42" s="62">
        <f t="shared" si="8"/>
        <v>620.1942705288061</v>
      </c>
      <c r="BI42" s="62">
        <f ca="1">AVERAGE(OFFSET($BH$3,0,0,'Données projet'!$E$11+1,1))-AVERAGE(OFFSET($H$3,0,0,'Données projet'!$E$11+1,1))</f>
        <v>362.81292020448933</v>
      </c>
      <c r="BJ42" s="62">
        <f t="shared" si="38"/>
        <v>292.26503163353146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1.8839388856832395</v>
      </c>
      <c r="BR42" s="23">
        <f>EXP(-LN(2)/2)*BR41+(1-EXP(-LN(2)/2))/(LN(2)/2)*BL42*BO42*VLOOKUP('Données projet'!$B$11,Paramètres!$A$1:$I$89,3,0)*0.475*44/12</f>
        <v>0.93374602555091979</v>
      </c>
      <c r="BS42" s="24">
        <f t="shared" si="9"/>
        <v>2.8176849112341591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183</v>
      </c>
      <c r="L43" s="13">
        <f>VLOOKUP(A43,'Données projet'!$A$35:$I$55,9,0)</f>
        <v>3.8</v>
      </c>
      <c r="M43" s="13">
        <f t="array" ref="M43">INDEX(L:L,MIN(IF(ISNUMBER(L43:L239),ROW(L43:L239),"")))</f>
        <v>3.8</v>
      </c>
      <c r="N43" s="14">
        <f>IF('Données projet'!$A$36&gt;35,N42+M43-V42,IF(A43&lt;'Données projet'!$A$36,$K$205^A43,IF(A43='Données projet'!$A$36,'Données projet'!$B$36,N42+M43-V42)))</f>
        <v>182.99999999999994</v>
      </c>
      <c r="O43" s="14">
        <f>N43*VLOOKUP('Données projet'!$B$9,Paramètres!$A$1:$I$89,3,0)*VLOOKUP('Données projet'!$B$9,Paramètres!$A$1:$I$89,5,0)</f>
        <v>165.57839999999993</v>
      </c>
      <c r="P43" s="14">
        <f t="shared" si="33"/>
        <v>42.098218509199661</v>
      </c>
      <c r="Q43" s="22">
        <f t="shared" si="53"/>
        <v>361.70344390352261</v>
      </c>
      <c r="R43" s="62">
        <f t="shared" si="0"/>
        <v>655.03677723685587</v>
      </c>
      <c r="S43" s="62">
        <f ca="1">AVERAGE(OFFSET($R$3,0,0,'Données projet'!$E$9+1,1))-AVERAGE(OFFSET($H$3,0,0,'Données projet'!$E$9+1,1))</f>
        <v>244.82163392718377</v>
      </c>
      <c r="T43" s="62">
        <f t="shared" si="34"/>
        <v>342.30266518164211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4.8471059877749649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4.8471059877749649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349.99999999999989</v>
      </c>
      <c r="AJ43" s="14">
        <f>AI43*VLOOKUP('Données projet'!$B$10,Paramètres!$A$1:$I$89,3,0)*VLOOKUP('Données projet'!$B$10,Paramètres!$A$1:$I$89,5,0)</f>
        <v>163.79999999999995</v>
      </c>
      <c r="AK43" s="14">
        <f t="shared" si="35"/>
        <v>41.698441627605291</v>
      </c>
      <c r="AL43" s="22">
        <f t="shared" si="4"/>
        <v>357.90978583474572</v>
      </c>
      <c r="AM43" s="62">
        <f t="shared" si="5"/>
        <v>651.24311916807903</v>
      </c>
      <c r="AN43" s="62">
        <f ca="1">AVERAGE(OFFSET($AM$3,0,0,'Données projet'!$E$10+1,1))-AVERAGE(OFFSET($H$3,0,0,'Données projet'!$E$10+1,1))</f>
        <v>396.92963589781414</v>
      </c>
      <c r="AO43" s="62">
        <f t="shared" si="36"/>
        <v>294.38852181137639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88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264</v>
      </c>
      <c r="BB43" s="13">
        <f>VLOOKUP(A43,'Données projet'!$A$87:$I$107,9,0)</f>
        <v>14.4</v>
      </c>
      <c r="BC43" s="13">
        <f t="array" ref="BC43">INDEX(BB:BB,MIN(IF(ISNUMBER(BB43:BB239),ROW(BB43:BB239),"")))</f>
        <v>14.4</v>
      </c>
      <c r="BD43" s="13">
        <f>IF('Données projet'!$A$88&gt;35,BD42+BC43-BL42,IF(A43&lt;'Données projet'!$A$88,$BA$205^A43,IF(A43='Données projet'!$A$88,'Données projet'!$B$88,BD42+BC43-BL42)))</f>
        <v>264.00000000000006</v>
      </c>
      <c r="BE43" s="14">
        <f>BD43*VLOOKUP('Données projet'!$B$11,Paramètres!$A$1:$I$89,3,0)*VLOOKUP('Données projet'!$B$11,Paramètres!$A$1:$I$89,5,0)</f>
        <v>157.87200000000004</v>
      </c>
      <c r="BF43" s="14">
        <f t="shared" si="37"/>
        <v>40.362165684361159</v>
      </c>
      <c r="BG43" s="22">
        <f t="shared" si="7"/>
        <v>345.25783856692902</v>
      </c>
      <c r="BH43" s="62">
        <f t="shared" si="8"/>
        <v>638.59117190026234</v>
      </c>
      <c r="BI43" s="62">
        <f ca="1">AVERAGE(OFFSET($BH$3,0,0,'Données projet'!$E$11+1,1))-AVERAGE(OFFSET($H$3,0,0,'Données projet'!$E$11+1,1))</f>
        <v>362.81292020448933</v>
      </c>
      <c r="BJ43" s="62">
        <f t="shared" si="38"/>
        <v>292.26503163353146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1.8324224777821911</v>
      </c>
      <c r="BR43" s="23">
        <f>EXP(-LN(2)/2)*BR42+(1-EXP(-LN(2)/2))/(LN(2)/2)*BL43*BO43*VLOOKUP('Données projet'!$B$11,Paramètres!$A$1:$I$89,3,0)*0.475*44/12</f>
        <v>0.66025814657304271</v>
      </c>
      <c r="BS43" s="24">
        <f t="shared" si="9"/>
        <v>2.4926806243552337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</v>
      </c>
      <c r="N44" s="14">
        <f>IF('Données projet'!$A$36&gt;35,N43+M44-V43,IF(A44&lt;'Données projet'!$A$36,$K$205^A44,IF(A44='Données projet'!$A$36,'Données projet'!$B$36,N43+M44-V43)))</f>
        <v>182.79999999999995</v>
      </c>
      <c r="O44" s="14">
        <f>N44*VLOOKUP('Données projet'!$B$9,Paramètres!$A$1:$I$89,3,0)*VLOOKUP('Données projet'!$B$9,Paramètres!$A$1:$I$89,5,0)</f>
        <v>165.39743999999996</v>
      </c>
      <c r="P44" s="14">
        <f t="shared" si="33"/>
        <v>42.057562385840804</v>
      </c>
      <c r="Q44" s="22">
        <f t="shared" si="53"/>
        <v>361.31746248867267</v>
      </c>
      <c r="R44" s="62">
        <f t="shared" si="0"/>
        <v>654.65079582200599</v>
      </c>
      <c r="S44" s="62">
        <f ca="1">AVERAGE(OFFSET($R$3,0,0,'Données projet'!$E$9+1,1))-AVERAGE(OFFSET($H$3,0,0,'Données projet'!$E$9+1,1))</f>
        <v>244.82163392718377</v>
      </c>
      <c r="T44" s="62">
        <f t="shared" si="34"/>
        <v>342.30266518164211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4.752057195797426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4.752057195797426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273.49999999999989</v>
      </c>
      <c r="AJ44" s="14">
        <f>AI44*VLOOKUP('Données projet'!$B$10,Paramètres!$A$1:$I$89,3,0)*VLOOKUP('Données projet'!$B$10,Paramètres!$A$1:$I$89,5,0)</f>
        <v>127.99799999999995</v>
      </c>
      <c r="AK44" s="14">
        <f t="shared" si="35"/>
        <v>33.533338894635314</v>
      </c>
      <c r="AL44" s="22">
        <f t="shared" si="4"/>
        <v>281.33374857482306</v>
      </c>
      <c r="AM44" s="62">
        <f t="shared" si="5"/>
        <v>574.66708190815643</v>
      </c>
      <c r="AN44" s="62">
        <f ca="1">AVERAGE(OFFSET($AM$3,0,0,'Données projet'!$E$10+1,1))-AVERAGE(OFFSET($H$3,0,0,'Données projet'!$E$10+1,1))</f>
        <v>396.92963589781414</v>
      </c>
      <c r="AO44" s="62">
        <f t="shared" si="36"/>
        <v>294.38852181137639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16.600000000000001</v>
      </c>
      <c r="BD44" s="13">
        <f>IF('Données projet'!$A$88&gt;35,BD43+BC44-BL43,IF(A44&lt;'Données projet'!$A$88,$BA$205^A44,IF(A44='Données projet'!$A$88,'Données projet'!$B$88,BD43+BC44-BL43)))</f>
        <v>239.60000000000008</v>
      </c>
      <c r="BE44" s="14">
        <f>BD44*VLOOKUP('Données projet'!$B$11,Paramètres!$A$1:$I$89,3,0)*VLOOKUP('Données projet'!$B$11,Paramètres!$A$1:$I$89,5,0)</f>
        <v>143.28080000000006</v>
      </c>
      <c r="BF44" s="14">
        <f t="shared" si="37"/>
        <v>37.047574465948976</v>
      </c>
      <c r="BG44" s="22">
        <f t="shared" si="7"/>
        <v>314.07191886152788</v>
      </c>
      <c r="BH44" s="62">
        <f t="shared" si="8"/>
        <v>607.40525219486119</v>
      </c>
      <c r="BI44" s="62">
        <f ca="1">AVERAGE(OFFSET($BH$3,0,0,'Données projet'!$E$11+1,1))-AVERAGE(OFFSET($H$3,0,0,'Données projet'!$E$11+1,1))</f>
        <v>362.81292020448933</v>
      </c>
      <c r="BJ44" s="62">
        <f t="shared" si="38"/>
        <v>292.26503163353146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1.7823147887643271</v>
      </c>
      <c r="BR44" s="23">
        <f>EXP(-LN(2)/2)*BR43+(1-EXP(-LN(2)/2))/(LN(2)/2)*BL44*BO44*VLOOKUP('Données projet'!$B$11,Paramètres!$A$1:$I$89,3,0)*0.475*44/12</f>
        <v>0.46687301277545995</v>
      </c>
      <c r="BS44" s="24">
        <f t="shared" si="9"/>
        <v>2.249187801539787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3.8</v>
      </c>
      <c r="N45" s="14">
        <f>IF('Données projet'!$A$36&gt;35,N44+M45-V44,IF(A45&lt;'Données projet'!$A$36,$K$205^A45,IF(A45='Données projet'!$A$36,'Données projet'!$B$36,N44+M45-V44)))</f>
        <v>186.59999999999997</v>
      </c>
      <c r="O45" s="14">
        <f>N45*VLOOKUP('Données projet'!$B$9,Paramètres!$A$1:$I$89,3,0)*VLOOKUP('Données projet'!$B$9,Paramètres!$A$1:$I$89,5,0)</f>
        <v>168.83567999999994</v>
      </c>
      <c r="P45" s="14">
        <f t="shared" si="33"/>
        <v>42.829150426593394</v>
      </c>
      <c r="Q45" s="22">
        <f t="shared" si="53"/>
        <v>368.64957965965004</v>
      </c>
      <c r="R45" s="62">
        <f t="shared" si="0"/>
        <v>661.9829129929833</v>
      </c>
      <c r="S45" s="62">
        <f ca="1">AVERAGE(OFFSET($R$3,0,0,'Données projet'!$E$9+1,1))-AVERAGE(OFFSET($H$3,0,0,'Données projet'!$E$9+1,1))</f>
        <v>244.82163392718377</v>
      </c>
      <c r="T45" s="62">
        <f t="shared" si="34"/>
        <v>342.30266518164211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4.6588722526565283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4.6588722526565283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284.99999999999989</v>
      </c>
      <c r="AJ45" s="14">
        <f>AI45*VLOOKUP('Données projet'!$B$10,Paramètres!$A$1:$I$89,3,0)*VLOOKUP('Données projet'!$B$10,Paramètres!$A$1:$I$89,5,0)</f>
        <v>133.37999999999994</v>
      </c>
      <c r="AK45" s="14">
        <f t="shared" si="35"/>
        <v>34.776207535548991</v>
      </c>
      <c r="AL45" s="22">
        <f t="shared" si="4"/>
        <v>292.87206145774769</v>
      </c>
      <c r="AM45" s="62">
        <f t="shared" si="5"/>
        <v>586.20539479108106</v>
      </c>
      <c r="AN45" s="62">
        <f ca="1">AVERAGE(OFFSET($AM$3,0,0,'Données projet'!$E$10+1,1))-AVERAGE(OFFSET($H$3,0,0,'Données projet'!$E$10+1,1))</f>
        <v>396.92963589781414</v>
      </c>
      <c r="AO45" s="62">
        <f t="shared" si="36"/>
        <v>294.38852181137639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16.600000000000001</v>
      </c>
      <c r="BD45" s="13">
        <f>IF('Données projet'!$A$88&gt;35,BD44+BC45-BL44,IF(A45&lt;'Données projet'!$A$88,$BA$205^A45,IF(A45='Données projet'!$A$88,'Données projet'!$B$88,BD44+BC45-BL44)))</f>
        <v>256.2000000000001</v>
      </c>
      <c r="BE45" s="14">
        <f>BD45*VLOOKUP('Données projet'!$B$11,Paramètres!$A$1:$I$89,3,0)*VLOOKUP('Données projet'!$B$11,Paramètres!$A$1:$I$89,5,0)</f>
        <v>153.20760000000007</v>
      </c>
      <c r="BF45" s="14">
        <f t="shared" si="37"/>
        <v>39.306624169832133</v>
      </c>
      <c r="BG45" s="22">
        <f t="shared" si="7"/>
        <v>335.29560709579107</v>
      </c>
      <c r="BH45" s="62">
        <f t="shared" si="8"/>
        <v>628.62894042912444</v>
      </c>
      <c r="BI45" s="62">
        <f ca="1">AVERAGE(OFFSET($BH$3,0,0,'Données projet'!$E$11+1,1))-AVERAGE(OFFSET($H$3,0,0,'Données projet'!$E$11+1,1))</f>
        <v>362.81292020448933</v>
      </c>
      <c r="BJ45" s="62">
        <f t="shared" si="38"/>
        <v>292.26503163353146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1.7335772971377055</v>
      </c>
      <c r="BR45" s="23">
        <f>EXP(-LN(2)/2)*BR44+(1-EXP(-LN(2)/2))/(LN(2)/2)*BL45*BO45*VLOOKUP('Données projet'!$B$11,Paramètres!$A$1:$I$89,3,0)*0.475*44/12</f>
        <v>0.33012907328652141</v>
      </c>
      <c r="BS45" s="24">
        <f t="shared" si="9"/>
        <v>2.0637063704242271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3.8</v>
      </c>
      <c r="N46" s="14">
        <f>IF('Données projet'!$A$36&gt;35,N45+M46-V45,IF(A46&lt;'Données projet'!$A$36,$K$205^A46,IF(A46='Données projet'!$A$36,'Données projet'!$B$36,N45+M46-V45)))</f>
        <v>190.39999999999998</v>
      </c>
      <c r="O46" s="14">
        <f>N46*VLOOKUP('Données projet'!$B$9,Paramètres!$A$1:$I$89,3,0)*VLOOKUP('Données projet'!$B$9,Paramètres!$A$1:$I$89,5,0)</f>
        <v>172.27391999999998</v>
      </c>
      <c r="P46" s="14">
        <f t="shared" si="33"/>
        <v>43.598911513699605</v>
      </c>
      <c r="Q46" s="22">
        <f t="shared" si="53"/>
        <v>375.97851488636002</v>
      </c>
      <c r="R46" s="62">
        <f t="shared" si="0"/>
        <v>669.31184821969327</v>
      </c>
      <c r="S46" s="62">
        <f ca="1">AVERAGE(OFFSET($R$3,0,0,'Données projet'!$E$9+1,1))-AVERAGE(OFFSET($H$3,0,0,'Données projet'!$E$9+1,1))</f>
        <v>244.82163392718377</v>
      </c>
      <c r="T46" s="62">
        <f t="shared" si="34"/>
        <v>342.30266518164211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4.5675146094134202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4.5675146094134202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11.5</v>
      </c>
      <c r="AI46" s="14">
        <f>IF('Données projet'!$A$62&gt;35,AI45+AH46-AQ45,IF(A46&lt;'Données projet'!$A$62,$AF$205^A46,IF(A46='Données projet'!$A$62,'Données projet'!$B$62,AI45+AH46-AQ45)))</f>
        <v>296.49999999999989</v>
      </c>
      <c r="AJ46" s="14">
        <f>AI46*VLOOKUP('Données projet'!$B$10,Paramètres!$A$1:$I$89,3,0)*VLOOKUP('Données projet'!$B$10,Paramètres!$A$1:$I$89,5,0)</f>
        <v>138.76199999999994</v>
      </c>
      <c r="AK46" s="14">
        <f t="shared" si="35"/>
        <v>36.01325063671441</v>
      </c>
      <c r="AL46" s="22">
        <f t="shared" si="4"/>
        <v>304.4002281922775</v>
      </c>
      <c r="AM46" s="62">
        <f t="shared" si="5"/>
        <v>597.73356152561087</v>
      </c>
      <c r="AN46" s="62">
        <f ca="1">AVERAGE(OFFSET($AM$3,0,0,'Données projet'!$E$10+1,1))-AVERAGE(OFFSET($H$3,0,0,'Données projet'!$E$10+1,1))</f>
        <v>396.92963589781414</v>
      </c>
      <c r="AO46" s="62">
        <f t="shared" si="36"/>
        <v>294.38852181137639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16.600000000000001</v>
      </c>
      <c r="BD46" s="13">
        <f>IF('Données projet'!$A$88&gt;35,BD45+BC46-BL45,IF(A46&lt;'Données projet'!$A$88,$BA$205^A46,IF(A46='Données projet'!$A$88,'Données projet'!$B$88,BD45+BC46-BL45)))</f>
        <v>272.80000000000013</v>
      </c>
      <c r="BE46" s="14">
        <f>BD46*VLOOKUP('Données projet'!$B$11,Paramètres!$A$1:$I$89,3,0)*VLOOKUP('Données projet'!$B$11,Paramètres!$A$1:$I$89,5,0)</f>
        <v>163.13440000000008</v>
      </c>
      <c r="BF46" s="14">
        <f t="shared" si="37"/>
        <v>41.548687845426002</v>
      </c>
      <c r="BG46" s="22">
        <f t="shared" si="7"/>
        <v>356.48971133078379</v>
      </c>
      <c r="BH46" s="62">
        <f t="shared" si="8"/>
        <v>649.82304466411711</v>
      </c>
      <c r="BI46" s="62">
        <f ca="1">AVERAGE(OFFSET($BH$3,0,0,'Données projet'!$E$11+1,1))-AVERAGE(OFFSET($H$3,0,0,'Données projet'!$E$11+1,1))</f>
        <v>362.81292020448933</v>
      </c>
      <c r="BJ46" s="62">
        <f t="shared" si="38"/>
        <v>292.26503163353146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1.6861725347826071</v>
      </c>
      <c r="BR46" s="23">
        <f>EXP(-LN(2)/2)*BR45+(1-EXP(-LN(2)/2))/(LN(2)/2)*BL46*BO46*VLOOKUP('Données projet'!$B$11,Paramètres!$A$1:$I$89,3,0)*0.475*44/12</f>
        <v>0.23343650638773003</v>
      </c>
      <c r="BS46" s="24">
        <f t="shared" si="9"/>
        <v>1.919609041170337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3.8</v>
      </c>
      <c r="N47" s="14">
        <f>IF('Données projet'!$A$36&gt;35,N46+M47-V46,IF(A47&lt;'Données projet'!$A$36,$K$205^A47,IF(A47='Données projet'!$A$36,'Données projet'!$B$36,N46+M47-V46)))</f>
        <v>194.2</v>
      </c>
      <c r="O47" s="14">
        <f>N47*VLOOKUP('Données projet'!$B$9,Paramètres!$A$1:$I$89,3,0)*VLOOKUP('Données projet'!$B$9,Paramètres!$A$1:$I$89,5,0)</f>
        <v>175.71215999999998</v>
      </c>
      <c r="P47" s="14">
        <f t="shared" si="33"/>
        <v>44.366886311884528</v>
      </c>
      <c r="Q47" s="22">
        <f t="shared" si="53"/>
        <v>383.30433899319883</v>
      </c>
      <c r="R47" s="62">
        <f t="shared" si="0"/>
        <v>676.63767232653208</v>
      </c>
      <c r="S47" s="62">
        <f ca="1">AVERAGE(OFFSET($R$3,0,0,'Données projet'!$E$9+1,1))-AVERAGE(OFFSET($H$3,0,0,'Données projet'!$E$9+1,1))</f>
        <v>244.82163392718377</v>
      </c>
      <c r="T47" s="62">
        <f t="shared" si="34"/>
        <v>342.30266518164211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4.4779484338316493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4.4779484338316493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11.5</v>
      </c>
      <c r="AI47" s="14">
        <f>IF('Données projet'!$A$62&gt;35,AI46+AH47-AQ46,IF(A47&lt;'Données projet'!$A$62,$AF$205^A47,IF(A47='Données projet'!$A$62,'Données projet'!$B$62,AI46+AH47-AQ46)))</f>
        <v>307.99999999999989</v>
      </c>
      <c r="AJ47" s="14">
        <f>AI47*VLOOKUP('Données projet'!$B$10,Paramètres!$A$1:$I$89,3,0)*VLOOKUP('Données projet'!$B$10,Paramètres!$A$1:$I$89,5,0)</f>
        <v>144.14399999999995</v>
      </c>
      <c r="AK47" s="14">
        <f t="shared" si="35"/>
        <v>37.244720006976216</v>
      </c>
      <c r="AL47" s="22">
        <f t="shared" si="4"/>
        <v>315.91868734548348</v>
      </c>
      <c r="AM47" s="62">
        <f t="shared" si="5"/>
        <v>609.25202067881673</v>
      </c>
      <c r="AN47" s="62">
        <f ca="1">AVERAGE(OFFSET($AM$3,0,0,'Données projet'!$E$10+1,1))-AVERAGE(OFFSET($H$3,0,0,'Données projet'!$E$10+1,1))</f>
        <v>396.92963589781414</v>
      </c>
      <c r="AO47" s="62">
        <f t="shared" si="36"/>
        <v>294.38852181137639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16.600000000000001</v>
      </c>
      <c r="BD47" s="13">
        <f>IF('Données projet'!$A$88&gt;35,BD46+BC47-BL46,IF(A47&lt;'Données projet'!$A$88,$BA$205^A47,IF(A47='Données projet'!$A$88,'Données projet'!$B$88,BD46+BC47-BL46)))</f>
        <v>289.40000000000015</v>
      </c>
      <c r="BE47" s="14">
        <f>BD47*VLOOKUP('Données projet'!$B$11,Paramètres!$A$1:$I$89,3,0)*VLOOKUP('Données projet'!$B$11,Paramètres!$A$1:$I$89,5,0)</f>
        <v>173.0612000000001</v>
      </c>
      <c r="BF47" s="14">
        <f t="shared" si="37"/>
        <v>43.774916798471111</v>
      </c>
      <c r="BG47" s="22">
        <f t="shared" si="7"/>
        <v>377.65623675733735</v>
      </c>
      <c r="BH47" s="62">
        <f t="shared" si="8"/>
        <v>670.98957009067067</v>
      </c>
      <c r="BI47" s="62">
        <f ca="1">AVERAGE(OFFSET($BH$3,0,0,'Données projet'!$E$11+1,1))-AVERAGE(OFFSET($H$3,0,0,'Données projet'!$E$11+1,1))</f>
        <v>362.81292020448933</v>
      </c>
      <c r="BJ47" s="62">
        <f t="shared" si="38"/>
        <v>292.26503163353146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1.6400640581470169</v>
      </c>
      <c r="BR47" s="23">
        <f>EXP(-LN(2)/2)*BR46+(1-EXP(-LN(2)/2))/(LN(2)/2)*BL47*BO47*VLOOKUP('Données projet'!$B$11,Paramètres!$A$1:$I$89,3,0)*0.475*44/12</f>
        <v>0.16506453664326073</v>
      </c>
      <c r="BS47" s="24">
        <f t="shared" si="9"/>
        <v>1.8051285947902778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198</v>
      </c>
      <c r="L48" s="13">
        <f>VLOOKUP(A48,'Données projet'!$A$35:$I$55,9,0)</f>
        <v>3.8</v>
      </c>
      <c r="M48" s="13">
        <f t="array" ref="M48">INDEX(L:L,MIN(IF(ISNUMBER(L48:L244),ROW(L48:L244),"")))</f>
        <v>3.8</v>
      </c>
      <c r="N48" s="14">
        <f>IF('Données projet'!$A$36&gt;35,N47+M48-V47,IF(A48&lt;'Données projet'!$A$36,$K$205^A48,IF(A48='Données projet'!$A$36,'Données projet'!$B$36,N47+M48-V47)))</f>
        <v>198</v>
      </c>
      <c r="O48" s="14">
        <f>N48*VLOOKUP('Données projet'!$B$9,Paramètres!$A$1:$I$89,3,0)*VLOOKUP('Données projet'!$B$9,Paramètres!$A$1:$I$89,5,0)</f>
        <v>179.15039999999999</v>
      </c>
      <c r="P48" s="14">
        <f t="shared" si="33"/>
        <v>45.133113803437304</v>
      </c>
      <c r="Q48" s="22">
        <f t="shared" si="53"/>
        <v>390.62711987431993</v>
      </c>
      <c r="R48" s="62">
        <f t="shared" si="0"/>
        <v>683.96045320765325</v>
      </c>
      <c r="S48" s="62">
        <f ca="1">AVERAGE(OFFSET($R$3,0,0,'Données projet'!$E$9+1,1))-AVERAGE(OFFSET($H$3,0,0,'Données projet'!$E$9+1,1))</f>
        <v>244.82163392718377</v>
      </c>
      <c r="T48" s="62">
        <f t="shared" si="34"/>
        <v>342.30266518164211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198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4.3901385963230641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4.3901385963230641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11.5</v>
      </c>
      <c r="AI48" s="14">
        <f>IF('Données projet'!$A$62&gt;35,AI47+AH48-AQ47,IF(A48&lt;'Données projet'!$A$62,$AF$205^A48,IF(A48='Données projet'!$A$62,'Données projet'!$B$62,AI47+AH48-AQ47)))</f>
        <v>319.49999999999989</v>
      </c>
      <c r="AJ48" s="14">
        <f>AI48*VLOOKUP('Données projet'!$B$10,Paramètres!$A$1:$I$89,3,0)*VLOOKUP('Données projet'!$B$10,Paramètres!$A$1:$I$89,5,0)</f>
        <v>149.52599999999995</v>
      </c>
      <c r="AK48" s="14">
        <f t="shared" si="35"/>
        <v>38.470847585964201</v>
      </c>
      <c r="AL48" s="22">
        <f t="shared" si="4"/>
        <v>327.42784287888759</v>
      </c>
      <c r="AM48" s="62">
        <f t="shared" si="5"/>
        <v>620.7611762122209</v>
      </c>
      <c r="AN48" s="62">
        <f ca="1">AVERAGE(OFFSET($AM$3,0,0,'Données projet'!$E$10+1,1))-AVERAGE(OFFSET($H$3,0,0,'Données projet'!$E$10+1,1))</f>
        <v>396.92963589781414</v>
      </c>
      <c r="AO48" s="62">
        <f t="shared" si="36"/>
        <v>294.38852181137639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306</v>
      </c>
      <c r="BB48" s="13">
        <f>VLOOKUP(A48,'Données projet'!$A$87:$I$107,9,0)</f>
        <v>16.600000000000001</v>
      </c>
      <c r="BC48" s="13">
        <f t="array" ref="BC48">INDEX(BB:BB,MIN(IF(ISNUMBER(BB48:BB244),ROW(BB48:BB244),"")))</f>
        <v>16.600000000000001</v>
      </c>
      <c r="BD48" s="13">
        <f>IF('Données projet'!$A$88&gt;35,BD47+BC48-BL47,IF(A48&lt;'Données projet'!$A$88,$BA$205^A48,IF(A48='Données projet'!$A$88,'Données projet'!$B$88,BD47+BC48-BL47)))</f>
        <v>306.00000000000017</v>
      </c>
      <c r="BE48" s="14">
        <f>BD48*VLOOKUP('Données projet'!$B$11,Paramètres!$A$1:$I$89,3,0)*VLOOKUP('Données projet'!$B$11,Paramètres!$A$1:$I$89,5,0)</f>
        <v>182.98800000000011</v>
      </c>
      <c r="BF48" s="14">
        <f t="shared" si="37"/>
        <v>45.986322796524874</v>
      </c>
      <c r="BG48" s="22">
        <f t="shared" si="7"/>
        <v>398.79694553728103</v>
      </c>
      <c r="BH48" s="62">
        <f t="shared" si="8"/>
        <v>692.13027887061435</v>
      </c>
      <c r="BI48" s="62">
        <f ca="1">AVERAGE(OFFSET($BH$3,0,0,'Données projet'!$E$11+1,1))-AVERAGE(OFFSET($H$3,0,0,'Données projet'!$E$11+1,1))</f>
        <v>362.81292020448933</v>
      </c>
      <c r="BJ48" s="62">
        <f t="shared" si="38"/>
        <v>292.26503163353146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1.5952164202297663</v>
      </c>
      <c r="BR48" s="23">
        <f>EXP(-LN(2)/2)*BR47+(1-EXP(-LN(2)/2))/(LN(2)/2)*BL48*BO48*VLOOKUP('Données projet'!$B$11,Paramètres!$A$1:$I$89,3,0)*0.475*44/12</f>
        <v>0.11671825319386503</v>
      </c>
      <c r="BS48" s="24">
        <f t="shared" si="9"/>
        <v>1.7119346734236314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244.82163392718377</v>
      </c>
      <c r="T49" s="62">
        <f t="shared" si="34"/>
        <v>342.30266518164211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4.3040506561693093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4.3040506561693093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</v>
      </c>
      <c r="AI49" s="14">
        <f>IF('Données projet'!$A$62&gt;35,AI48+AH49-AQ48,IF(A49&lt;'Données projet'!$A$62,$AF$205^A49,IF(A49='Données projet'!$A$62,'Données projet'!$B$62,AI48+AH49-AQ48)))</f>
        <v>330.99999999999989</v>
      </c>
      <c r="AJ49" s="14">
        <f>AI49*VLOOKUP('Données projet'!$B$10,Paramètres!$A$1:$I$89,3,0)*VLOOKUP('Données projet'!$B$10,Paramètres!$A$1:$I$89,5,0)</f>
        <v>154.90799999999996</v>
      </c>
      <c r="AK49" s="14">
        <f t="shared" si="35"/>
        <v>39.691847670151873</v>
      </c>
      <c r="AL49" s="22">
        <f t="shared" si="4"/>
        <v>338.92806802551439</v>
      </c>
      <c r="AM49" s="62">
        <f t="shared" si="5"/>
        <v>632.26140135884771</v>
      </c>
      <c r="AN49" s="62">
        <f ca="1">AVERAGE(OFFSET($AM$3,0,0,'Données projet'!$E$10+1,1))-AVERAGE(OFFSET($H$3,0,0,'Données projet'!$E$10+1,1))</f>
        <v>396.92963589781414</v>
      </c>
      <c r="AO49" s="62">
        <f t="shared" si="36"/>
        <v>294.38852181137639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270.40000000000015</v>
      </c>
      <c r="BE49" s="14">
        <f>BD49*VLOOKUP('Données projet'!$B$11,Paramètres!$A$1:$I$89,3,0)*VLOOKUP('Données projet'!$B$11,Paramètres!$A$1:$I$89,5,0)</f>
        <v>161.6992000000001</v>
      </c>
      <c r="BF49" s="14">
        <f t="shared" si="37"/>
        <v>41.225538754249229</v>
      </c>
      <c r="BG49" s="22">
        <f t="shared" si="7"/>
        <v>353.42725333031763</v>
      </c>
      <c r="BH49" s="62">
        <f t="shared" si="8"/>
        <v>646.76058666365088</v>
      </c>
      <c r="BI49" s="62">
        <f ca="1">AVERAGE(OFFSET($BH$3,0,0,'Données projet'!$E$11+1,1))-AVERAGE(OFFSET($H$3,0,0,'Données projet'!$E$11+1,1))</f>
        <v>362.81292020448933</v>
      </c>
      <c r="BJ49" s="62">
        <f t="shared" si="38"/>
        <v>292.26503163353146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1.5515951433297976</v>
      </c>
      <c r="BR49" s="23">
        <f>EXP(-LN(2)/2)*BR48+(1-EXP(-LN(2)/2))/(LN(2)/2)*BL49*BO49*VLOOKUP('Données projet'!$B$11,Paramètres!$A$1:$I$89,3,0)*0.475*44/12</f>
        <v>8.2532268321630381E-2</v>
      </c>
      <c r="BS49" s="24">
        <f t="shared" si="9"/>
        <v>1.6341274116514279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244.82163392718377</v>
      </c>
      <c r="T50" s="62">
        <f t="shared" si="34"/>
        <v>342.30266518164211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4.2196508480135115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4.2196508480135115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</v>
      </c>
      <c r="AI50" s="14">
        <f>IF('Données projet'!$A$62&gt;35,AI49+AH50-AQ49,IF(A50&lt;'Données projet'!$A$62,$AF$205^A50,IF(A50='Données projet'!$A$62,'Données projet'!$B$62,AI49+AH50-AQ49)))</f>
        <v>342.49999999999989</v>
      </c>
      <c r="AJ50" s="14">
        <f>AI50*VLOOKUP('Données projet'!$B$10,Paramètres!$A$1:$I$89,3,0)*VLOOKUP('Données projet'!$B$10,Paramètres!$A$1:$I$89,5,0)</f>
        <v>160.28999999999994</v>
      </c>
      <c r="AK50" s="14">
        <f t="shared" si="35"/>
        <v>40.907918820862015</v>
      </c>
      <c r="AL50" s="22">
        <f t="shared" si="4"/>
        <v>350.41970861300121</v>
      </c>
      <c r="AM50" s="62">
        <f t="shared" si="5"/>
        <v>643.75304194633452</v>
      </c>
      <c r="AN50" s="62">
        <f ca="1">AVERAGE(OFFSET($AM$3,0,0,'Données projet'!$E$10+1,1))-AVERAGE(OFFSET($H$3,0,0,'Données projet'!$E$10+1,1))</f>
        <v>396.92963589781414</v>
      </c>
      <c r="AO50" s="62">
        <f t="shared" si="36"/>
        <v>294.38852181137639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287.80000000000013</v>
      </c>
      <c r="BE50" s="14">
        <f>BD50*VLOOKUP('Données projet'!$B$11,Paramètres!$A$1:$I$89,3,0)*VLOOKUP('Données projet'!$B$11,Paramètres!$A$1:$I$89,5,0)</f>
        <v>172.10440000000008</v>
      </c>
      <c r="BF50" s="14">
        <f t="shared" si="37"/>
        <v>43.561001176960559</v>
      </c>
      <c r="BG50" s="22">
        <f t="shared" si="7"/>
        <v>375.61724038320648</v>
      </c>
      <c r="BH50" s="62">
        <f t="shared" si="8"/>
        <v>668.95057371653979</v>
      </c>
      <c r="BI50" s="62">
        <f ca="1">AVERAGE(OFFSET($BH$3,0,0,'Données projet'!$E$11+1,1))-AVERAGE(OFFSET($H$3,0,0,'Données projet'!$E$11+1,1))</f>
        <v>362.81292020448933</v>
      </c>
      <c r="BJ50" s="62">
        <f t="shared" si="38"/>
        <v>292.26503163353146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1.509166692540602</v>
      </c>
      <c r="BR50" s="23">
        <f>EXP(-LN(2)/2)*BR49+(1-EXP(-LN(2)/2))/(LN(2)/2)*BL50*BO50*VLOOKUP('Données projet'!$B$11,Paramètres!$A$1:$I$89,3,0)*0.475*44/12</f>
        <v>5.8359126596932528E-2</v>
      </c>
      <c r="BS50" s="24">
        <f t="shared" si="9"/>
        <v>1.5675258191375345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244.82163392718377</v>
      </c>
      <c r="T51" s="62">
        <f t="shared" si="34"/>
        <v>342.30266518164211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4.1369060686168488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4.1369060686168488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</v>
      </c>
      <c r="AI51" s="14">
        <f>IF('Données projet'!$A$62&gt;35,AI50+AH51-AQ50,IF(A51&lt;'Données projet'!$A$62,$AF$205^A51,IF(A51='Données projet'!$A$62,'Données projet'!$B$62,AI50+AH51-AQ50)))</f>
        <v>353.99999999999989</v>
      </c>
      <c r="AJ51" s="14">
        <f>AI51*VLOOKUP('Données projet'!$B$10,Paramètres!$A$1:$I$89,3,0)*VLOOKUP('Données projet'!$B$10,Paramètres!$A$1:$I$89,5,0)</f>
        <v>165.67199999999994</v>
      </c>
      <c r="AK51" s="14">
        <f t="shared" si="35"/>
        <v>42.119245508815517</v>
      </c>
      <c r="AL51" s="22">
        <f t="shared" si="4"/>
        <v>361.90308592785351</v>
      </c>
      <c r="AM51" s="62">
        <f t="shared" si="5"/>
        <v>655.23641926118682</v>
      </c>
      <c r="AN51" s="62">
        <f ca="1">AVERAGE(OFFSET($AM$3,0,0,'Données projet'!$E$10+1,1))-AVERAGE(OFFSET($H$3,0,0,'Données projet'!$E$10+1,1))</f>
        <v>396.92963589781414</v>
      </c>
      <c r="AO51" s="62">
        <f t="shared" si="36"/>
        <v>294.38852181137639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305.2000000000001</v>
      </c>
      <c r="BE51" s="14">
        <f>BD51*VLOOKUP('Données projet'!$B$11,Paramètres!$A$1:$I$89,3,0)*VLOOKUP('Données projet'!$B$11,Paramètres!$A$1:$I$89,5,0)</f>
        <v>182.50960000000006</v>
      </c>
      <c r="BF51" s="14">
        <f t="shared" si="37"/>
        <v>45.880075205637056</v>
      </c>
      <c r="BG51" s="22">
        <f t="shared" si="7"/>
        <v>397.77868431648454</v>
      </c>
      <c r="BH51" s="62">
        <f t="shared" si="8"/>
        <v>691.11201764981786</v>
      </c>
      <c r="BI51" s="62">
        <f ca="1">AVERAGE(OFFSET($BH$3,0,0,'Données projet'!$E$11+1,1))-AVERAGE(OFFSET($H$3,0,0,'Données projet'!$E$11+1,1))</f>
        <v>362.81292020448933</v>
      </c>
      <c r="BJ51" s="62">
        <f t="shared" si="38"/>
        <v>292.26503163353146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1.4678984499694521</v>
      </c>
      <c r="BR51" s="23">
        <f>EXP(-LN(2)/2)*BR50+(1-EXP(-LN(2)/2))/(LN(2)/2)*BL51*BO51*VLOOKUP('Données projet'!$B$11,Paramètres!$A$1:$I$89,3,0)*0.475*44/12</f>
        <v>4.1266134160815197E-2</v>
      </c>
      <c r="BS51" s="24">
        <f t="shared" si="9"/>
        <v>1.5091645841302672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244.82163392718377</v>
      </c>
      <c r="T52" s="62">
        <f t="shared" si="34"/>
        <v>342.30266518164211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4.0557838638748231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4.0557838638748231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</v>
      </c>
      <c r="AI52" s="14">
        <f>IF('Données projet'!$A$62&gt;35,AI51+AH52-AQ51,IF(A52&lt;'Données projet'!$A$62,$AF$205^A52,IF(A52='Données projet'!$A$62,'Données projet'!$B$62,AI51+AH52-AQ51)))</f>
        <v>365.49999999999989</v>
      </c>
      <c r="AJ52" s="14">
        <f>AI52*VLOOKUP('Données projet'!$B$10,Paramètres!$A$1:$I$89,3,0)*VLOOKUP('Données projet'!$B$10,Paramètres!$A$1:$I$89,5,0)</f>
        <v>171.05399999999995</v>
      </c>
      <c r="AK52" s="14">
        <f t="shared" si="35"/>
        <v>43.32599953897904</v>
      </c>
      <c r="AL52" s="22">
        <f t="shared" si="4"/>
        <v>373.37849919705508</v>
      </c>
      <c r="AM52" s="62">
        <f t="shared" si="5"/>
        <v>666.71183253038839</v>
      </c>
      <c r="AN52" s="62">
        <f ca="1">AVERAGE(OFFSET($AM$3,0,0,'Données projet'!$E$10+1,1))-AVERAGE(OFFSET($H$3,0,0,'Données projet'!$E$10+1,1))</f>
        <v>396.92963589781414</v>
      </c>
      <c r="AO52" s="62">
        <f t="shared" si="36"/>
        <v>294.38852181137639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322.60000000000008</v>
      </c>
      <c r="BE52" s="14">
        <f>BD52*VLOOKUP('Données projet'!$B$11,Paramètres!$A$1:$I$89,3,0)*VLOOKUP('Données projet'!$B$11,Paramètres!$A$1:$I$89,5,0)</f>
        <v>192.91480000000007</v>
      </c>
      <c r="BF52" s="14">
        <f t="shared" si="37"/>
        <v>48.18380163388656</v>
      </c>
      <c r="BG52" s="22">
        <f t="shared" si="7"/>
        <v>419.91339784568589</v>
      </c>
      <c r="BH52" s="62">
        <f t="shared" si="8"/>
        <v>713.24673117901921</v>
      </c>
      <c r="BI52" s="62">
        <f ca="1">AVERAGE(OFFSET($BH$3,0,0,'Données projet'!$E$11+1,1))-AVERAGE(OFFSET($H$3,0,0,'Données projet'!$E$11+1,1))</f>
        <v>362.81292020448933</v>
      </c>
      <c r="BJ52" s="62">
        <f t="shared" si="38"/>
        <v>292.26503163353146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1.4277586896616128</v>
      </c>
      <c r="BR52" s="23">
        <f>EXP(-LN(2)/2)*BR51+(1-EXP(-LN(2)/2))/(LN(2)/2)*BL52*BO52*VLOOKUP('Données projet'!$B$11,Paramètres!$A$1:$I$89,3,0)*0.475*44/12</f>
        <v>2.9179563298466268E-2</v>
      </c>
      <c r="BS52" s="24">
        <f t="shared" si="9"/>
        <v>1.4569382529600789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244.82163392718377</v>
      </c>
      <c r="T53" s="62">
        <f t="shared" si="34"/>
        <v>342.30266518164211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3.976252416088129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3.976252416088129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377</v>
      </c>
      <c r="AG53" s="13">
        <f>VLOOKUP(A53,'Données projet'!$A$61:$I$81,9,0)</f>
        <v>11.5</v>
      </c>
      <c r="AH53" s="13">
        <f t="array" ref="AH53">INDEX(AG:AG,MIN(IF(ISNUMBER(AG53:AG249),ROW(AG53:AG249),"")))</f>
        <v>11.5</v>
      </c>
      <c r="AI53" s="14">
        <f>IF('Données projet'!$A$62&gt;35,AI52+AH53-AQ52,IF(A53&lt;'Données projet'!$A$62,$AF$205^A53,IF(A53='Données projet'!$A$62,'Données projet'!$B$62,AI52+AH53-AQ52)))</f>
        <v>376.99999999999989</v>
      </c>
      <c r="AJ53" s="14">
        <f>AI53*VLOOKUP('Données projet'!$B$10,Paramètres!$A$1:$I$89,3,0)*VLOOKUP('Données projet'!$B$10,Paramètres!$A$1:$I$89,5,0)</f>
        <v>176.43599999999992</v>
      </c>
      <c r="AK53" s="14">
        <f t="shared" si="35"/>
        <v>44.52834129105058</v>
      </c>
      <c r="AL53" s="22">
        <f t="shared" si="4"/>
        <v>384.84622774857962</v>
      </c>
      <c r="AM53" s="62">
        <f t="shared" si="5"/>
        <v>678.17956108191288</v>
      </c>
      <c r="AN53" s="62">
        <f ca="1">AVERAGE(OFFSET($AM$3,0,0,'Données projet'!$E$10+1,1))-AVERAGE(OFFSET($H$3,0,0,'Données projet'!$E$10+1,1))</f>
        <v>396.92963589781414</v>
      </c>
      <c r="AO53" s="62">
        <f t="shared" si="36"/>
        <v>294.38852181137639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340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340.00000000000006</v>
      </c>
      <c r="BE53" s="14">
        <f>BD53*VLOOKUP('Données projet'!$B$11,Paramètres!$A$1:$I$89,3,0)*VLOOKUP('Données projet'!$B$11,Paramètres!$A$1:$I$89,5,0)</f>
        <v>203.32000000000005</v>
      </c>
      <c r="BF53" s="14">
        <f t="shared" si="37"/>
        <v>50.473102640215579</v>
      </c>
      <c r="BG53" s="22">
        <f t="shared" si="7"/>
        <v>442.02298709837555</v>
      </c>
      <c r="BH53" s="62">
        <f t="shared" si="8"/>
        <v>735.35632043170881</v>
      </c>
      <c r="BI53" s="62">
        <f ca="1">AVERAGE(OFFSET($BH$3,0,0,'Données projet'!$E$11+1,1))-AVERAGE(OFFSET($H$3,0,0,'Données projet'!$E$11+1,1))</f>
        <v>362.81292020448933</v>
      </c>
      <c r="BJ53" s="62">
        <f t="shared" si="38"/>
        <v>292.26503163353146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53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1.3887165532102497</v>
      </c>
      <c r="BR53" s="23">
        <f>EXP(-LN(2)/2)*BR52+(1-EXP(-LN(2)/2))/(LN(2)/2)*BL53*BO53*VLOOKUP('Données projet'!$B$11,Paramètres!$A$1:$I$89,3,0)*0.475*44/12</f>
        <v>2.0633067080407602E-2</v>
      </c>
      <c r="BS53" s="24">
        <f t="shared" si="9"/>
        <v>1.4093496202906572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244.82163392718377</v>
      </c>
      <c r="T54" s="62">
        <f t="shared" si="34"/>
        <v>342.30266518164211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3.8982805314831386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3.8982805314831386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13.5</v>
      </c>
      <c r="AI54" s="14">
        <f>IF('Données projet'!$A$62&gt;35,AI53+AH54-AQ53,IF(A54&lt;'Données projet'!$A$62,$AF$205^A54,IF(A54='Données projet'!$A$62,'Données projet'!$B$62,AI53+AH54-AQ53)))</f>
        <v>390.49999999999989</v>
      </c>
      <c r="AJ54" s="14">
        <f>AI54*VLOOKUP('Données projet'!$B$10,Paramètres!$A$1:$I$89,3,0)*VLOOKUP('Données projet'!$B$10,Paramètres!$A$1:$I$89,5,0)</f>
        <v>182.75399999999996</v>
      </c>
      <c r="AK54" s="14">
        <f t="shared" si="35"/>
        <v>45.934357911110212</v>
      </c>
      <c r="AL54" s="22">
        <f t="shared" si="4"/>
        <v>398.29889002851684</v>
      </c>
      <c r="AM54" s="62">
        <f t="shared" si="5"/>
        <v>691.63222336185015</v>
      </c>
      <c r="AN54" s="62">
        <f ca="1">AVERAGE(OFFSET($AM$3,0,0,'Données projet'!$E$10+1,1))-AVERAGE(OFFSET($H$3,0,0,'Données projet'!$E$10+1,1))</f>
        <v>396.92963589781414</v>
      </c>
      <c r="AO54" s="62">
        <f t="shared" si="36"/>
        <v>294.38852181137639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17.625</v>
      </c>
      <c r="BD54" s="13">
        <f>IF('Données projet'!$A$88&gt;35,BD53+BC54-BL53,IF(A54&lt;'Données projet'!$A$88,$BA$205^A54,IF(A54='Données projet'!$A$88,'Données projet'!$B$88,BD53+BC54-BL53)))</f>
        <v>304.62500000000006</v>
      </c>
      <c r="BE54" s="14">
        <f>BD54*VLOOKUP('Données projet'!$B$11,Paramètres!$A$1:$I$89,3,0)*VLOOKUP('Données projet'!$B$11,Paramètres!$A$1:$I$89,5,0)</f>
        <v>182.16575000000003</v>
      </c>
      <c r="BF54" s="14">
        <f t="shared" si="37"/>
        <v>45.803689728693968</v>
      </c>
      <c r="BG54" s="22">
        <f t="shared" si="7"/>
        <v>397.04677419414202</v>
      </c>
      <c r="BH54" s="62">
        <f t="shared" si="8"/>
        <v>690.38010752747527</v>
      </c>
      <c r="BI54" s="62">
        <f ca="1">AVERAGE(OFFSET($BH$3,0,0,'Données projet'!$E$11+1,1))-AVERAGE(OFFSET($H$3,0,0,'Données projet'!$E$11+1,1))</f>
        <v>362.81292020448933</v>
      </c>
      <c r="BJ54" s="62">
        <f t="shared" si="38"/>
        <v>292.26503163353146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1.3507420260332859</v>
      </c>
      <c r="BR54" s="23">
        <f>EXP(-LN(2)/2)*BR53+(1-EXP(-LN(2)/2))/(LN(2)/2)*BL54*BO54*VLOOKUP('Données projet'!$B$11,Paramètres!$A$1:$I$89,3,0)*0.475*44/12</f>
        <v>1.4589781649233136E-2</v>
      </c>
      <c r="BS54" s="24">
        <f t="shared" si="9"/>
        <v>1.3653318076825189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244.82163392718377</v>
      </c>
      <c r="T55" s="62">
        <f t="shared" si="34"/>
        <v>342.30266518164211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3.8218376279770983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3.8218376279770983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13.5</v>
      </c>
      <c r="AI55" s="14">
        <f>IF('Données projet'!$A$62&gt;35,AI54+AH55-AQ54,IF(A55&lt;'Données projet'!$A$62,$AF$205^A55,IF(A55='Données projet'!$A$62,'Données projet'!$B$62,AI54+AH55-AQ54)))</f>
        <v>403.99999999999989</v>
      </c>
      <c r="AJ55" s="14">
        <f>AI55*VLOOKUP('Données projet'!$B$10,Paramètres!$A$1:$I$89,3,0)*VLOOKUP('Données projet'!$B$10,Paramètres!$A$1:$I$89,5,0)</f>
        <v>189.07199999999992</v>
      </c>
      <c r="AK55" s="14">
        <f t="shared" si="35"/>
        <v>47.33472679972779</v>
      </c>
      <c r="AL55" s="22">
        <f t="shared" si="4"/>
        <v>411.74171584285909</v>
      </c>
      <c r="AM55" s="62">
        <f t="shared" si="5"/>
        <v>705.07504917619235</v>
      </c>
      <c r="AN55" s="62">
        <f ca="1">AVERAGE(OFFSET($AM$3,0,0,'Données projet'!$E$10+1,1))-AVERAGE(OFFSET($H$3,0,0,'Données projet'!$E$10+1,1))</f>
        <v>396.92963589781414</v>
      </c>
      <c r="AO55" s="62">
        <f t="shared" si="36"/>
        <v>294.38852181137639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17.625</v>
      </c>
      <c r="BD55" s="13">
        <f>IF('Données projet'!$A$88&gt;35,BD54+BC55-BL54,IF(A55&lt;'Données projet'!$A$88,$BA$205^A55,IF(A55='Données projet'!$A$88,'Données projet'!$B$88,BD54+BC55-BL54)))</f>
        <v>322.25000000000006</v>
      </c>
      <c r="BE55" s="14">
        <f>BD55*VLOOKUP('Données projet'!$B$11,Paramètres!$A$1:$I$89,3,0)*VLOOKUP('Données projet'!$B$11,Paramètres!$A$1:$I$89,5,0)</f>
        <v>192.70550000000006</v>
      </c>
      <c r="BF55" s="14">
        <f t="shared" si="37"/>
        <v>48.137607387789963</v>
      </c>
      <c r="BG55" s="22">
        <f t="shared" si="7"/>
        <v>419.46841203373424</v>
      </c>
      <c r="BH55" s="62">
        <f t="shared" si="8"/>
        <v>712.8017453670675</v>
      </c>
      <c r="BI55" s="62">
        <f ca="1">AVERAGE(OFFSET($BH$3,0,0,'Données projet'!$E$11+1,1))-AVERAGE(OFFSET($H$3,0,0,'Données projet'!$E$11+1,1))</f>
        <v>362.81292020448933</v>
      </c>
      <c r="BJ55" s="62">
        <f t="shared" si="38"/>
        <v>292.26503163353146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1.3138059142989698</v>
      </c>
      <c r="BR55" s="23">
        <f>EXP(-LN(2)/2)*BR54+(1-EXP(-LN(2)/2))/(LN(2)/2)*BL55*BO55*VLOOKUP('Données projet'!$B$11,Paramètres!$A$1:$I$89,3,0)*0.475*44/12</f>
        <v>1.0316533540203803E-2</v>
      </c>
      <c r="BS55" s="24">
        <f t="shared" si="9"/>
        <v>1.3241224478391735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244.82163392718377</v>
      </c>
      <c r="T56" s="62">
        <f t="shared" si="34"/>
        <v>342.30266518164211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3.7468937231832444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3.7468937231832444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13.5</v>
      </c>
      <c r="AI56" s="14">
        <f>IF('Données projet'!$A$62&gt;35,AI55+AH56-AQ55,IF(A56&lt;'Données projet'!$A$62,$AF$205^A56,IF(A56='Données projet'!$A$62,'Données projet'!$B$62,AI55+AH56-AQ55)))</f>
        <v>417.49999999999989</v>
      </c>
      <c r="AJ56" s="14">
        <f>AI56*VLOOKUP('Données projet'!$B$10,Paramètres!$A$1:$I$89,3,0)*VLOOKUP('Données projet'!$B$10,Paramètres!$A$1:$I$89,5,0)</f>
        <v>195.38999999999996</v>
      </c>
      <c r="AK56" s="14">
        <f t="shared" si="35"/>
        <v>48.729658318340213</v>
      </c>
      <c r="AL56" s="22">
        <f t="shared" si="4"/>
        <v>425.17507157110907</v>
      </c>
      <c r="AM56" s="62">
        <f t="shared" si="5"/>
        <v>718.50840490444239</v>
      </c>
      <c r="AN56" s="62">
        <f ca="1">AVERAGE(OFFSET($AM$3,0,0,'Données projet'!$E$10+1,1))-AVERAGE(OFFSET($H$3,0,0,'Données projet'!$E$10+1,1))</f>
        <v>396.92963589781414</v>
      </c>
      <c r="AO56" s="62">
        <f t="shared" si="36"/>
        <v>294.38852181137639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17.625</v>
      </c>
      <c r="BD56" s="13">
        <f>IF('Données projet'!$A$88&gt;35,BD55+BC56-BL55,IF(A56&lt;'Données projet'!$A$88,$BA$205^A56,IF(A56='Données projet'!$A$88,'Données projet'!$B$88,BD55+BC56-BL55)))</f>
        <v>339.87500000000006</v>
      </c>
      <c r="BE56" s="14">
        <f>BD56*VLOOKUP('Données projet'!$B$11,Paramètres!$A$1:$I$89,3,0)*VLOOKUP('Données projet'!$B$11,Paramètres!$A$1:$I$89,5,0)</f>
        <v>203.24525000000006</v>
      </c>
      <c r="BF56" s="14">
        <f t="shared" si="37"/>
        <v>50.45670595349123</v>
      </c>
      <c r="BG56" s="22">
        <f t="shared" si="7"/>
        <v>441.86423995233059</v>
      </c>
      <c r="BH56" s="62">
        <f t="shared" si="8"/>
        <v>735.19757328566391</v>
      </c>
      <c r="BI56" s="62">
        <f ca="1">AVERAGE(OFFSET($BH$3,0,0,'Données projet'!$E$11+1,1))-AVERAGE(OFFSET($H$3,0,0,'Données projet'!$E$11+1,1))</f>
        <v>362.81292020448933</v>
      </c>
      <c r="BJ56" s="62">
        <f t="shared" si="38"/>
        <v>292.26503163353146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1.2778798224824142</v>
      </c>
      <c r="BR56" s="23">
        <f>EXP(-LN(2)/2)*BR55+(1-EXP(-LN(2)/2))/(LN(2)/2)*BL56*BO56*VLOOKUP('Données projet'!$B$11,Paramètres!$A$1:$I$89,3,0)*0.475*44/12</f>
        <v>7.2948908246165695E-3</v>
      </c>
      <c r="BS56" s="24">
        <f t="shared" si="9"/>
        <v>1.2851747133070308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244.82163392718377</v>
      </c>
      <c r="T57" s="62">
        <f t="shared" si="34"/>
        <v>342.30266518164211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3.6734194226511296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3.6734194226511296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13.5</v>
      </c>
      <c r="AI57" s="14">
        <f>IF('Données projet'!$A$62&gt;35,AI56+AH57-AQ56,IF(A57&lt;'Données projet'!$A$62,$AF$205^A57,IF(A57='Données projet'!$A$62,'Données projet'!$B$62,AI56+AH57-AQ56)))</f>
        <v>430.99999999999989</v>
      </c>
      <c r="AJ57" s="14">
        <f>AI57*VLOOKUP('Données projet'!$B$10,Paramètres!$A$1:$I$89,3,0)*VLOOKUP('Données projet'!$B$10,Paramètres!$A$1:$I$89,5,0)</f>
        <v>201.70799999999994</v>
      </c>
      <c r="AK57" s="14">
        <f t="shared" si="35"/>
        <v>50.119348451854243</v>
      </c>
      <c r="AL57" s="22">
        <f t="shared" si="4"/>
        <v>438.59929855364607</v>
      </c>
      <c r="AM57" s="62">
        <f t="shared" si="5"/>
        <v>731.93263188697938</v>
      </c>
      <c r="AN57" s="62">
        <f ca="1">AVERAGE(OFFSET($AM$3,0,0,'Données projet'!$E$10+1,1))-AVERAGE(OFFSET($H$3,0,0,'Données projet'!$E$10+1,1))</f>
        <v>396.92963589781414</v>
      </c>
      <c r="AO57" s="62">
        <f t="shared" si="36"/>
        <v>294.38852181137639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17.625</v>
      </c>
      <c r="BD57" s="13">
        <f>IF('Données projet'!$A$88&gt;35,BD56+BC57-BL56,IF(A57&lt;'Données projet'!$A$88,$BA$205^A57,IF(A57='Données projet'!$A$88,'Données projet'!$B$88,BD56+BC57-BL56)))</f>
        <v>357.50000000000006</v>
      </c>
      <c r="BE57" s="14">
        <f>BD57*VLOOKUP('Données projet'!$B$11,Paramètres!$A$1:$I$89,3,0)*VLOOKUP('Données projet'!$B$11,Paramètres!$A$1:$I$89,5,0)</f>
        <v>213.78500000000005</v>
      </c>
      <c r="BF57" s="14">
        <f t="shared" si="37"/>
        <v>52.761841557402377</v>
      </c>
      <c r="BG57" s="22">
        <f t="shared" si="7"/>
        <v>464.2357490458092</v>
      </c>
      <c r="BH57" s="62">
        <f t="shared" si="8"/>
        <v>757.56908237914251</v>
      </c>
      <c r="BI57" s="62">
        <f ca="1">AVERAGE(OFFSET($BH$3,0,0,'Données projet'!$E$11+1,1))-AVERAGE(OFFSET($H$3,0,0,'Données projet'!$E$11+1,1))</f>
        <v>362.81292020448933</v>
      </c>
      <c r="BJ57" s="62">
        <f t="shared" si="38"/>
        <v>292.26503163353146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1.2429361315358534</v>
      </c>
      <c r="BR57" s="23">
        <f>EXP(-LN(2)/2)*BR56+(1-EXP(-LN(2)/2))/(LN(2)/2)*BL57*BO57*VLOOKUP('Données projet'!$B$11,Paramètres!$A$1:$I$89,3,0)*0.475*44/12</f>
        <v>5.1582667701019023E-3</v>
      </c>
      <c r="BS57" s="24">
        <f t="shared" si="9"/>
        <v>1.2480943983059554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244.82163392718377</v>
      </c>
      <c r="T58" s="62">
        <f t="shared" si="34"/>
        <v>342.30266518164211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3.6013859083375515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3.6013859083375515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13.5</v>
      </c>
      <c r="AI58" s="14">
        <f>IF('Données projet'!$A$62&gt;35,AI57+AH58-AQ57,IF(A58&lt;'Données projet'!$A$62,$AF$205^A58,IF(A58='Données projet'!$A$62,'Données projet'!$B$62,AI57+AH58-AQ57)))</f>
        <v>444.49999999999989</v>
      </c>
      <c r="AJ58" s="14">
        <f>AI58*VLOOKUP('Données projet'!$B$10,Paramètres!$A$1:$I$89,3,0)*VLOOKUP('Données projet'!$B$10,Paramètres!$A$1:$I$89,5,0)</f>
        <v>208.02599999999995</v>
      </c>
      <c r="AK58" s="14">
        <f t="shared" si="35"/>
        <v>51.503980210368603</v>
      </c>
      <c r="AL58" s="22">
        <f t="shared" si="4"/>
        <v>452.01471553305851</v>
      </c>
      <c r="AM58" s="62">
        <f t="shared" si="5"/>
        <v>745.34804886639176</v>
      </c>
      <c r="AN58" s="62">
        <f ca="1">AVERAGE(OFFSET($AM$3,0,0,'Données projet'!$E$10+1,1))-AVERAGE(OFFSET($H$3,0,0,'Données projet'!$E$10+1,1))</f>
        <v>396.92963589781414</v>
      </c>
      <c r="AO58" s="62">
        <f t="shared" si="36"/>
        <v>294.38852181137639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17.625</v>
      </c>
      <c r="BD58" s="13">
        <f>IF('Données projet'!$A$88&gt;35,BD57+BC58-BL57,IF(A58&lt;'Données projet'!$A$88,$BA$205^A58,IF(A58='Données projet'!$A$88,'Données projet'!$B$88,BD57+BC58-BL57)))</f>
        <v>375.12500000000006</v>
      </c>
      <c r="BE58" s="14">
        <f>BD58*VLOOKUP('Données projet'!$B$11,Paramètres!$A$1:$I$89,3,0)*VLOOKUP('Données projet'!$B$11,Paramètres!$A$1:$I$89,5,0)</f>
        <v>224.32475000000005</v>
      </c>
      <c r="BF58" s="14">
        <f t="shared" si="37"/>
        <v>55.053781146410472</v>
      </c>
      <c r="BG58" s="22">
        <f t="shared" si="7"/>
        <v>486.58427507999835</v>
      </c>
      <c r="BH58" s="62">
        <f t="shared" si="8"/>
        <v>779.91760841333166</v>
      </c>
      <c r="BI58" s="62">
        <f ca="1">AVERAGE(OFFSET($BH$3,0,0,'Données projet'!$E$11+1,1))-AVERAGE(OFFSET($H$3,0,0,'Données projet'!$E$11+1,1))</f>
        <v>362.81292020448933</v>
      </c>
      <c r="BJ58" s="62">
        <f t="shared" si="38"/>
        <v>292.26503163353146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1.2089479776558352</v>
      </c>
      <c r="BR58" s="23">
        <f>EXP(-LN(2)/2)*BR57+(1-EXP(-LN(2)/2))/(LN(2)/2)*BL58*BO58*VLOOKUP('Données projet'!$B$11,Paramètres!$A$1:$I$89,3,0)*0.475*44/12</f>
        <v>3.6474454123082852E-3</v>
      </c>
      <c r="BS58" s="24">
        <f t="shared" si="9"/>
        <v>1.2125954230681435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244.82163392718377</v>
      </c>
      <c r="T59" s="62">
        <f t="shared" si="34"/>
        <v>342.30266518164211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3.5307649273035571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3.5307649273035571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13.5</v>
      </c>
      <c r="AI59" s="14">
        <f>IF('Données projet'!$A$62&gt;35,AI58+AH59-AQ58,IF(A59&lt;'Données projet'!$A$62,$AF$205^A59,IF(A59='Données projet'!$A$62,'Données projet'!$B$62,AI58+AH59-AQ58)))</f>
        <v>457.99999999999989</v>
      </c>
      <c r="AJ59" s="14">
        <f>AI59*VLOOKUP('Données projet'!$B$10,Paramètres!$A$1:$I$89,3,0)*VLOOKUP('Données projet'!$B$10,Paramètres!$A$1:$I$89,5,0)</f>
        <v>214.34399999999997</v>
      </c>
      <c r="AK59" s="14">
        <f t="shared" si="35"/>
        <v>52.883724855822585</v>
      </c>
      <c r="AL59" s="22">
        <f t="shared" si="4"/>
        <v>465.4216207905576</v>
      </c>
      <c r="AM59" s="62">
        <f t="shared" si="5"/>
        <v>758.75495412389091</v>
      </c>
      <c r="AN59" s="62">
        <f ca="1">AVERAGE(OFFSET($AM$3,0,0,'Données projet'!$E$10+1,1))-AVERAGE(OFFSET($H$3,0,0,'Données projet'!$E$10+1,1))</f>
        <v>396.92963589781414</v>
      </c>
      <c r="AO59" s="62">
        <f t="shared" si="36"/>
        <v>294.38852181137639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17.625</v>
      </c>
      <c r="BD59" s="13">
        <f>IF('Données projet'!$A$88&gt;35,BD58+BC59-BL58,IF(A59&lt;'Données projet'!$A$88,$BA$205^A59,IF(A59='Données projet'!$A$88,'Données projet'!$B$88,BD58+BC59-BL58)))</f>
        <v>392.75000000000006</v>
      </c>
      <c r="BE59" s="14">
        <f>BD59*VLOOKUP('Données projet'!$B$11,Paramètres!$A$1:$I$89,3,0)*VLOOKUP('Données projet'!$B$11,Paramètres!$A$1:$I$89,5,0)</f>
        <v>234.86450000000002</v>
      </c>
      <c r="BF59" s="14">
        <f t="shared" si="37"/>
        <v>57.33321552572081</v>
      </c>
      <c r="BG59" s="22">
        <f t="shared" si="7"/>
        <v>508.9110212072971</v>
      </c>
      <c r="BH59" s="62">
        <f t="shared" si="8"/>
        <v>802.24435454063041</v>
      </c>
      <c r="BI59" s="62">
        <f ca="1">AVERAGE(OFFSET($BH$3,0,0,'Données projet'!$E$11+1,1))-AVERAGE(OFFSET($H$3,0,0,'Données projet'!$E$11+1,1))</f>
        <v>362.81292020448933</v>
      </c>
      <c r="BJ59" s="62">
        <f t="shared" si="38"/>
        <v>292.26503163353146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1.1758892316310252</v>
      </c>
      <c r="BR59" s="23">
        <f>EXP(-LN(2)/2)*BR58+(1-EXP(-LN(2)/2))/(LN(2)/2)*BL59*BO59*VLOOKUP('Données projet'!$B$11,Paramètres!$A$1:$I$89,3,0)*0.475*44/12</f>
        <v>2.5791333850509516E-3</v>
      </c>
      <c r="BS59" s="24">
        <f t="shared" si="9"/>
        <v>1.1784683650160761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244.82163392718377</v>
      </c>
      <c r="T60" s="62">
        <f t="shared" si="34"/>
        <v>342.30266518164211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3.4615287806330941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3.4615287806330941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13.5</v>
      </c>
      <c r="AI60" s="14">
        <f>IF('Données projet'!$A$62&gt;35,AI59+AH60-AQ59,IF(A60&lt;'Données projet'!$A$62,$AF$205^A60,IF(A60='Données projet'!$A$62,'Données projet'!$B$62,AI59+AH60-AQ59)))</f>
        <v>471.49999999999989</v>
      </c>
      <c r="AJ60" s="14">
        <f>AI60*VLOOKUP('Données projet'!$B$10,Paramètres!$A$1:$I$89,3,0)*VLOOKUP('Données projet'!$B$10,Paramètres!$A$1:$I$89,5,0)</f>
        <v>220.66199999999995</v>
      </c>
      <c r="AK60" s="14">
        <f t="shared" si="35"/>
        <v>54.258742979954953</v>
      </c>
      <c r="AL60" s="22">
        <f t="shared" si="4"/>
        <v>478.82029402342147</v>
      </c>
      <c r="AM60" s="62">
        <f t="shared" si="5"/>
        <v>772.15362735675478</v>
      </c>
      <c r="AN60" s="62">
        <f ca="1">AVERAGE(OFFSET($AM$3,0,0,'Données projet'!$E$10+1,1))-AVERAGE(OFFSET($H$3,0,0,'Données projet'!$E$10+1,1))</f>
        <v>396.92963589781414</v>
      </c>
      <c r="AO60" s="62">
        <f t="shared" si="36"/>
        <v>294.38852181137639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17.625</v>
      </c>
      <c r="BD60" s="13">
        <f>IF('Données projet'!$A$88&gt;35,BD59+BC60-BL59,IF(A60&lt;'Données projet'!$A$88,$BA$205^A60,IF(A60='Données projet'!$A$88,'Données projet'!$B$88,BD59+BC60-BL59)))</f>
        <v>410.37500000000006</v>
      </c>
      <c r="BE60" s="14">
        <f>BD60*VLOOKUP('Données projet'!$B$11,Paramètres!$A$1:$I$89,3,0)*VLOOKUP('Données projet'!$B$11,Paramètres!$A$1:$I$89,5,0)</f>
        <v>245.40425000000005</v>
      </c>
      <c r="BF60" s="14">
        <f t="shared" si="37"/>
        <v>59.60076999447687</v>
      </c>
      <c r="BG60" s="22">
        <f t="shared" si="7"/>
        <v>531.21707649038069</v>
      </c>
      <c r="BH60" s="62">
        <f t="shared" si="8"/>
        <v>824.55040982371406</v>
      </c>
      <c r="BI60" s="62">
        <f ca="1">AVERAGE(OFFSET($BH$3,0,0,'Données projet'!$E$11+1,1))-AVERAGE(OFFSET($H$3,0,0,'Données projet'!$E$11+1,1))</f>
        <v>362.81292020448933</v>
      </c>
      <c r="BJ60" s="62">
        <f t="shared" si="38"/>
        <v>292.26503163353146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1.1437344787547477</v>
      </c>
      <c r="BR60" s="23">
        <f>EXP(-LN(2)/2)*BR59+(1-EXP(-LN(2)/2))/(LN(2)/2)*BL60*BO60*VLOOKUP('Données projet'!$B$11,Paramètres!$A$1:$I$89,3,0)*0.475*44/12</f>
        <v>1.823722706154143E-3</v>
      </c>
      <c r="BS60" s="24">
        <f t="shared" si="9"/>
        <v>1.1455582014609018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244.82163392718377</v>
      </c>
      <c r="T61" s="62">
        <f t="shared" si="34"/>
        <v>342.30266518164211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3.3936503125689592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3.3936503125689592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13.5</v>
      </c>
      <c r="AI61" s="14">
        <f>IF('Données projet'!$A$62&gt;35,AI60+AH61-AQ60,IF(A61&lt;'Données projet'!$A$62,$AF$205^A61,IF(A61='Données projet'!$A$62,'Données projet'!$B$62,AI60+AH61-AQ60)))</f>
        <v>484.99999999999989</v>
      </c>
      <c r="AJ61" s="14">
        <f>AI61*VLOOKUP('Données projet'!$B$10,Paramètres!$A$1:$I$89,3,0)*VLOOKUP('Données projet'!$B$10,Paramètres!$A$1:$I$89,5,0)</f>
        <v>226.97999999999996</v>
      </c>
      <c r="AK61" s="14">
        <f t="shared" si="35"/>
        <v>55.629185455335929</v>
      </c>
      <c r="AL61" s="22">
        <f t="shared" si="4"/>
        <v>492.21099800137659</v>
      </c>
      <c r="AM61" s="62">
        <f t="shared" si="5"/>
        <v>785.54433133470991</v>
      </c>
      <c r="AN61" s="62">
        <f ca="1">AVERAGE(OFFSET($AM$3,0,0,'Données projet'!$E$10+1,1))-AVERAGE(OFFSET($H$3,0,0,'Données projet'!$E$10+1,1))</f>
        <v>396.92963589781414</v>
      </c>
      <c r="AO61" s="62">
        <f t="shared" si="36"/>
        <v>294.38852181137639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428</v>
      </c>
      <c r="BB61" s="13">
        <f>VLOOKUP(A61,'Données projet'!$A$87:$I$107,9,0)</f>
        <v>17.625</v>
      </c>
      <c r="BC61" s="13">
        <f t="array" ref="BC61">INDEX(BB:BB,MIN(IF(ISNUMBER(BB61:BB257),ROW(BB61:BB257),"")))</f>
        <v>17.625</v>
      </c>
      <c r="BD61" s="13">
        <f>IF('Données projet'!$A$88&gt;35,BD60+BC61-BL60,IF(A61&lt;'Données projet'!$A$88,$BA$205^A61,IF(A61='Données projet'!$A$88,'Données projet'!$B$88,BD60+BC61-BL60)))</f>
        <v>428.00000000000006</v>
      </c>
      <c r="BE61" s="14">
        <f>BD61*VLOOKUP('Données projet'!$B$11,Paramètres!$A$1:$I$89,3,0)*VLOOKUP('Données projet'!$B$11,Paramètres!$A$1:$I$89,5,0)</f>
        <v>255.94400000000005</v>
      </c>
      <c r="BF61" s="14">
        <f t="shared" si="37"/>
        <v>61.857013102708898</v>
      </c>
      <c r="BG61" s="22">
        <f t="shared" si="7"/>
        <v>553.50343115388478</v>
      </c>
      <c r="BH61" s="62">
        <f t="shared" si="8"/>
        <v>846.83676448721803</v>
      </c>
      <c r="BI61" s="62">
        <f ca="1">AVERAGE(OFFSET($BH$3,0,0,'Données projet'!$E$11+1,1))-AVERAGE(OFFSET($H$3,0,0,'Données projet'!$E$11+1,1))</f>
        <v>362.81292020448933</v>
      </c>
      <c r="BJ61" s="62">
        <f t="shared" si="38"/>
        <v>292.26503163353146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78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1.1124589992868168</v>
      </c>
      <c r="BR61" s="23">
        <f>EXP(-LN(2)/2)*BR60+(1-EXP(-LN(2)/2))/(LN(2)/2)*BL61*BO61*VLOOKUP('Données projet'!$B$11,Paramètres!$A$1:$I$89,3,0)*0.475*44/12</f>
        <v>1.289566692525476E-3</v>
      </c>
      <c r="BS61" s="24">
        <f t="shared" si="9"/>
        <v>1.1137485659793422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244.82163392718377</v>
      </c>
      <c r="T62" s="62">
        <f t="shared" si="34"/>
        <v>342.30266518164211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3.3271028998617846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3.3271028998617846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13.5</v>
      </c>
      <c r="AI62" s="14">
        <f>IF('Données projet'!$A$62&gt;35,AI61+AH62-AQ61,IF(A62&lt;'Données projet'!$A$62,$AF$205^A62,IF(A62='Données projet'!$A$62,'Données projet'!$B$62,AI61+AH62-AQ61)))</f>
        <v>498.49999999999989</v>
      </c>
      <c r="AJ62" s="14">
        <f>AI62*VLOOKUP('Données projet'!$B$10,Paramètres!$A$1:$I$89,3,0)*VLOOKUP('Données projet'!$B$10,Paramètres!$A$1:$I$89,5,0)</f>
        <v>233.29799999999994</v>
      </c>
      <c r="AK62" s="14">
        <f t="shared" si="35"/>
        <v>56.995194277534011</v>
      </c>
      <c r="AL62" s="22">
        <f t="shared" si="4"/>
        <v>505.59398003337168</v>
      </c>
      <c r="AM62" s="62">
        <f t="shared" si="5"/>
        <v>798.92731336670499</v>
      </c>
      <c r="AN62" s="62">
        <f ca="1">AVERAGE(OFFSET($AM$3,0,0,'Données projet'!$E$10+1,1))-AVERAGE(OFFSET($H$3,0,0,'Données projet'!$E$10+1,1))</f>
        <v>396.92963589781414</v>
      </c>
      <c r="AO62" s="62">
        <f t="shared" si="36"/>
        <v>294.38852181137639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16.625</v>
      </c>
      <c r="BD62" s="13">
        <f>IF('Données projet'!$A$88&gt;35,BD61+BC62-BL61,IF(A62&lt;'Données projet'!$A$88,$BA$205^A62,IF(A62='Données projet'!$A$88,'Données projet'!$B$88,BD61+BC62-BL61)))</f>
        <v>366.62500000000006</v>
      </c>
      <c r="BE62" s="14">
        <f>BD62*VLOOKUP('Données projet'!$B$11,Paramètres!$A$1:$I$89,3,0)*VLOOKUP('Données projet'!$B$11,Paramètres!$A$1:$I$89,5,0)</f>
        <v>219.24175000000005</v>
      </c>
      <c r="BF62" s="14">
        <f t="shared" si="37"/>
        <v>53.950050729111297</v>
      </c>
      <c r="BG62" s="22">
        <f t="shared" si="7"/>
        <v>475.80905293653558</v>
      </c>
      <c r="BH62" s="62">
        <f t="shared" si="8"/>
        <v>769.14238626986889</v>
      </c>
      <c r="BI62" s="62">
        <f ca="1">AVERAGE(OFFSET($BH$3,0,0,'Données projet'!$E$11+1,1))-AVERAGE(OFFSET($H$3,0,0,'Données projet'!$E$11+1,1))</f>
        <v>362.81292020448933</v>
      </c>
      <c r="BJ62" s="62">
        <f t="shared" si="38"/>
        <v>292.26503163353146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1.0820387494496426</v>
      </c>
      <c r="BR62" s="23">
        <f>EXP(-LN(2)/2)*BR61+(1-EXP(-LN(2)/2))/(LN(2)/2)*BL62*BO62*VLOOKUP('Données projet'!$B$11,Paramètres!$A$1:$I$89,3,0)*0.475*44/12</f>
        <v>9.1186135307707162E-4</v>
      </c>
      <c r="BS62" s="24">
        <f t="shared" si="9"/>
        <v>1.0829506108027196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244.82163392718377</v>
      </c>
      <c r="T63" s="62">
        <f t="shared" si="34"/>
        <v>342.30266518164211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3.261860441327884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3.261860441327884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512</v>
      </c>
      <c r="AG63" s="13">
        <f>VLOOKUP(A63,'Données projet'!$A$61:$I$81,9,0)</f>
        <v>13.5</v>
      </c>
      <c r="AH63" s="13">
        <f t="array" ref="AH63">INDEX(AG:AG,MIN(IF(ISNUMBER(AG63:AG259),ROW(AG63:AG259),"")))</f>
        <v>13.5</v>
      </c>
      <c r="AI63" s="14">
        <f>IF('Données projet'!$A$62&gt;35,AI62+AH63-AQ62,IF(A63&lt;'Données projet'!$A$62,$AF$205^A63,IF(A63='Données projet'!$A$62,'Données projet'!$B$62,AI62+AH63-AQ62)))</f>
        <v>511.99999999999989</v>
      </c>
      <c r="AJ63" s="14">
        <f>AI63*VLOOKUP('Données projet'!$B$10,Paramètres!$A$1:$I$89,3,0)*VLOOKUP('Données projet'!$B$10,Paramètres!$A$1:$I$89,5,0)</f>
        <v>239.61599999999996</v>
      </c>
      <c r="AK63" s="14">
        <f t="shared" si="35"/>
        <v>58.356903313490157</v>
      </c>
      <c r="AL63" s="22">
        <f t="shared" si="4"/>
        <v>518.96947327099531</v>
      </c>
      <c r="AM63" s="62">
        <f t="shared" si="5"/>
        <v>812.30280660432868</v>
      </c>
      <c r="AN63" s="62">
        <f ca="1">AVERAGE(OFFSET($AM$3,0,0,'Données projet'!$E$10+1,1))-AVERAGE(OFFSET($H$3,0,0,'Données projet'!$E$10+1,1))</f>
        <v>396.92963589781414</v>
      </c>
      <c r="AO63" s="62">
        <f t="shared" si="36"/>
        <v>294.38852181137639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102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16.625</v>
      </c>
      <c r="BD63" s="13">
        <f>IF('Données projet'!$A$88&gt;35,BD62+BC63-BL62,IF(A63&lt;'Données projet'!$A$88,$BA$205^A63,IF(A63='Données projet'!$A$88,'Données projet'!$B$88,BD62+BC63-BL62)))</f>
        <v>383.25000000000006</v>
      </c>
      <c r="BE63" s="14">
        <f>BD63*VLOOKUP('Données projet'!$B$11,Paramètres!$A$1:$I$89,3,0)*VLOOKUP('Données projet'!$B$11,Paramètres!$A$1:$I$89,5,0)</f>
        <v>229.18350000000007</v>
      </c>
      <c r="BF63" s="14">
        <f t="shared" si="37"/>
        <v>56.106098616839645</v>
      </c>
      <c r="BG63" s="22">
        <f t="shared" si="7"/>
        <v>496.87938425766248</v>
      </c>
      <c r="BH63" s="62">
        <f t="shared" si="8"/>
        <v>790.21271759099579</v>
      </c>
      <c r="BI63" s="62">
        <f ca="1">AVERAGE(OFFSET($BH$3,0,0,'Données projet'!$E$11+1,1))-AVERAGE(OFFSET($H$3,0,0,'Données projet'!$E$11+1,1))</f>
        <v>362.81292020448933</v>
      </c>
      <c r="BJ63" s="62">
        <f t="shared" si="38"/>
        <v>292.26503163353146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1.0524503429439973</v>
      </c>
      <c r="BR63" s="23">
        <f>EXP(-LN(2)/2)*BR62+(1-EXP(-LN(2)/2))/(LN(2)/2)*BL63*BO63*VLOOKUP('Données projet'!$B$11,Paramètres!$A$1:$I$89,3,0)*0.475*44/12</f>
        <v>6.4478334626273811E-4</v>
      </c>
      <c r="BS63" s="24">
        <f t="shared" si="9"/>
        <v>1.0530951262902601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244.82163392718377</v>
      </c>
      <c r="T64" s="62">
        <f t="shared" si="34"/>
        <v>342.30266518164211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3.1978973476118626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3.1978973476118626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15.5</v>
      </c>
      <c r="AI64" s="14">
        <f>IF('Données projet'!$A$62&gt;35,AI63+AH64-AQ63,IF(A64&lt;'Données projet'!$A$62,$AF$205^A64,IF(A64='Données projet'!$A$62,'Données projet'!$B$62,AI63+AH64-AQ63)))</f>
        <v>425.49999999999989</v>
      </c>
      <c r="AJ64" s="14">
        <f>AI64*VLOOKUP('Données projet'!$B$10,Paramètres!$A$1:$I$89,3,0)*VLOOKUP('Données projet'!$B$10,Paramètres!$A$1:$I$89,5,0)</f>
        <v>199.13399999999993</v>
      </c>
      <c r="AK64" s="14">
        <f t="shared" si="35"/>
        <v>49.553799097205186</v>
      </c>
      <c r="AL64" s="22">
        <f t="shared" si="4"/>
        <v>433.13125009429888</v>
      </c>
      <c r="AM64" s="62">
        <f t="shared" si="5"/>
        <v>726.46458342763219</v>
      </c>
      <c r="AN64" s="62">
        <f ca="1">AVERAGE(OFFSET($AM$3,0,0,'Données projet'!$E$10+1,1))-AVERAGE(OFFSET($H$3,0,0,'Données projet'!$E$10+1,1))</f>
        <v>396.92963589781414</v>
      </c>
      <c r="AO64" s="62">
        <f t="shared" si="36"/>
        <v>294.38852181137639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16.625</v>
      </c>
      <c r="BD64" s="13">
        <f>IF('Données projet'!$A$88&gt;35,BD63+BC64-BL63,IF(A64&lt;'Données projet'!$A$88,$BA$205^A64,IF(A64='Données projet'!$A$88,'Données projet'!$B$88,BD63+BC64-BL63)))</f>
        <v>399.87500000000006</v>
      </c>
      <c r="BE64" s="14">
        <f>BD64*VLOOKUP('Données projet'!$B$11,Paramètres!$A$1:$I$89,3,0)*VLOOKUP('Données projet'!$B$11,Paramètres!$A$1:$I$89,5,0)</f>
        <v>239.12525000000005</v>
      </c>
      <c r="BF64" s="14">
        <f t="shared" si="37"/>
        <v>58.251283780505084</v>
      </c>
      <c r="BG64" s="22">
        <f t="shared" si="7"/>
        <v>517.93079633437981</v>
      </c>
      <c r="BH64" s="62">
        <f t="shared" si="8"/>
        <v>811.26412966771318</v>
      </c>
      <c r="BI64" s="62">
        <f ca="1">AVERAGE(OFFSET($BH$3,0,0,'Données projet'!$E$11+1,1))-AVERAGE(OFFSET($H$3,0,0,'Données projet'!$E$11+1,1))</f>
        <v>362.81292020448933</v>
      </c>
      <c r="BJ64" s="62">
        <f t="shared" si="38"/>
        <v>292.26503163353146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1.0236710329702357</v>
      </c>
      <c r="BR64" s="23">
        <f>EXP(-LN(2)/2)*BR63+(1-EXP(-LN(2)/2))/(LN(2)/2)*BL64*BO64*VLOOKUP('Données projet'!$B$11,Paramètres!$A$1:$I$89,3,0)*0.475*44/12</f>
        <v>4.5593067653853587E-4</v>
      </c>
      <c r="BS64" s="24">
        <f t="shared" si="9"/>
        <v>1.0241269636467742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244.82163392718377</v>
      </c>
      <c r="T65" s="62">
        <f t="shared" si="34"/>
        <v>342.30266518164211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3.1351885311499776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3.1351885311499776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15.5</v>
      </c>
      <c r="AI65" s="14">
        <f>IF('Données projet'!$A$62&gt;35,AI64+AH65-AQ64,IF(A65&lt;'Données projet'!$A$62,$AF$205^A65,IF(A65='Données projet'!$A$62,'Données projet'!$B$62,AI64+AH65-AQ64)))</f>
        <v>440.99999999999989</v>
      </c>
      <c r="AJ65" s="14">
        <f>AI65*VLOOKUP('Données projet'!$B$10,Paramètres!$A$1:$I$89,3,0)*VLOOKUP('Données projet'!$B$10,Paramètres!$A$1:$I$89,5,0)</f>
        <v>206.38799999999995</v>
      </c>
      <c r="AK65" s="14">
        <f t="shared" si="35"/>
        <v>51.145477584014834</v>
      </c>
      <c r="AL65" s="22">
        <f t="shared" si="4"/>
        <v>448.53747345882579</v>
      </c>
      <c r="AM65" s="62">
        <f t="shared" si="5"/>
        <v>741.8708067921591</v>
      </c>
      <c r="AN65" s="62">
        <f ca="1">AVERAGE(OFFSET($AM$3,0,0,'Données projet'!$E$10+1,1))-AVERAGE(OFFSET($H$3,0,0,'Données projet'!$E$10+1,1))</f>
        <v>396.92963589781414</v>
      </c>
      <c r="AO65" s="62">
        <f t="shared" si="36"/>
        <v>294.38852181137639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16.625</v>
      </c>
      <c r="BD65" s="13">
        <f>IF('Données projet'!$A$88&gt;35,BD64+BC65-BL64,IF(A65&lt;'Données projet'!$A$88,$BA$205^A65,IF(A65='Données projet'!$A$88,'Données projet'!$B$88,BD64+BC65-BL64)))</f>
        <v>416.50000000000006</v>
      </c>
      <c r="BE65" s="14">
        <f>BD65*VLOOKUP('Données projet'!$B$11,Paramètres!$A$1:$I$89,3,0)*VLOOKUP('Données projet'!$B$11,Paramètres!$A$1:$I$89,5,0)</f>
        <v>249.06700000000004</v>
      </c>
      <c r="BF65" s="14">
        <f t="shared" si="37"/>
        <v>60.386109489804014</v>
      </c>
      <c r="BG65" s="22">
        <f t="shared" si="7"/>
        <v>538.96416569474195</v>
      </c>
      <c r="BH65" s="62">
        <f t="shared" si="8"/>
        <v>832.29749902807521</v>
      </c>
      <c r="BI65" s="62">
        <f ca="1">AVERAGE(OFFSET($BH$3,0,0,'Données projet'!$E$11+1,1))-AVERAGE(OFFSET($H$3,0,0,'Données projet'!$E$11+1,1))</f>
        <v>362.81292020448933</v>
      </c>
      <c r="BJ65" s="62">
        <f t="shared" si="38"/>
        <v>292.26503163353146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0.99567869474114457</v>
      </c>
      <c r="BR65" s="23">
        <f>EXP(-LN(2)/2)*BR64+(1-EXP(-LN(2)/2))/(LN(2)/2)*BL65*BO65*VLOOKUP('Données projet'!$B$11,Paramètres!$A$1:$I$89,3,0)*0.475*44/12</f>
        <v>3.2239167313136906E-4</v>
      </c>
      <c r="BS65" s="24">
        <f t="shared" si="9"/>
        <v>0.99600108641427598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244.82163392718377</v>
      </c>
      <c r="T66" s="62">
        <f t="shared" si="34"/>
        <v>342.30266518164211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3.073709396330309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3.073709396330309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15.5</v>
      </c>
      <c r="AI66" s="14">
        <f>IF('Données projet'!$A$62&gt;35,AI65+AH66-AQ65,IF(A66&lt;'Données projet'!$A$62,$AF$205^A66,IF(A66='Données projet'!$A$62,'Données projet'!$B$62,AI65+AH66-AQ65)))</f>
        <v>456.49999999999989</v>
      </c>
      <c r="AJ66" s="14">
        <f>AI66*VLOOKUP('Données projet'!$B$10,Paramètres!$A$1:$I$89,3,0)*VLOOKUP('Données projet'!$B$10,Paramètres!$A$1:$I$89,5,0)</f>
        <v>213.64199999999994</v>
      </c>
      <c r="AK66" s="14">
        <f t="shared" si="35"/>
        <v>52.730656153675348</v>
      </c>
      <c r="AL66" s="22">
        <f t="shared" si="4"/>
        <v>463.93237613431779</v>
      </c>
      <c r="AM66" s="62">
        <f t="shared" si="5"/>
        <v>757.26570946765105</v>
      </c>
      <c r="AN66" s="62">
        <f ca="1">AVERAGE(OFFSET($AM$3,0,0,'Données projet'!$E$10+1,1))-AVERAGE(OFFSET($H$3,0,0,'Données projet'!$E$10+1,1))</f>
        <v>396.92963589781414</v>
      </c>
      <c r="AO66" s="62">
        <f t="shared" si="36"/>
        <v>294.38852181137639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16.625</v>
      </c>
      <c r="BD66" s="13">
        <f>IF('Données projet'!$A$88&gt;35,BD65+BC66-BL65,IF(A66&lt;'Données projet'!$A$88,$BA$205^A66,IF(A66='Données projet'!$A$88,'Données projet'!$B$88,BD65+BC66-BL65)))</f>
        <v>433.12500000000006</v>
      </c>
      <c r="BE66" s="14">
        <f>BD66*VLOOKUP('Données projet'!$B$11,Paramètres!$A$1:$I$89,3,0)*VLOOKUP('Données projet'!$B$11,Paramètres!$A$1:$I$89,5,0)</f>
        <v>259.00875000000008</v>
      </c>
      <c r="BF66" s="14">
        <f t="shared" si="37"/>
        <v>62.511036563235727</v>
      </c>
      <c r="BG66" s="22">
        <f t="shared" si="7"/>
        <v>559.98029493096897</v>
      </c>
      <c r="BH66" s="62">
        <f t="shared" si="8"/>
        <v>853.31362826430222</v>
      </c>
      <c r="BI66" s="62">
        <f ca="1">AVERAGE(OFFSET($BH$3,0,0,'Données projet'!$E$11+1,1))-AVERAGE(OFFSET($H$3,0,0,'Données projet'!$E$11+1,1))</f>
        <v>362.81292020448933</v>
      </c>
      <c r="BJ66" s="62">
        <f t="shared" si="38"/>
        <v>292.26503163353146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0.96845180847298107</v>
      </c>
      <c r="BR66" s="23">
        <f>EXP(-LN(2)/2)*BR65+(1-EXP(-LN(2)/2))/(LN(2)/2)*BL66*BO66*VLOOKUP('Données projet'!$B$11,Paramètres!$A$1:$I$89,3,0)*0.475*44/12</f>
        <v>2.2796533826926793E-4</v>
      </c>
      <c r="BS66" s="24">
        <f t="shared" si="9"/>
        <v>0.96867977381125037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244.82163392718377</v>
      </c>
      <c r="T67" s="62">
        <f t="shared" si="34"/>
        <v>342.30266518164211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3.0134358298458843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3.0134358298458843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15.5</v>
      </c>
      <c r="AI67" s="14">
        <f>IF('Données projet'!$A$62&gt;35,AI66+AH67-AQ66,IF(A67&lt;'Données projet'!$A$62,$AF$205^A67,IF(A67='Données projet'!$A$62,'Données projet'!$B$62,AI66+AH67-AQ66)))</f>
        <v>471.99999999999989</v>
      </c>
      <c r="AJ67" s="14">
        <f>AI67*VLOOKUP('Données projet'!$B$10,Paramètres!$A$1:$I$89,3,0)*VLOOKUP('Données projet'!$B$10,Paramètres!$A$1:$I$89,5,0)</f>
        <v>220.89599999999996</v>
      </c>
      <c r="AK67" s="14">
        <f t="shared" si="35"/>
        <v>54.309580803412281</v>
      </c>
      <c r="AL67" s="22">
        <f t="shared" si="4"/>
        <v>479.31638656594299</v>
      </c>
      <c r="AM67" s="62">
        <f t="shared" si="5"/>
        <v>772.64971989927631</v>
      </c>
      <c r="AN67" s="62">
        <f ca="1">AVERAGE(OFFSET($AM$3,0,0,'Données projet'!$E$10+1,1))-AVERAGE(OFFSET($H$3,0,0,'Données projet'!$E$10+1,1))</f>
        <v>396.92963589781414</v>
      </c>
      <c r="AO67" s="62">
        <f t="shared" si="36"/>
        <v>294.38852181137639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16.625</v>
      </c>
      <c r="BD67" s="13">
        <f>IF('Données projet'!$A$88&gt;35,BD66+BC67-BL66,IF(A67&lt;'Données projet'!$A$88,$BA$205^A67,IF(A67='Données projet'!$A$88,'Données projet'!$B$88,BD66+BC67-BL66)))</f>
        <v>449.75000000000006</v>
      </c>
      <c r="BE67" s="14">
        <f>BD67*VLOOKUP('Données projet'!$B$11,Paramètres!$A$1:$I$89,3,0)*VLOOKUP('Données projet'!$B$11,Paramètres!$A$1:$I$89,5,0)</f>
        <v>268.95050000000009</v>
      </c>
      <c r="BF67" s="14">
        <f t="shared" si="37"/>
        <v>64.626488439895155</v>
      </c>
      <c r="BG67" s="22">
        <f t="shared" si="7"/>
        <v>580.97992153281746</v>
      </c>
      <c r="BH67" s="62">
        <f t="shared" si="8"/>
        <v>874.31325486615083</v>
      </c>
      <c r="BI67" s="62">
        <f ca="1">AVERAGE(OFFSET($BH$3,0,0,'Données projet'!$E$11+1,1))-AVERAGE(OFFSET($H$3,0,0,'Données projet'!$E$11+1,1))</f>
        <v>362.81292020448933</v>
      </c>
      <c r="BJ67" s="62">
        <f t="shared" si="38"/>
        <v>292.26503163353146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0.94196944284162021</v>
      </c>
      <c r="BR67" s="23">
        <f>EXP(-LN(2)/2)*BR66+(1-EXP(-LN(2)/2))/(LN(2)/2)*BL67*BO67*VLOOKUP('Données projet'!$B$11,Paramètres!$A$1:$I$89,3,0)*0.475*44/12</f>
        <v>1.6119583656568453E-4</v>
      </c>
      <c r="BS67" s="24">
        <f t="shared" si="9"/>
        <v>0.94213063867818592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244.82163392718377</v>
      </c>
      <c r="T68" s="62">
        <f t="shared" si="34"/>
        <v>342.30266518164211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2.9543441912369737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2.9543441912369737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15.5</v>
      </c>
      <c r="AI68" s="14">
        <f>IF('Données projet'!$A$62&gt;35,AI67+AH68-AQ67,IF(A68&lt;'Données projet'!$A$62,$AF$205^A68,IF(A68='Données projet'!$A$62,'Données projet'!$B$62,AI67+AH68-AQ67)))</f>
        <v>487.49999999999989</v>
      </c>
      <c r="AJ68" s="14">
        <f>AI68*VLOOKUP('Données projet'!$B$10,Paramètres!$A$1:$I$89,3,0)*VLOOKUP('Données projet'!$B$10,Paramètres!$A$1:$I$89,5,0)</f>
        <v>228.14999999999992</v>
      </c>
      <c r="AK68" s="14">
        <f t="shared" si="35"/>
        <v>55.882480456847652</v>
      </c>
      <c r="AL68" s="22">
        <f t="shared" ref="AL68:AL131" si="58">(AJ68+AK68)*0.475*44/12</f>
        <v>494.68990346234278</v>
      </c>
      <c r="AM68" s="62">
        <f t="shared" ref="AM68:AM131" si="59">AL68+(AD68+AE68)*44/12</f>
        <v>788.0232367956761</v>
      </c>
      <c r="AN68" s="62">
        <f ca="1">AVERAGE(OFFSET($AM$3,0,0,'Données projet'!$E$10+1,1))-AVERAGE(OFFSET($H$3,0,0,'Données projet'!$E$10+1,1))</f>
        <v>396.92963589781414</v>
      </c>
      <c r="AO68" s="62">
        <f t="shared" si="36"/>
        <v>294.38852181137639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16.625</v>
      </c>
      <c r="BD68" s="13">
        <f>IF('Données projet'!$A$88&gt;35,BD67+BC68-BL67,IF(A68&lt;'Données projet'!$A$88,$BA$205^A68,IF(A68='Données projet'!$A$88,'Données projet'!$B$88,BD67+BC68-BL67)))</f>
        <v>466.37500000000006</v>
      </c>
      <c r="BE68" s="14">
        <f>BD68*VLOOKUP('Données projet'!$B$11,Paramètres!$A$1:$I$89,3,0)*VLOOKUP('Données projet'!$B$11,Paramètres!$A$1:$I$89,5,0)</f>
        <v>278.89225000000005</v>
      </c>
      <c r="BF68" s="14">
        <f t="shared" si="37"/>
        <v>66.732855480271084</v>
      </c>
      <c r="BG68" s="22">
        <f t="shared" ref="BG68:BG131" si="61">(BE68+BF68)*0.475*44/12</f>
        <v>601.96372537813886</v>
      </c>
      <c r="BH68" s="62">
        <f t="shared" ref="BH68:BH131" si="62">BG68+(AY68+AZ68)*44/12</f>
        <v>895.29705871147212</v>
      </c>
      <c r="BI68" s="62">
        <f ca="1">AVERAGE(OFFSET($BH$3,0,0,'Données projet'!$E$11+1,1))-AVERAGE(OFFSET($H$3,0,0,'Données projet'!$E$11+1,1))</f>
        <v>362.81292020448933</v>
      </c>
      <c r="BJ68" s="62">
        <f t="shared" si="38"/>
        <v>292.26503163353146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0.91621123889109601</v>
      </c>
      <c r="BR68" s="23">
        <f>EXP(-LN(2)/2)*BR67+(1-EXP(-LN(2)/2))/(LN(2)/2)*BL68*BO68*VLOOKUP('Données projet'!$B$11,Paramètres!$A$1:$I$89,3,0)*0.475*44/12</f>
        <v>1.1398266913463397E-4</v>
      </c>
      <c r="BS68" s="24">
        <f t="shared" ref="BS68:BS131" si="63">SUM(BP68:BR68)</f>
        <v>0.91632522156023066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244.82163392718377</v>
      </c>
      <c r="T69" s="62">
        <f t="shared" ref="T69:T132" si="88">$T$3</f>
        <v>342.30266518164211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2.8964113036188435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2.8964113036188435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15.5</v>
      </c>
      <c r="AI69" s="14">
        <f>IF('Données projet'!$A$62&gt;35,AI68+AH69-AQ68,IF(A69&lt;'Données projet'!$A$62,$AF$205^A69,IF(A69='Données projet'!$A$62,'Données projet'!$B$62,AI68+AH69-AQ68)))</f>
        <v>502.99999999999989</v>
      </c>
      <c r="AJ69" s="14">
        <f>AI69*VLOOKUP('Données projet'!$B$10,Paramètres!$A$1:$I$89,3,0)*VLOOKUP('Données projet'!$B$10,Paramètres!$A$1:$I$89,5,0)</f>
        <v>235.40399999999994</v>
      </c>
      <c r="AK69" s="14">
        <f t="shared" ref="AK69:AK132" si="89">EXP(-1.0587+0.8836*LN(AJ69)+0.284)</f>
        <v>57.449568653781753</v>
      </c>
      <c r="AL69" s="22">
        <f t="shared" si="58"/>
        <v>510.05329873866975</v>
      </c>
      <c r="AM69" s="62">
        <f t="shared" si="59"/>
        <v>803.38663207200307</v>
      </c>
      <c r="AN69" s="62">
        <f ca="1">AVERAGE(OFFSET($AM$3,0,0,'Données projet'!$E$10+1,1))-AVERAGE(OFFSET($H$3,0,0,'Données projet'!$E$10+1,1))</f>
        <v>396.92963589781414</v>
      </c>
      <c r="AO69" s="62">
        <f t="shared" ref="AO69:AO132" si="90">$AO$3</f>
        <v>294.38852181137639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483</v>
      </c>
      <c r="BB69" s="13">
        <f>VLOOKUP(A69,'Données projet'!$A$87:$I$107,9,0)</f>
        <v>16.625</v>
      </c>
      <c r="BC69" s="13">
        <f t="array" ref="BC69">INDEX(BB:BB,MIN(IF(ISNUMBER(BB69:BB265),ROW(BB69:BB265),"")))</f>
        <v>16.625</v>
      </c>
      <c r="BD69" s="13">
        <f>IF('Données projet'!$A$88&gt;35,BD68+BC69-BL68,IF(A69&lt;'Données projet'!$A$88,$BA$205^A69,IF(A69='Données projet'!$A$88,'Données projet'!$B$88,BD68+BC69-BL68)))</f>
        <v>483.00000000000006</v>
      </c>
      <c r="BE69" s="14">
        <f>BD69*VLOOKUP('Données projet'!$B$11,Paramètres!$A$1:$I$89,3,0)*VLOOKUP('Données projet'!$B$11,Paramètres!$A$1:$I$89,5,0)</f>
        <v>288.83400000000006</v>
      </c>
      <c r="BF69" s="14">
        <f t="shared" ref="BF69:BF132" si="91">EXP(-1.0587+0.8836*LN(BE69)+0.284)</f>
        <v>68.830498636563377</v>
      </c>
      <c r="BG69" s="22">
        <f t="shared" si="61"/>
        <v>622.932335125348</v>
      </c>
      <c r="BH69" s="62">
        <f t="shared" si="62"/>
        <v>916.26566845868138</v>
      </c>
      <c r="BI69" s="62">
        <f ca="1">AVERAGE(OFFSET($BH$3,0,0,'Données projet'!$E$11+1,1))-AVERAGE(OFFSET($H$3,0,0,'Données projet'!$E$11+1,1))</f>
        <v>362.81292020448933</v>
      </c>
      <c r="BJ69" s="62">
        <f t="shared" ref="BJ69:BJ132" si="92">$BJ$3</f>
        <v>292.26503163353146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65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0.89115739438216401</v>
      </c>
      <c r="BR69" s="23">
        <f>EXP(-LN(2)/2)*BR68+(1-EXP(-LN(2)/2))/(LN(2)/2)*BL69*BO69*VLOOKUP('Données projet'!$B$11,Paramètres!$A$1:$I$89,3,0)*0.475*44/12</f>
        <v>8.0597918282842264E-5</v>
      </c>
      <c r="BS69" s="24">
        <f t="shared" si="63"/>
        <v>0.89123799230044687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244.82163392718377</v>
      </c>
      <c r="T70" s="62">
        <f t="shared" si="88"/>
        <v>342.30266518164211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2.8396144445913323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2.8396144445913323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15.5</v>
      </c>
      <c r="AI70" s="14">
        <f>IF('Données projet'!$A$62&gt;35,AI69+AH70-AQ69,IF(A70&lt;'Données projet'!$A$62,$AF$205^A70,IF(A70='Données projet'!$A$62,'Données projet'!$B$62,AI69+AH70-AQ69)))</f>
        <v>518.49999999999989</v>
      </c>
      <c r="AJ70" s="14">
        <f>AI70*VLOOKUP('Données projet'!$B$10,Paramètres!$A$1:$I$89,3,0)*VLOOKUP('Données projet'!$B$10,Paramètres!$A$1:$I$89,5,0)</f>
        <v>242.65799999999993</v>
      </c>
      <c r="AK70" s="14">
        <f t="shared" si="89"/>
        <v>59.011045025839607</v>
      </c>
      <c r="AL70" s="22">
        <f t="shared" si="58"/>
        <v>525.40692008667054</v>
      </c>
      <c r="AM70" s="62">
        <f t="shared" si="59"/>
        <v>818.74025342000391</v>
      </c>
      <c r="AN70" s="62">
        <f ca="1">AVERAGE(OFFSET($AM$3,0,0,'Données projet'!$E$10+1,1))-AVERAGE(OFFSET($H$3,0,0,'Données projet'!$E$10+1,1))</f>
        <v>396.92963589781414</v>
      </c>
      <c r="AO70" s="62">
        <f t="shared" si="90"/>
        <v>294.38852181137639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12.875</v>
      </c>
      <c r="BD70" s="13">
        <f>IF('Données projet'!$A$88&gt;35,BD69+BC70-BL69,IF(A70&lt;'Données projet'!$A$88,$BA$205^A70,IF(A70='Données projet'!$A$88,'Données projet'!$B$88,BD69+BC70-BL69)))</f>
        <v>430.87500000000006</v>
      </c>
      <c r="BE70" s="14">
        <f>BD70*VLOOKUP('Données projet'!$B$11,Paramètres!$A$1:$I$89,3,0)*VLOOKUP('Données projet'!$B$11,Paramètres!$A$1:$I$89,5,0)</f>
        <v>257.66325000000006</v>
      </c>
      <c r="BF70" s="14">
        <f t="shared" si="91"/>
        <v>62.224015868041043</v>
      </c>
      <c r="BG70" s="22">
        <f t="shared" si="61"/>
        <v>557.13698805350487</v>
      </c>
      <c r="BH70" s="62">
        <f t="shared" si="62"/>
        <v>850.47032138683812</v>
      </c>
      <c r="BI70" s="62">
        <f ca="1">AVERAGE(OFFSET($BH$3,0,0,'Données projet'!$E$11+1,1))-AVERAGE(OFFSET($H$3,0,0,'Données projet'!$E$11+1,1))</f>
        <v>362.81292020448933</v>
      </c>
      <c r="BJ70" s="62">
        <f t="shared" si="92"/>
        <v>292.26503163353146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0.86678864856885318</v>
      </c>
      <c r="BR70" s="23">
        <f>EXP(-LN(2)/2)*BR69+(1-EXP(-LN(2)/2))/(LN(2)/2)*BL70*BO70*VLOOKUP('Données projet'!$B$11,Paramètres!$A$1:$I$89,3,0)*0.475*44/12</f>
        <v>5.6991334567316983E-5</v>
      </c>
      <c r="BS70" s="24">
        <f t="shared" si="63"/>
        <v>0.86684563990342045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244.82163392718377</v>
      </c>
      <c r="T71" s="62">
        <f t="shared" si="88"/>
        <v>342.30266518164211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2.7839313373266874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2.7839313373266874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15.5</v>
      </c>
      <c r="AI71" s="14">
        <f>IF('Données projet'!$A$62&gt;35,AI70+AH71-AQ70,IF(A71&lt;'Données projet'!$A$62,$AF$205^A71,IF(A71='Données projet'!$A$62,'Données projet'!$B$62,AI70+AH71-AQ70)))</f>
        <v>533.99999999999989</v>
      </c>
      <c r="AJ71" s="14">
        <f>AI71*VLOOKUP('Données projet'!$B$10,Paramètres!$A$1:$I$89,3,0)*VLOOKUP('Données projet'!$B$10,Paramètres!$A$1:$I$89,5,0)</f>
        <v>249.91199999999995</v>
      </c>
      <c r="AK71" s="14">
        <f t="shared" si="89"/>
        <v>60.56709659070836</v>
      </c>
      <c r="AL71" s="22">
        <f t="shared" si="58"/>
        <v>540.7510932288169</v>
      </c>
      <c r="AM71" s="62">
        <f t="shared" si="59"/>
        <v>834.08442656215016</v>
      </c>
      <c r="AN71" s="62">
        <f ca="1">AVERAGE(OFFSET($AM$3,0,0,'Données projet'!$E$10+1,1))-AVERAGE(OFFSET($H$3,0,0,'Données projet'!$E$10+1,1))</f>
        <v>396.92963589781414</v>
      </c>
      <c r="AO71" s="62">
        <f t="shared" si="90"/>
        <v>294.38852181137639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12.875</v>
      </c>
      <c r="BD71" s="13">
        <f>IF('Données projet'!$A$88&gt;35,BD70+BC71-BL70,IF(A71&lt;'Données projet'!$A$88,$BA$205^A71,IF(A71='Données projet'!$A$88,'Données projet'!$B$88,BD70+BC71-BL70)))</f>
        <v>443.75000000000006</v>
      </c>
      <c r="BE71" s="14">
        <f>BD71*VLOOKUP('Données projet'!$B$11,Paramètres!$A$1:$I$89,3,0)*VLOOKUP('Données projet'!$B$11,Paramètres!$A$1:$I$89,5,0)</f>
        <v>265.36250000000007</v>
      </c>
      <c r="BF71" s="14">
        <f t="shared" si="91"/>
        <v>63.864084559847946</v>
      </c>
      <c r="BG71" s="22">
        <f t="shared" si="61"/>
        <v>573.40296810840198</v>
      </c>
      <c r="BH71" s="62">
        <f t="shared" si="62"/>
        <v>866.73630144173535</v>
      </c>
      <c r="BI71" s="62">
        <f ca="1">AVERAGE(OFFSET($BH$3,0,0,'Données projet'!$E$11+1,1))-AVERAGE(OFFSET($H$3,0,0,'Données projet'!$E$11+1,1))</f>
        <v>362.81292020448933</v>
      </c>
      <c r="BJ71" s="62">
        <f t="shared" si="92"/>
        <v>292.26503163353146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0.84308626739130399</v>
      </c>
      <c r="BR71" s="23">
        <f>EXP(-LN(2)/2)*BR70+(1-EXP(-LN(2)/2))/(LN(2)/2)*BL71*BO71*VLOOKUP('Données projet'!$B$11,Paramètres!$A$1:$I$89,3,0)*0.475*44/12</f>
        <v>4.0298959141421132E-5</v>
      </c>
      <c r="BS71" s="24">
        <f t="shared" si="63"/>
        <v>0.84312656635044536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244.82163392718377</v>
      </c>
      <c r="T72" s="62">
        <f t="shared" si="88"/>
        <v>342.30266518164211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2.7293401418321603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2.7293401418321603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15.5</v>
      </c>
      <c r="AI72" s="14">
        <f>IF('Données projet'!$A$62&gt;35,AI71+AH72-AQ71,IF(A72&lt;'Données projet'!$A$62,$AF$205^A72,IF(A72='Données projet'!$A$62,'Données projet'!$B$62,AI71+AH72-AQ71)))</f>
        <v>549.49999999999989</v>
      </c>
      <c r="AJ72" s="14">
        <f>AI72*VLOOKUP('Données projet'!$B$10,Paramètres!$A$1:$I$89,3,0)*VLOOKUP('Données projet'!$B$10,Paramètres!$A$1:$I$89,5,0)</f>
        <v>257.16599999999994</v>
      </c>
      <c r="AK72" s="14">
        <f t="shared" si="89"/>
        <v>62.117898891884423</v>
      </c>
      <c r="AL72" s="22">
        <f t="shared" si="58"/>
        <v>556.08612390336521</v>
      </c>
      <c r="AM72" s="62">
        <f t="shared" si="59"/>
        <v>849.41945723669846</v>
      </c>
      <c r="AN72" s="62">
        <f ca="1">AVERAGE(OFFSET($AM$3,0,0,'Données projet'!$E$10+1,1))-AVERAGE(OFFSET($H$3,0,0,'Données projet'!$E$10+1,1))</f>
        <v>396.92963589781414</v>
      </c>
      <c r="AO72" s="62">
        <f t="shared" si="90"/>
        <v>294.38852181137639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12.875</v>
      </c>
      <c r="BD72" s="13">
        <f>IF('Données projet'!$A$88&gt;35,BD71+BC72-BL71,IF(A72&lt;'Données projet'!$A$88,$BA$205^A72,IF(A72='Données projet'!$A$88,'Données projet'!$B$88,BD71+BC72-BL71)))</f>
        <v>456.62500000000006</v>
      </c>
      <c r="BE72" s="14">
        <f>BD72*VLOOKUP('Données projet'!$B$11,Paramètres!$A$1:$I$89,3,0)*VLOOKUP('Données projet'!$B$11,Paramètres!$A$1:$I$89,5,0)</f>
        <v>273.06175000000007</v>
      </c>
      <c r="BF72" s="14">
        <f t="shared" si="91"/>
        <v>65.49862286970442</v>
      </c>
      <c r="BG72" s="22">
        <f t="shared" si="61"/>
        <v>589.65931608140193</v>
      </c>
      <c r="BH72" s="62">
        <f t="shared" si="62"/>
        <v>882.9926494147353</v>
      </c>
      <c r="BI72" s="62">
        <f ca="1">AVERAGE(OFFSET($BH$3,0,0,'Données projet'!$E$11+1,1))-AVERAGE(OFFSET($H$3,0,0,'Données projet'!$E$11+1,1))</f>
        <v>362.81292020448933</v>
      </c>
      <c r="BJ72" s="62">
        <f t="shared" si="92"/>
        <v>292.26503163353146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0.82003202907350892</v>
      </c>
      <c r="BR72" s="23">
        <f>EXP(-LN(2)/2)*BR71+(1-EXP(-LN(2)/2))/(LN(2)/2)*BL72*BO72*VLOOKUP('Données projet'!$B$11,Paramètres!$A$1:$I$89,3,0)*0.475*44/12</f>
        <v>2.8495667283658492E-5</v>
      </c>
      <c r="BS72" s="24">
        <f t="shared" si="63"/>
        <v>0.82006052474079261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244.82163392718377</v>
      </c>
      <c r="T73" s="62">
        <f t="shared" si="88"/>
        <v>342.30266518164211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2.6758194463839393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2.6758194463839393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565</v>
      </c>
      <c r="AG73" s="13">
        <f>VLOOKUP(A73,'Données projet'!$A$61:$I$81,9,0)</f>
        <v>15.5</v>
      </c>
      <c r="AH73" s="13">
        <f t="array" ref="AH73">INDEX(AG:AG,MIN(IF(ISNUMBER(AG73:AG269),ROW(AG73:AG269),"")))</f>
        <v>15.5</v>
      </c>
      <c r="AI73" s="14">
        <f>IF('Données projet'!$A$62&gt;35,AI72+AH73-AQ72,IF(A73&lt;'Données projet'!$A$62,$AF$205^A73,IF(A73='Données projet'!$A$62,'Données projet'!$B$62,AI72+AH73-AQ72)))</f>
        <v>564.99999999999989</v>
      </c>
      <c r="AJ73" s="14">
        <f>AI73*VLOOKUP('Données projet'!$B$10,Paramètres!$A$1:$I$89,3,0)*VLOOKUP('Données projet'!$B$10,Paramètres!$A$1:$I$89,5,0)</f>
        <v>264.41999999999996</v>
      </c>
      <c r="AK73" s="14">
        <f t="shared" si="89"/>
        <v>63.663617006208391</v>
      </c>
      <c r="AL73" s="22">
        <f t="shared" si="58"/>
        <v>571.41229961914621</v>
      </c>
      <c r="AM73" s="62">
        <f t="shared" si="59"/>
        <v>864.74563295247958</v>
      </c>
      <c r="AN73" s="62">
        <f ca="1">AVERAGE(OFFSET($AM$3,0,0,'Données projet'!$E$10+1,1))-AVERAGE(OFFSET($H$3,0,0,'Données projet'!$E$10+1,1))</f>
        <v>396.92963589781414</v>
      </c>
      <c r="AO73" s="62">
        <f t="shared" si="90"/>
        <v>294.38852181137639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113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12.875</v>
      </c>
      <c r="BD73" s="13">
        <f>IF('Données projet'!$A$88&gt;35,BD72+BC73-BL72,IF(A73&lt;'Données projet'!$A$88,$BA$205^A73,IF(A73='Données projet'!$A$88,'Données projet'!$B$88,BD72+BC73-BL72)))</f>
        <v>469.50000000000006</v>
      </c>
      <c r="BE73" s="14">
        <f>BD73*VLOOKUP('Données projet'!$B$11,Paramètres!$A$1:$I$89,3,0)*VLOOKUP('Données projet'!$B$11,Paramètres!$A$1:$I$89,5,0)</f>
        <v>280.76100000000002</v>
      </c>
      <c r="BF73" s="14">
        <f t="shared" si="91"/>
        <v>67.12780464438184</v>
      </c>
      <c r="BG73" s="22">
        <f t="shared" si="61"/>
        <v>605.90633475563175</v>
      </c>
      <c r="BH73" s="62">
        <f t="shared" si="62"/>
        <v>899.23966808896512</v>
      </c>
      <c r="BI73" s="62">
        <f ca="1">AVERAGE(OFFSET($BH$3,0,0,'Données projet'!$E$11+1,1))-AVERAGE(OFFSET($H$3,0,0,'Données projet'!$E$11+1,1))</f>
        <v>362.81292020448933</v>
      </c>
      <c r="BJ73" s="62">
        <f t="shared" si="92"/>
        <v>292.26503163353146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0.79760821011488359</v>
      </c>
      <c r="BR73" s="23">
        <f>EXP(-LN(2)/2)*BR72+(1-EXP(-LN(2)/2))/(LN(2)/2)*BL73*BO73*VLOOKUP('Données projet'!$B$11,Paramètres!$A$1:$I$89,3,0)*0.475*44/12</f>
        <v>2.0149479570710566E-5</v>
      </c>
      <c r="BS73" s="24">
        <f t="shared" si="63"/>
        <v>0.79762835959445433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244.82163392718377</v>
      </c>
      <c r="T74" s="62">
        <f t="shared" si="88"/>
        <v>342.30266518164211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2.6233482591290573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2.6233482591290573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17</v>
      </c>
      <c r="AI74" s="14">
        <f>IF('Données projet'!$A$62&gt;35,AI73+AH74-AQ73,IF(A74&lt;'Données projet'!$A$62,$AF$205^A74,IF(A74='Données projet'!$A$62,'Données projet'!$B$62,AI73+AH74-AQ73)))</f>
        <v>468.99999999999989</v>
      </c>
      <c r="AJ74" s="14">
        <f>AI74*VLOOKUP('Données projet'!$B$10,Paramètres!$A$1:$I$89,3,0)*VLOOKUP('Données projet'!$B$10,Paramètres!$A$1:$I$89,5,0)</f>
        <v>219.49199999999993</v>
      </c>
      <c r="AK74" s="14">
        <f t="shared" si="89"/>
        <v>54.004459579686618</v>
      </c>
      <c r="AL74" s="22">
        <f t="shared" si="58"/>
        <v>476.33966710128726</v>
      </c>
      <c r="AM74" s="62">
        <f t="shared" si="59"/>
        <v>769.67300043462058</v>
      </c>
      <c r="AN74" s="62">
        <f ca="1">AVERAGE(OFFSET($AM$3,0,0,'Données projet'!$E$10+1,1))-AVERAGE(OFFSET($H$3,0,0,'Données projet'!$E$10+1,1))</f>
        <v>396.92963589781414</v>
      </c>
      <c r="AO74" s="62">
        <f t="shared" si="90"/>
        <v>294.38852181137639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12.875</v>
      </c>
      <c r="BD74" s="13">
        <f>IF('Données projet'!$A$88&gt;35,BD73+BC74-BL73,IF(A74&lt;'Données projet'!$A$88,$BA$205^A74,IF(A74='Données projet'!$A$88,'Données projet'!$B$88,BD73+BC74-BL73)))</f>
        <v>482.37500000000006</v>
      </c>
      <c r="BE74" s="14">
        <f>BD74*VLOOKUP('Données projet'!$B$11,Paramètres!$A$1:$I$89,3,0)*VLOOKUP('Données projet'!$B$11,Paramètres!$A$1:$I$89,5,0)</f>
        <v>288.46025000000009</v>
      </c>
      <c r="BF74" s="14">
        <f t="shared" si="91"/>
        <v>68.75179365327233</v>
      </c>
      <c r="BG74" s="22">
        <f t="shared" si="61"/>
        <v>622.14430936278279</v>
      </c>
      <c r="BH74" s="62">
        <f t="shared" si="62"/>
        <v>915.47764269611616</v>
      </c>
      <c r="BI74" s="62">
        <f ca="1">AVERAGE(OFFSET($BH$3,0,0,'Données projet'!$E$11+1,1))-AVERAGE(OFFSET($H$3,0,0,'Données projet'!$E$11+1,1))</f>
        <v>362.81292020448933</v>
      </c>
      <c r="BJ74" s="62">
        <f t="shared" si="92"/>
        <v>292.26503163353146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0.77579757166489927</v>
      </c>
      <c r="BR74" s="23">
        <f>EXP(-LN(2)/2)*BR73+(1-EXP(-LN(2)/2))/(LN(2)/2)*BL74*BO74*VLOOKUP('Données projet'!$B$11,Paramètres!$A$1:$I$89,3,0)*0.475*44/12</f>
        <v>1.4247833641829246E-5</v>
      </c>
      <c r="BS74" s="24">
        <f t="shared" si="63"/>
        <v>0.77581181949854106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244.82163392718377</v>
      </c>
      <c r="T75" s="62">
        <f t="shared" si="88"/>
        <v>342.30266518164211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2.5719059998519795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2.5719059998519795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17</v>
      </c>
      <c r="AI75" s="14">
        <f>IF('Données projet'!$A$62&gt;35,AI74+AH75-AQ74,IF(A75&lt;'Données projet'!$A$62,$AF$205^A75,IF(A75='Données projet'!$A$62,'Données projet'!$B$62,AI74+AH75-AQ74)))</f>
        <v>485.99999999999989</v>
      </c>
      <c r="AJ75" s="14">
        <f>AI75*VLOOKUP('Données projet'!$B$10,Paramètres!$A$1:$I$89,3,0)*VLOOKUP('Données projet'!$B$10,Paramètres!$A$1:$I$89,5,0)</f>
        <v>227.44799999999995</v>
      </c>
      <c r="AK75" s="14">
        <f t="shared" si="89"/>
        <v>55.730521649800686</v>
      </c>
      <c r="AL75" s="22">
        <f t="shared" si="58"/>
        <v>493.20259187340275</v>
      </c>
      <c r="AM75" s="62">
        <f t="shared" si="59"/>
        <v>786.53592520673601</v>
      </c>
      <c r="AN75" s="62">
        <f ca="1">AVERAGE(OFFSET($AM$3,0,0,'Données projet'!$E$10+1,1))-AVERAGE(OFFSET($H$3,0,0,'Données projet'!$E$10+1,1))</f>
        <v>396.92963589781414</v>
      </c>
      <c r="AO75" s="62">
        <f t="shared" si="90"/>
        <v>294.38852181137639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12.875</v>
      </c>
      <c r="BD75" s="13">
        <f>IF('Données projet'!$A$88&gt;35,BD74+BC75-BL74,IF(A75&lt;'Données projet'!$A$88,$BA$205^A75,IF(A75='Données projet'!$A$88,'Données projet'!$B$88,BD74+BC75-BL74)))</f>
        <v>495.25000000000006</v>
      </c>
      <c r="BE75" s="14">
        <f>BD75*VLOOKUP('Données projet'!$B$11,Paramètres!$A$1:$I$89,3,0)*VLOOKUP('Données projet'!$B$11,Paramètres!$A$1:$I$89,5,0)</f>
        <v>296.15950000000004</v>
      </c>
      <c r="BF75" s="14">
        <f t="shared" si="91"/>
        <v>70.370744425720076</v>
      </c>
      <c r="BG75" s="22">
        <f t="shared" si="61"/>
        <v>638.37350904146251</v>
      </c>
      <c r="BH75" s="62">
        <f t="shared" si="62"/>
        <v>931.70684237479577</v>
      </c>
      <c r="BI75" s="62">
        <f ca="1">AVERAGE(OFFSET($BH$3,0,0,'Données projet'!$E$11+1,1))-AVERAGE(OFFSET($H$3,0,0,'Données projet'!$E$11+1,1))</f>
        <v>362.81292020448933</v>
      </c>
      <c r="BJ75" s="62">
        <f t="shared" si="92"/>
        <v>292.26503163353146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0.75458334627030144</v>
      </c>
      <c r="BR75" s="23">
        <f>EXP(-LN(2)/2)*BR74+(1-EXP(-LN(2)/2))/(LN(2)/2)*BL75*BO75*VLOOKUP('Données projet'!$B$11,Paramètres!$A$1:$I$89,3,0)*0.475*44/12</f>
        <v>1.0074739785355283E-5</v>
      </c>
      <c r="BS75" s="24">
        <f t="shared" si="63"/>
        <v>0.75459342101008675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244.82163392718377</v>
      </c>
      <c r="T76" s="62">
        <f t="shared" si="88"/>
        <v>342.30266518164211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2.521472491902645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2.521472491902645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</v>
      </c>
      <c r="AI76" s="14">
        <f>IF('Données projet'!$A$62&gt;35,AI75+AH76-AQ75,IF(A76&lt;'Données projet'!$A$62,$AF$205^A76,IF(A76='Données projet'!$A$62,'Données projet'!$B$62,AI75+AH76-AQ75)))</f>
        <v>502.99999999999989</v>
      </c>
      <c r="AJ76" s="14">
        <f>AI76*VLOOKUP('Données projet'!$B$10,Paramètres!$A$1:$I$89,3,0)*VLOOKUP('Données projet'!$B$10,Paramètres!$A$1:$I$89,5,0)</f>
        <v>235.40399999999994</v>
      </c>
      <c r="AK76" s="14">
        <f t="shared" si="89"/>
        <v>57.449568653781753</v>
      </c>
      <c r="AL76" s="22">
        <f t="shared" si="58"/>
        <v>510.05329873866975</v>
      </c>
      <c r="AM76" s="62">
        <f t="shared" si="59"/>
        <v>803.38663207200307</v>
      </c>
      <c r="AN76" s="62">
        <f ca="1">AVERAGE(OFFSET($AM$3,0,0,'Données projet'!$E$10+1,1))-AVERAGE(OFFSET($H$3,0,0,'Données projet'!$E$10+1,1))</f>
        <v>396.92963589781414</v>
      </c>
      <c r="AO76" s="62">
        <f t="shared" si="90"/>
        <v>294.38852181137639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12.875</v>
      </c>
      <c r="BD76" s="13">
        <f>IF('Données projet'!$A$88&gt;35,BD75+BC76-BL75,IF(A76&lt;'Données projet'!$A$88,$BA$205^A76,IF(A76='Données projet'!$A$88,'Données projet'!$B$88,BD75+BC76-BL75)))</f>
        <v>508.12500000000006</v>
      </c>
      <c r="BE76" s="14">
        <f>BD76*VLOOKUP('Données projet'!$B$11,Paramètres!$A$1:$I$89,3,0)*VLOOKUP('Données projet'!$B$11,Paramètres!$A$1:$I$89,5,0)</f>
        <v>303.85875000000004</v>
      </c>
      <c r="BF76" s="14">
        <f t="shared" si="91"/>
        <v>71.984802998830631</v>
      </c>
      <c r="BG76" s="22">
        <f t="shared" si="61"/>
        <v>654.59418813963009</v>
      </c>
      <c r="BH76" s="62">
        <f t="shared" si="62"/>
        <v>947.92752147296346</v>
      </c>
      <c r="BI76" s="62">
        <f ca="1">AVERAGE(OFFSET($BH$3,0,0,'Données projet'!$E$11+1,1))-AVERAGE(OFFSET($H$3,0,0,'Données projet'!$E$11+1,1))</f>
        <v>362.81292020448933</v>
      </c>
      <c r="BJ76" s="62">
        <f t="shared" si="92"/>
        <v>292.26503163353146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0.73394922498472648</v>
      </c>
      <c r="BR76" s="23">
        <f>EXP(-LN(2)/2)*BR75+(1-EXP(-LN(2)/2))/(LN(2)/2)*BL76*BO76*VLOOKUP('Données projet'!$B$11,Paramètres!$A$1:$I$89,3,0)*0.475*44/12</f>
        <v>7.1239168209146229E-6</v>
      </c>
      <c r="BS76" s="24">
        <f t="shared" si="63"/>
        <v>0.73395634890154737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244.82163392718377</v>
      </c>
      <c r="T77" s="62">
        <f t="shared" si="88"/>
        <v>342.30266518164211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2.4720279542827948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2.4720279542827948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</v>
      </c>
      <c r="AI77" s="14">
        <f>IF('Données projet'!$A$62&gt;35,AI76+AH77-AQ76,IF(A77&lt;'Données projet'!$A$62,$AF$205^A77,IF(A77='Données projet'!$A$62,'Données projet'!$B$62,AI76+AH77-AQ76)))</f>
        <v>519.99999999999989</v>
      </c>
      <c r="AJ77" s="14">
        <f>AI77*VLOOKUP('Données projet'!$B$10,Paramètres!$A$1:$I$89,3,0)*VLOOKUP('Données projet'!$B$10,Paramètres!$A$1:$I$89,5,0)</f>
        <v>243.35999999999996</v>
      </c>
      <c r="AK77" s="14">
        <f t="shared" si="89"/>
        <v>59.161864860837127</v>
      </c>
      <c r="AL77" s="22">
        <f t="shared" si="58"/>
        <v>526.89224796595784</v>
      </c>
      <c r="AM77" s="62">
        <f t="shared" si="59"/>
        <v>820.22558129929121</v>
      </c>
      <c r="AN77" s="62">
        <f ca="1">AVERAGE(OFFSET($AM$3,0,0,'Données projet'!$E$10+1,1))-AVERAGE(OFFSET($H$3,0,0,'Données projet'!$E$10+1,1))</f>
        <v>396.92963589781414</v>
      </c>
      <c r="AO77" s="62">
        <f t="shared" si="90"/>
        <v>294.38852181137639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521</v>
      </c>
      <c r="BB77" s="13">
        <f>VLOOKUP(A77,'Données projet'!$A$87:$I$107,9,0)</f>
        <v>12.875</v>
      </c>
      <c r="BC77" s="13">
        <f t="array" ref="BC77">INDEX(BB:BB,MIN(IF(ISNUMBER(BB77:BB273),ROW(BB77:BB273),"")))</f>
        <v>12.875</v>
      </c>
      <c r="BD77" s="13">
        <f>IF('Données projet'!$A$88&gt;35,BD76+BC77-BL76,IF(A77&lt;'Données projet'!$A$88,$BA$205^A77,IF(A77='Données projet'!$A$88,'Données projet'!$B$88,BD76+BC77-BL76)))</f>
        <v>521</v>
      </c>
      <c r="BE77" s="14">
        <f>BD77*VLOOKUP('Données projet'!$B$11,Paramètres!$A$1:$I$89,3,0)*VLOOKUP('Données projet'!$B$11,Paramètres!$A$1:$I$89,5,0)</f>
        <v>311.55799999999999</v>
      </c>
      <c r="BF77" s="14">
        <f t="shared" si="91"/>
        <v>73.594107587354372</v>
      </c>
      <c r="BG77" s="22">
        <f t="shared" si="61"/>
        <v>670.80658738130876</v>
      </c>
      <c r="BH77" s="62">
        <f t="shared" si="62"/>
        <v>964.13992071464213</v>
      </c>
      <c r="BI77" s="62">
        <f ca="1">AVERAGE(OFFSET($BH$3,0,0,'Données projet'!$E$11+1,1))-AVERAGE(OFFSET($H$3,0,0,'Données projet'!$E$11+1,1))</f>
        <v>362.81292020448933</v>
      </c>
      <c r="BJ77" s="62">
        <f t="shared" si="92"/>
        <v>292.26503163353146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37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0.71387934483080684</v>
      </c>
      <c r="BR77" s="23">
        <f>EXP(-LN(2)/2)*BR76+(1-EXP(-LN(2)/2))/(LN(2)/2)*BL77*BO77*VLOOKUP('Données projet'!$B$11,Paramètres!$A$1:$I$89,3,0)*0.475*44/12</f>
        <v>5.0373698926776415E-6</v>
      </c>
      <c r="BS77" s="24">
        <f t="shared" si="63"/>
        <v>0.7138843822006995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244.82163392718377</v>
      </c>
      <c r="T78" s="62">
        <f t="shared" si="88"/>
        <v>342.30266518164211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2.4235529938874794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2.4235529938874794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</v>
      </c>
      <c r="AI78" s="14">
        <f>IF('Données projet'!$A$62&gt;35,AI77+AH78-AQ77,IF(A78&lt;'Données projet'!$A$62,$AF$205^A78,IF(A78='Données projet'!$A$62,'Données projet'!$B$62,AI77+AH78-AQ77)))</f>
        <v>536.99999999999989</v>
      </c>
      <c r="AJ78" s="14">
        <f>AI78*VLOOKUP('Données projet'!$B$10,Paramètres!$A$1:$I$89,3,0)*VLOOKUP('Données projet'!$B$10,Paramètres!$A$1:$I$89,5,0)</f>
        <v>251.31599999999997</v>
      </c>
      <c r="AK78" s="14">
        <f t="shared" si="89"/>
        <v>60.86765628024984</v>
      </c>
      <c r="AL78" s="22">
        <f t="shared" si="58"/>
        <v>543.71986802143499</v>
      </c>
      <c r="AM78" s="62">
        <f t="shared" si="59"/>
        <v>837.05320135476836</v>
      </c>
      <c r="AN78" s="62">
        <f ca="1">AVERAGE(OFFSET($AM$3,0,0,'Données projet'!$E$10+1,1))-AVERAGE(OFFSET($H$3,0,0,'Données projet'!$E$10+1,1))</f>
        <v>396.92963589781414</v>
      </c>
      <c r="AO78" s="62">
        <f t="shared" si="90"/>
        <v>294.38852181137639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8.875</v>
      </c>
      <c r="BD78" s="13">
        <f>IF('Données projet'!$A$88&gt;35,BD77+BC78-BL77,IF(A78&lt;'Données projet'!$A$88,$BA$205^A78,IF(A78='Données projet'!$A$88,'Données projet'!$B$88,BD77+BC78-BL77)))</f>
        <v>492.875</v>
      </c>
      <c r="BE78" s="14">
        <f>BD78*VLOOKUP('Données projet'!$B$11,Paramètres!$A$1:$I$89,3,0)*VLOOKUP('Données projet'!$B$11,Paramètres!$A$1:$I$89,5,0)</f>
        <v>294.73925000000003</v>
      </c>
      <c r="BF78" s="14">
        <f t="shared" si="91"/>
        <v>70.072475236035828</v>
      </c>
      <c r="BG78" s="22">
        <f t="shared" si="61"/>
        <v>635.38042145276233</v>
      </c>
      <c r="BH78" s="62">
        <f t="shared" si="62"/>
        <v>928.71375478609571</v>
      </c>
      <c r="BI78" s="62">
        <f ca="1">AVERAGE(OFFSET($BH$3,0,0,'Données projet'!$E$11+1,1))-AVERAGE(OFFSET($H$3,0,0,'Données projet'!$E$11+1,1))</f>
        <v>362.81292020448933</v>
      </c>
      <c r="BJ78" s="62">
        <f t="shared" si="92"/>
        <v>292.26503163353146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0.69435827660512528</v>
      </c>
      <c r="BR78" s="23">
        <f>EXP(-LN(2)/2)*BR77+(1-EXP(-LN(2)/2))/(LN(2)/2)*BL78*BO78*VLOOKUP('Données projet'!$B$11,Paramètres!$A$1:$I$89,3,0)*0.475*44/12</f>
        <v>3.5619584104573115E-6</v>
      </c>
      <c r="BS78" s="24">
        <f t="shared" si="63"/>
        <v>0.69436183856353573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244.82163392718377</v>
      </c>
      <c r="T79" s="62">
        <f t="shared" si="88"/>
        <v>342.30266518164211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2.3760285978987099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2.3760285978987099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</v>
      </c>
      <c r="AI79" s="14">
        <f>IF('Données projet'!$A$62&gt;35,AI78+AH79-AQ78,IF(A79&lt;'Données projet'!$A$62,$AF$205^A79,IF(A79='Données projet'!$A$62,'Données projet'!$B$62,AI78+AH79-AQ78)))</f>
        <v>553.99999999999989</v>
      </c>
      <c r="AJ79" s="14">
        <f>AI79*VLOOKUP('Données projet'!$B$10,Paramètres!$A$1:$I$89,3,0)*VLOOKUP('Données projet'!$B$10,Paramètres!$A$1:$I$89,5,0)</f>
        <v>259.27199999999993</v>
      </c>
      <c r="AK79" s="14">
        <f t="shared" si="89"/>
        <v>62.567172460757938</v>
      </c>
      <c r="AL79" s="22">
        <f t="shared" si="58"/>
        <v>560.53655870248667</v>
      </c>
      <c r="AM79" s="62">
        <f t="shared" si="59"/>
        <v>853.86989203581993</v>
      </c>
      <c r="AN79" s="62">
        <f ca="1">AVERAGE(OFFSET($AM$3,0,0,'Données projet'!$E$10+1,1))-AVERAGE(OFFSET($H$3,0,0,'Données projet'!$E$10+1,1))</f>
        <v>396.92963589781414</v>
      </c>
      <c r="AO79" s="62">
        <f t="shared" si="90"/>
        <v>294.38852181137639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8.875</v>
      </c>
      <c r="BD79" s="13">
        <f>IF('Données projet'!$A$88&gt;35,BD78+BC79-BL78,IF(A79&lt;'Données projet'!$A$88,$BA$205^A79,IF(A79='Données projet'!$A$88,'Données projet'!$B$88,BD78+BC79-BL78)))</f>
        <v>501.75</v>
      </c>
      <c r="BE79" s="14">
        <f>BD79*VLOOKUP('Données projet'!$B$11,Paramètres!$A$1:$I$89,3,0)*VLOOKUP('Données projet'!$B$11,Paramètres!$A$1:$I$89,5,0)</f>
        <v>300.04650000000004</v>
      </c>
      <c r="BF79" s="14">
        <f t="shared" si="91"/>
        <v>71.186211573839699</v>
      </c>
      <c r="BG79" s="22">
        <f t="shared" si="61"/>
        <v>646.56363932443753</v>
      </c>
      <c r="BH79" s="62">
        <f t="shared" si="62"/>
        <v>939.8969726577709</v>
      </c>
      <c r="BI79" s="62">
        <f ca="1">AVERAGE(OFFSET($BH$3,0,0,'Données projet'!$E$11+1,1))-AVERAGE(OFFSET($H$3,0,0,'Données projet'!$E$11+1,1))</f>
        <v>362.81292020448933</v>
      </c>
      <c r="BJ79" s="62">
        <f t="shared" si="92"/>
        <v>292.26503163353146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0.67537101301664337</v>
      </c>
      <c r="BR79" s="23">
        <f>EXP(-LN(2)/2)*BR78+(1-EXP(-LN(2)/2))/(LN(2)/2)*BL79*BO79*VLOOKUP('Données projet'!$B$11,Paramètres!$A$1:$I$89,3,0)*0.475*44/12</f>
        <v>2.5186849463388207E-6</v>
      </c>
      <c r="BS79" s="24">
        <f t="shared" si="63"/>
        <v>0.67537353170158976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244.82163392718377</v>
      </c>
      <c r="T80" s="62">
        <f t="shared" si="88"/>
        <v>342.30266518164211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2.329436126328261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2.329436126328261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</v>
      </c>
      <c r="AI80" s="14">
        <f>IF('Données projet'!$A$62&gt;35,AI79+AH80-AQ79,IF(A80&lt;'Données projet'!$A$62,$AF$205^A80,IF(A80='Données projet'!$A$62,'Données projet'!$B$62,AI79+AH80-AQ79)))</f>
        <v>570.99999999999989</v>
      </c>
      <c r="AJ80" s="14">
        <f>AI80*VLOOKUP('Données projet'!$B$10,Paramètres!$A$1:$I$89,3,0)*VLOOKUP('Données projet'!$B$10,Paramètres!$A$1:$I$89,5,0)</f>
        <v>267.22799999999995</v>
      </c>
      <c r="AK80" s="14">
        <f t="shared" si="89"/>
        <v>64.260628062866161</v>
      </c>
      <c r="AL80" s="22">
        <f t="shared" si="58"/>
        <v>577.34269387615848</v>
      </c>
      <c r="AM80" s="62">
        <f t="shared" si="59"/>
        <v>870.67602720949185</v>
      </c>
      <c r="AN80" s="62">
        <f ca="1">AVERAGE(OFFSET($AM$3,0,0,'Données projet'!$E$10+1,1))-AVERAGE(OFFSET($H$3,0,0,'Données projet'!$E$10+1,1))</f>
        <v>396.92963589781414</v>
      </c>
      <c r="AO80" s="62">
        <f t="shared" si="90"/>
        <v>294.38852181137639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8.875</v>
      </c>
      <c r="BD80" s="13">
        <f>IF('Données projet'!$A$88&gt;35,BD79+BC80-BL79,IF(A80&lt;'Données projet'!$A$88,$BA$205^A80,IF(A80='Données projet'!$A$88,'Données projet'!$B$88,BD79+BC80-BL79)))</f>
        <v>510.625</v>
      </c>
      <c r="BE80" s="14">
        <f>BD80*VLOOKUP('Données projet'!$B$11,Paramètres!$A$1:$I$89,3,0)*VLOOKUP('Données projet'!$B$11,Paramètres!$A$1:$I$89,5,0)</f>
        <v>305.35375000000005</v>
      </c>
      <c r="BF80" s="14">
        <f t="shared" si="91"/>
        <v>72.297657079406008</v>
      </c>
      <c r="BG80" s="22">
        <f t="shared" si="61"/>
        <v>657.74286732996552</v>
      </c>
      <c r="BH80" s="62">
        <f t="shared" si="62"/>
        <v>951.07620066329878</v>
      </c>
      <c r="BI80" s="62">
        <f ca="1">AVERAGE(OFFSET($BH$3,0,0,'Données projet'!$E$11+1,1))-AVERAGE(OFFSET($H$3,0,0,'Données projet'!$E$11+1,1))</f>
        <v>362.81292020448933</v>
      </c>
      <c r="BJ80" s="62">
        <f t="shared" si="92"/>
        <v>292.26503163353146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0.65690295714948532</v>
      </c>
      <c r="BR80" s="23">
        <f>EXP(-LN(2)/2)*BR79+(1-EXP(-LN(2)/2))/(LN(2)/2)*BL80*BO80*VLOOKUP('Données projet'!$B$11,Paramètres!$A$1:$I$89,3,0)*0.475*44/12</f>
        <v>1.7809792052286557E-6</v>
      </c>
      <c r="BS80" s="24">
        <f t="shared" si="63"/>
        <v>0.65690473812869055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244.82163392718377</v>
      </c>
      <c r="T81" s="62">
        <f t="shared" si="88"/>
        <v>342.30266518164211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2.283757304706707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2.283757304706707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17</v>
      </c>
      <c r="AI81" s="14">
        <f>IF('Données projet'!$A$62&gt;35,AI80+AH81-AQ80,IF(A81&lt;'Données projet'!$A$62,$AF$205^A81,IF(A81='Données projet'!$A$62,'Données projet'!$B$62,AI80+AH81-AQ80)))</f>
        <v>587.99999999999989</v>
      </c>
      <c r="AJ81" s="14">
        <f>AI81*VLOOKUP('Données projet'!$B$10,Paramètres!$A$1:$I$89,3,0)*VLOOKUP('Données projet'!$B$10,Paramètres!$A$1:$I$89,5,0)</f>
        <v>275.18399999999997</v>
      </c>
      <c r="AK81" s="14">
        <f t="shared" si="89"/>
        <v>65.948224238651079</v>
      </c>
      <c r="AL81" s="22">
        <f t="shared" si="58"/>
        <v>594.13862388231712</v>
      </c>
      <c r="AM81" s="62">
        <f t="shared" si="59"/>
        <v>887.47195721565049</v>
      </c>
      <c r="AN81" s="62">
        <f ca="1">AVERAGE(OFFSET($AM$3,0,0,'Données projet'!$E$10+1,1))-AVERAGE(OFFSET($H$3,0,0,'Données projet'!$E$10+1,1))</f>
        <v>396.92963589781414</v>
      </c>
      <c r="AO81" s="62">
        <f t="shared" si="90"/>
        <v>294.38852181137639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8.875</v>
      </c>
      <c r="BD81" s="13">
        <f>IF('Données projet'!$A$88&gt;35,BD80+BC81-BL80,IF(A81&lt;'Données projet'!$A$88,$BA$205^A81,IF(A81='Données projet'!$A$88,'Données projet'!$B$88,BD80+BC81-BL80)))</f>
        <v>519.5</v>
      </c>
      <c r="BE81" s="14">
        <f>BD81*VLOOKUP('Données projet'!$B$11,Paramètres!$A$1:$I$89,3,0)*VLOOKUP('Données projet'!$B$11,Paramètres!$A$1:$I$89,5,0)</f>
        <v>310.661</v>
      </c>
      <c r="BF81" s="14">
        <f t="shared" si="91"/>
        <v>73.406856163089444</v>
      </c>
      <c r="BG81" s="22">
        <f t="shared" si="61"/>
        <v>668.91818281738085</v>
      </c>
      <c r="BH81" s="62">
        <f t="shared" si="62"/>
        <v>962.25151615071422</v>
      </c>
      <c r="BI81" s="62">
        <f ca="1">AVERAGE(OFFSET($BH$3,0,0,'Données projet'!$E$11+1,1))-AVERAGE(OFFSET($H$3,0,0,'Données projet'!$E$11+1,1))</f>
        <v>362.81292020448933</v>
      </c>
      <c r="BJ81" s="62">
        <f t="shared" si="92"/>
        <v>292.26503163353146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0.63893991124120753</v>
      </c>
      <c r="BR81" s="23">
        <f>EXP(-LN(2)/2)*BR80+(1-EXP(-LN(2)/2))/(LN(2)/2)*BL81*BO81*VLOOKUP('Données projet'!$B$11,Paramètres!$A$1:$I$89,3,0)*0.475*44/12</f>
        <v>1.2593424731694104E-6</v>
      </c>
      <c r="BS81" s="24">
        <f t="shared" si="63"/>
        <v>0.63894117058368072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244.82163392718377</v>
      </c>
      <c r="T82" s="62">
        <f t="shared" si="88"/>
        <v>342.30266518164211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2.2389742169158215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2.2389742169158215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17</v>
      </c>
      <c r="AI82" s="14">
        <f>IF('Données projet'!$A$62&gt;35,AI81+AH82-AQ81,IF(A82&lt;'Données projet'!$A$62,$AF$205^A82,IF(A82='Données projet'!$A$62,'Données projet'!$B$62,AI81+AH82-AQ81)))</f>
        <v>604.99999999999989</v>
      </c>
      <c r="AJ82" s="14">
        <f>AI82*VLOOKUP('Données projet'!$B$10,Paramètres!$A$1:$I$89,3,0)*VLOOKUP('Données projet'!$B$10,Paramètres!$A$1:$I$89,5,0)</f>
        <v>283.13999999999993</v>
      </c>
      <c r="AK82" s="14">
        <f t="shared" si="89"/>
        <v>67.630149847511944</v>
      </c>
      <c r="AL82" s="22">
        <f t="shared" si="58"/>
        <v>610.92467765108313</v>
      </c>
      <c r="AM82" s="62">
        <f t="shared" si="59"/>
        <v>904.25801098441639</v>
      </c>
      <c r="AN82" s="62">
        <f ca="1">AVERAGE(OFFSET($AM$3,0,0,'Données projet'!$E$10+1,1))-AVERAGE(OFFSET($H$3,0,0,'Données projet'!$E$10+1,1))</f>
        <v>396.92963589781414</v>
      </c>
      <c r="AO82" s="62">
        <f t="shared" si="90"/>
        <v>294.38852181137639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8.875</v>
      </c>
      <c r="BD82" s="13">
        <f>IF('Données projet'!$A$88&gt;35,BD81+BC82-BL81,IF(A82&lt;'Données projet'!$A$88,$BA$205^A82,IF(A82='Données projet'!$A$88,'Données projet'!$B$88,BD81+BC82-BL81)))</f>
        <v>528.375</v>
      </c>
      <c r="BE82" s="14">
        <f>BD82*VLOOKUP('Données projet'!$B$11,Paramètres!$A$1:$I$89,3,0)*VLOOKUP('Données projet'!$B$11,Paramètres!$A$1:$I$89,5,0)</f>
        <v>315.96825000000001</v>
      </c>
      <c r="BF82" s="14">
        <f t="shared" si="91"/>
        <v>74.513851630905478</v>
      </c>
      <c r="BG82" s="22">
        <f t="shared" si="61"/>
        <v>680.08966034049365</v>
      </c>
      <c r="BH82" s="62">
        <f t="shared" si="62"/>
        <v>973.42299367382702</v>
      </c>
      <c r="BI82" s="62">
        <f ca="1">AVERAGE(OFFSET($BH$3,0,0,'Données projet'!$E$11+1,1))-AVERAGE(OFFSET($H$3,0,0,'Données projet'!$E$11+1,1))</f>
        <v>362.81292020448933</v>
      </c>
      <c r="BJ82" s="62">
        <f t="shared" si="92"/>
        <v>292.26503163353146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0.62146806576792712</v>
      </c>
      <c r="BR82" s="23">
        <f>EXP(-LN(2)/2)*BR81+(1-EXP(-LN(2)/2))/(LN(2)/2)*BL82*BO82*VLOOKUP('Données projet'!$B$11,Paramètres!$A$1:$I$89,3,0)*0.475*44/12</f>
        <v>8.9048960261432786E-7</v>
      </c>
      <c r="BS82" s="24">
        <f t="shared" si="63"/>
        <v>0.62146895625752974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244.82163392718377</v>
      </c>
      <c r="T83" s="62">
        <f t="shared" si="88"/>
        <v>342.30266518164211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2.195069298161529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2.195069298161529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622</v>
      </c>
      <c r="AG83" s="13">
        <f>VLOOKUP(A83,'Données projet'!$A$61:$I$81,9,0)</f>
        <v>17</v>
      </c>
      <c r="AH83" s="13">
        <f t="array" ref="AH83">INDEX(AG:AG,MIN(IF(ISNUMBER(AG83:AG279),ROW(AG83:AG279),"")))</f>
        <v>17</v>
      </c>
      <c r="AI83" s="14">
        <f>IF('Données projet'!$A$62&gt;35,AI82+AH83-AQ82,IF(A83&lt;'Données projet'!$A$62,$AF$205^A83,IF(A83='Données projet'!$A$62,'Données projet'!$B$62,AI82+AH83-AQ82)))</f>
        <v>621.99999999999989</v>
      </c>
      <c r="AJ83" s="14">
        <f>AI83*VLOOKUP('Données projet'!$B$10,Paramètres!$A$1:$I$89,3,0)*VLOOKUP('Données projet'!$B$10,Paramètres!$A$1:$I$89,5,0)</f>
        <v>291.09599999999995</v>
      </c>
      <c r="AK83" s="14">
        <f t="shared" si="89"/>
        <v>69.306582531434373</v>
      </c>
      <c r="AL83" s="22">
        <f t="shared" si="58"/>
        <v>627.7011645755814</v>
      </c>
      <c r="AM83" s="62">
        <f t="shared" si="59"/>
        <v>921.03449790891477</v>
      </c>
      <c r="AN83" s="62">
        <f ca="1">AVERAGE(OFFSET($AM$3,0,0,'Données projet'!$E$10+1,1))-AVERAGE(OFFSET($H$3,0,0,'Données projet'!$E$10+1,1))</f>
        <v>396.92963589781414</v>
      </c>
      <c r="AO83" s="62">
        <f t="shared" si="90"/>
        <v>294.38852181137639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124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8.875</v>
      </c>
      <c r="BD83" s="13">
        <f>IF('Données projet'!$A$88&gt;35,BD82+BC83-BL82,IF(A83&lt;'Données projet'!$A$88,$BA$205^A83,IF(A83='Données projet'!$A$88,'Données projet'!$B$88,BD82+BC83-BL82)))</f>
        <v>537.25</v>
      </c>
      <c r="BE83" s="14">
        <f>BD83*VLOOKUP('Données projet'!$B$11,Paramètres!$A$1:$I$89,3,0)*VLOOKUP('Données projet'!$B$11,Paramètres!$A$1:$I$89,5,0)</f>
        <v>321.27550000000002</v>
      </c>
      <c r="BF83" s="14">
        <f t="shared" si="91"/>
        <v>75.618684768443416</v>
      </c>
      <c r="BG83" s="22">
        <f t="shared" si="61"/>
        <v>691.25737180503893</v>
      </c>
      <c r="BH83" s="62">
        <f t="shared" si="62"/>
        <v>984.59070513837219</v>
      </c>
      <c r="BI83" s="62">
        <f ca="1">AVERAGE(OFFSET($BH$3,0,0,'Données projet'!$E$11+1,1))-AVERAGE(OFFSET($H$3,0,0,'Données projet'!$E$11+1,1))</f>
        <v>362.81292020448933</v>
      </c>
      <c r="BJ83" s="62">
        <f t="shared" si="92"/>
        <v>292.26503163353146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0.60447398882791792</v>
      </c>
      <c r="BR83" s="23">
        <f>EXP(-LN(2)/2)*BR82+(1-EXP(-LN(2)/2))/(LN(2)/2)*BL83*BO83*VLOOKUP('Données projet'!$B$11,Paramètres!$A$1:$I$89,3,0)*0.475*44/12</f>
        <v>6.2967123658470519E-7</v>
      </c>
      <c r="BS83" s="24">
        <f t="shared" si="63"/>
        <v>0.60447461849915451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244.82163392718377</v>
      </c>
      <c r="T84" s="62">
        <f t="shared" si="88"/>
        <v>342.30266518164211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2.152025328084652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2.152025328084652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17.5</v>
      </c>
      <c r="AI84" s="14">
        <f>IF('Données projet'!$A$62&gt;35,AI83+AH84-AQ83,IF(A84&lt;'Données projet'!$A$62,$AF$205^A84,IF(A84='Données projet'!$A$62,'Données projet'!$B$62,AI83+AH84-AQ83)))</f>
        <v>515.49999999999989</v>
      </c>
      <c r="AJ84" s="14">
        <f>AI84*VLOOKUP('Données projet'!$B$10,Paramètres!$A$1:$I$89,3,0)*VLOOKUP('Données projet'!$B$10,Paramètres!$A$1:$I$89,5,0)</f>
        <v>241.25399999999996</v>
      </c>
      <c r="AK84" s="14">
        <f t="shared" si="89"/>
        <v>58.70925280391986</v>
      </c>
      <c r="AL84" s="22">
        <f t="shared" si="58"/>
        <v>522.43599863349357</v>
      </c>
      <c r="AM84" s="62">
        <f t="shared" si="59"/>
        <v>815.76933196682694</v>
      </c>
      <c r="AN84" s="62">
        <f ca="1">AVERAGE(OFFSET($AM$3,0,0,'Données projet'!$E$10+1,1))-AVERAGE(OFFSET($H$3,0,0,'Données projet'!$E$10+1,1))</f>
        <v>396.92963589781414</v>
      </c>
      <c r="AO84" s="62">
        <f t="shared" si="90"/>
        <v>294.38852181137639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8.875</v>
      </c>
      <c r="BD84" s="13">
        <f>IF('Données projet'!$A$88&gt;35,BD83+BC84-BL83,IF(A84&lt;'Données projet'!$A$88,$BA$205^A84,IF(A84='Données projet'!$A$88,'Données projet'!$B$88,BD83+BC84-BL83)))</f>
        <v>546.125</v>
      </c>
      <c r="BE84" s="14">
        <f>BD84*VLOOKUP('Données projet'!$B$11,Paramètres!$A$1:$I$89,3,0)*VLOOKUP('Données projet'!$B$11,Paramètres!$A$1:$I$89,5,0)</f>
        <v>326.58275000000003</v>
      </c>
      <c r="BF84" s="14">
        <f t="shared" si="91"/>
        <v>76.72139541907876</v>
      </c>
      <c r="BG84" s="22">
        <f t="shared" si="61"/>
        <v>702.42138660489547</v>
      </c>
      <c r="BH84" s="62">
        <f t="shared" si="62"/>
        <v>995.75471993822885</v>
      </c>
      <c r="BI84" s="62">
        <f ca="1">AVERAGE(OFFSET($BH$3,0,0,'Données projet'!$E$11+1,1))-AVERAGE(OFFSET($H$3,0,0,'Données projet'!$E$11+1,1))</f>
        <v>362.81292020448933</v>
      </c>
      <c r="BJ84" s="62">
        <f t="shared" si="92"/>
        <v>292.26503163353146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0.58794461581551294</v>
      </c>
      <c r="BR84" s="23">
        <f>EXP(-LN(2)/2)*BR83+(1-EXP(-LN(2)/2))/(LN(2)/2)*BL84*BO84*VLOOKUP('Données projet'!$B$11,Paramètres!$A$1:$I$89,3,0)*0.475*44/12</f>
        <v>4.4524480130716393E-7</v>
      </c>
      <c r="BS84" s="24">
        <f t="shared" si="63"/>
        <v>0.5879450610603143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244.82163392718377</v>
      </c>
      <c r="T85" s="62">
        <f t="shared" si="88"/>
        <v>342.30266518164211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2.1098254240067531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2.1098254240067531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17.5</v>
      </c>
      <c r="AI85" s="14">
        <f>IF('Données projet'!$A$62&gt;35,AI84+AH85-AQ84,IF(A85&lt;'Données projet'!$A$62,$AF$205^A85,IF(A85='Données projet'!$A$62,'Données projet'!$B$62,AI84+AH85-AQ84)))</f>
        <v>532.99999999999989</v>
      </c>
      <c r="AJ85" s="14">
        <f>AI85*VLOOKUP('Données projet'!$B$10,Paramètres!$A$1:$I$89,3,0)*VLOOKUP('Données projet'!$B$10,Paramètres!$A$1:$I$89,5,0)</f>
        <v>249.44399999999993</v>
      </c>
      <c r="AK85" s="14">
        <f t="shared" si="89"/>
        <v>60.466866397117599</v>
      </c>
      <c r="AL85" s="22">
        <f t="shared" si="58"/>
        <v>539.76142564164627</v>
      </c>
      <c r="AM85" s="62">
        <f t="shared" si="59"/>
        <v>833.09475897497964</v>
      </c>
      <c r="AN85" s="62">
        <f ca="1">AVERAGE(OFFSET($AM$3,0,0,'Données projet'!$E$10+1,1))-AVERAGE(OFFSET($H$3,0,0,'Données projet'!$E$10+1,1))</f>
        <v>396.92963589781414</v>
      </c>
      <c r="AO85" s="62">
        <f t="shared" si="90"/>
        <v>294.38852181137639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555</v>
      </c>
      <c r="BB85" s="13">
        <f>VLOOKUP(A85,'Données projet'!$A$87:$I$107,9,0)</f>
        <v>8.875</v>
      </c>
      <c r="BC85" s="13">
        <f t="array" ref="BC85">INDEX(BB:BB,MIN(IF(ISNUMBER(BB85:BB281),ROW(BB85:BB281),"")))</f>
        <v>8.875</v>
      </c>
      <c r="BD85" s="13">
        <f>IF('Données projet'!$A$88&gt;35,BD84+BC85-BL84,IF(A85&lt;'Données projet'!$A$88,$BA$205^A85,IF(A85='Données projet'!$A$88,'Données projet'!$B$88,BD84+BC85-BL84)))</f>
        <v>555</v>
      </c>
      <c r="BE85" s="14">
        <f>BD85*VLOOKUP('Données projet'!$B$11,Paramètres!$A$1:$I$89,3,0)*VLOOKUP('Données projet'!$B$11,Paramètres!$A$1:$I$89,5,0)</f>
        <v>331.89000000000004</v>
      </c>
      <c r="BF85" s="14">
        <f t="shared" si="91"/>
        <v>77.822022056956186</v>
      </c>
      <c r="BG85" s="22">
        <f t="shared" si="61"/>
        <v>713.58177174919865</v>
      </c>
      <c r="BH85" s="62">
        <f t="shared" si="62"/>
        <v>1006.9151050825319</v>
      </c>
      <c r="BI85" s="62">
        <f ca="1">AVERAGE(OFFSET($BH$3,0,0,'Données projet'!$E$11+1,1))-AVERAGE(OFFSET($H$3,0,0,'Données projet'!$E$11+1,1))</f>
        <v>362.81292020448933</v>
      </c>
      <c r="BJ85" s="62">
        <f t="shared" si="92"/>
        <v>292.26503163353146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555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0.57186723937737416</v>
      </c>
      <c r="BR85" s="23">
        <f>EXP(-LN(2)/2)*BR84+(1-EXP(-LN(2)/2))/(LN(2)/2)*BL85*BO85*VLOOKUP('Données projet'!$B$11,Paramètres!$A$1:$I$89,3,0)*0.475*44/12</f>
        <v>3.1483561829235259E-7</v>
      </c>
      <c r="BS85" s="24">
        <f t="shared" si="63"/>
        <v>0.5718675542129924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244.82163392718377</v>
      </c>
      <c r="T86" s="62">
        <f t="shared" si="88"/>
        <v>342.30266518164211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2.0684530343084218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2.0684530343084218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17.5</v>
      </c>
      <c r="AI86" s="14">
        <f>IF('Données projet'!$A$62&gt;35,AI85+AH86-AQ85,IF(A86&lt;'Données projet'!$A$62,$AF$205^A86,IF(A86='Données projet'!$A$62,'Données projet'!$B$62,AI85+AH86-AQ85)))</f>
        <v>550.49999999999989</v>
      </c>
      <c r="AJ86" s="14">
        <f>AI86*VLOOKUP('Données projet'!$B$10,Paramètres!$A$1:$I$89,3,0)*VLOOKUP('Données projet'!$B$10,Paramètres!$A$1:$I$89,5,0)</f>
        <v>257.63399999999996</v>
      </c>
      <c r="AK86" s="14">
        <f t="shared" si="89"/>
        <v>62.217774353261795</v>
      </c>
      <c r="AL86" s="22">
        <f t="shared" si="58"/>
        <v>557.07517366526417</v>
      </c>
      <c r="AM86" s="62">
        <f t="shared" si="59"/>
        <v>850.40850699859743</v>
      </c>
      <c r="AN86" s="62">
        <f ca="1">AVERAGE(OFFSET($AM$3,0,0,'Données projet'!$E$10+1,1))-AVERAGE(OFFSET($H$3,0,0,'Données projet'!$E$10+1,1))</f>
        <v>396.92963589781414</v>
      </c>
      <c r="AO86" s="62">
        <f t="shared" si="90"/>
        <v>294.38852181137639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362.81292020448933</v>
      </c>
      <c r="BJ86" s="62">
        <f t="shared" si="92"/>
        <v>292.26503163353146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0.55622949964340873</v>
      </c>
      <c r="BR86" s="23">
        <f>EXP(-LN(2)/2)*BR85+(1-EXP(-LN(2)/2))/(LN(2)/2)*BL86*BO86*VLOOKUP('Données projet'!$B$11,Paramètres!$A$1:$I$89,3,0)*0.475*44/12</f>
        <v>2.2262240065358197E-7</v>
      </c>
      <c r="BS86" s="24">
        <f t="shared" si="63"/>
        <v>0.55622972226580936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244.82163392718377</v>
      </c>
      <c r="T87" s="62">
        <f t="shared" si="88"/>
        <v>342.30266518164211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2.0278919319374089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2.0278919319374089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17.5</v>
      </c>
      <c r="AI87" s="14">
        <f>IF('Données projet'!$A$62&gt;35,AI86+AH87-AQ86,IF(A87&lt;'Données projet'!$A$62,$AF$205^A87,IF(A87='Données projet'!$A$62,'Données projet'!$B$62,AI86+AH87-AQ86)))</f>
        <v>567.99999999999989</v>
      </c>
      <c r="AJ87" s="14">
        <f>AI87*VLOOKUP('Données projet'!$B$10,Paramètres!$A$1:$I$89,3,0)*VLOOKUP('Données projet'!$B$10,Paramètres!$A$1:$I$89,5,0)</f>
        <v>265.82399999999996</v>
      </c>
      <c r="AK87" s="14">
        <f t="shared" si="89"/>
        <v>63.962214293903529</v>
      </c>
      <c r="AL87" s="22">
        <f t="shared" si="58"/>
        <v>574.37765656188185</v>
      </c>
      <c r="AM87" s="62">
        <f t="shared" si="59"/>
        <v>867.71098989521511</v>
      </c>
      <c r="AN87" s="62">
        <f ca="1">AVERAGE(OFFSET($AM$3,0,0,'Données projet'!$E$10+1,1))-AVERAGE(OFFSET($H$3,0,0,'Données projet'!$E$10+1,1))</f>
        <v>396.92963589781414</v>
      </c>
      <c r="AO87" s="62">
        <f t="shared" si="90"/>
        <v>294.38852181137639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362.81292020448933</v>
      </c>
      <c r="BJ87" s="62">
        <f t="shared" si="92"/>
        <v>292.26503163353146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0.54101937472482164</v>
      </c>
      <c r="BR87" s="23">
        <f>EXP(-LN(2)/2)*BR86+(1-EXP(-LN(2)/2))/(LN(2)/2)*BL87*BO87*VLOOKUP('Données projet'!$B$11,Paramètres!$A$1:$I$89,3,0)*0.475*44/12</f>
        <v>1.574178091461763E-7</v>
      </c>
      <c r="BS87" s="24">
        <f t="shared" si="63"/>
        <v>0.54101953214263077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244.82163392718377</v>
      </c>
      <c r="T88" s="62">
        <f t="shared" si="88"/>
        <v>342.30266518164211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1.9881262080440618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1.9881262080440618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17.5</v>
      </c>
      <c r="AI88" s="14">
        <f>IF('Données projet'!$A$62&gt;35,AI87+AH88-AQ87,IF(A88&lt;'Données projet'!$A$62,$AF$205^A88,IF(A88='Données projet'!$A$62,'Données projet'!$B$62,AI87+AH88-AQ87)))</f>
        <v>585.49999999999989</v>
      </c>
      <c r="AJ88" s="14">
        <f>AI88*VLOOKUP('Données projet'!$B$10,Paramètres!$A$1:$I$89,3,0)*VLOOKUP('Données projet'!$B$10,Paramètres!$A$1:$I$89,5,0)</f>
        <v>274.01399999999995</v>
      </c>
      <c r="AK88" s="14">
        <f t="shared" si="89"/>
        <v>65.700408366571935</v>
      </c>
      <c r="AL88" s="22">
        <f t="shared" si="58"/>
        <v>591.66926123844598</v>
      </c>
      <c r="AM88" s="62">
        <f t="shared" si="59"/>
        <v>885.00259457177935</v>
      </c>
      <c r="AN88" s="62">
        <f ca="1">AVERAGE(OFFSET($AM$3,0,0,'Données projet'!$E$10+1,1))-AVERAGE(OFFSET($H$3,0,0,'Données projet'!$E$10+1,1))</f>
        <v>396.92963589781414</v>
      </c>
      <c r="AO88" s="62">
        <f t="shared" si="90"/>
        <v>294.38852181137639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362.81292020448933</v>
      </c>
      <c r="BJ88" s="62">
        <f t="shared" si="92"/>
        <v>292.26503163353146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0.52622517147199899</v>
      </c>
      <c r="BR88" s="23">
        <f>EXP(-LN(2)/2)*BR87+(1-EXP(-LN(2)/2))/(LN(2)/2)*BL88*BO88*VLOOKUP('Données projet'!$B$11,Paramètres!$A$1:$I$89,3,0)*0.475*44/12</f>
        <v>1.1131120032679098E-7</v>
      </c>
      <c r="BS88" s="24">
        <f t="shared" si="63"/>
        <v>0.52622528278319936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244.82163392718377</v>
      </c>
      <c r="T89" s="62">
        <f t="shared" si="88"/>
        <v>342.30266518164211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1.9491402657415666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1.9491402657415666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17.5</v>
      </c>
      <c r="AI89" s="14">
        <f>IF('Données projet'!$A$62&gt;35,AI88+AH89-AQ88,IF(A89&lt;'Données projet'!$A$62,$AF$205^A89,IF(A89='Données projet'!$A$62,'Données projet'!$B$62,AI88+AH89-AQ88)))</f>
        <v>602.99999999999989</v>
      </c>
      <c r="AJ89" s="14">
        <f>AI89*VLOOKUP('Données projet'!$B$10,Paramètres!$A$1:$I$89,3,0)*VLOOKUP('Données projet'!$B$10,Paramètres!$A$1:$I$89,5,0)</f>
        <v>282.20399999999995</v>
      </c>
      <c r="AK89" s="14">
        <f t="shared" si="89"/>
        <v>67.432564684485186</v>
      </c>
      <c r="AL89" s="22">
        <f t="shared" si="58"/>
        <v>608.9503501588116</v>
      </c>
      <c r="AM89" s="62">
        <f t="shared" si="59"/>
        <v>902.28368349214497</v>
      </c>
      <c r="AN89" s="62">
        <f ca="1">AVERAGE(OFFSET($AM$3,0,0,'Données projet'!$E$10+1,1))-AVERAGE(OFFSET($H$3,0,0,'Données projet'!$E$10+1,1))</f>
        <v>396.92963589781414</v>
      </c>
      <c r="AO89" s="62">
        <f t="shared" si="90"/>
        <v>294.38852181137639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362.81292020448933</v>
      </c>
      <c r="BJ89" s="62">
        <f t="shared" si="92"/>
        <v>292.26503163353146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0.51183551648511816</v>
      </c>
      <c r="BR89" s="23">
        <f>EXP(-LN(2)/2)*BR88+(1-EXP(-LN(2)/2))/(LN(2)/2)*BL89*BO89*VLOOKUP('Données projet'!$B$11,Paramètres!$A$1:$I$89,3,0)*0.475*44/12</f>
        <v>7.8708904573088148E-8</v>
      </c>
      <c r="BS89" s="24">
        <f t="shared" si="63"/>
        <v>0.51183559519402277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244.82163392718377</v>
      </c>
      <c r="T90" s="62">
        <f t="shared" si="88"/>
        <v>342.30266518164211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1.9109188139885467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1.9109188139885467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17.5</v>
      </c>
      <c r="AI90" s="14">
        <f>IF('Données projet'!$A$62&gt;35,AI89+AH90-AQ89,IF(A90&lt;'Données projet'!$A$62,$AF$205^A90,IF(A90='Données projet'!$A$62,'Données projet'!$B$62,AI89+AH90-AQ89)))</f>
        <v>620.49999999999989</v>
      </c>
      <c r="AJ90" s="14">
        <f>AI90*VLOOKUP('Données projet'!$B$10,Paramètres!$A$1:$I$89,3,0)*VLOOKUP('Données projet'!$B$10,Paramètres!$A$1:$I$89,5,0)</f>
        <v>290.39399999999995</v>
      </c>
      <c r="AK90" s="14">
        <f t="shared" si="89"/>
        <v>69.158878594433091</v>
      </c>
      <c r="AL90" s="22">
        <f t="shared" si="58"/>
        <v>626.22126355197076</v>
      </c>
      <c r="AM90" s="62">
        <f t="shared" si="59"/>
        <v>919.55459688530414</v>
      </c>
      <c r="AN90" s="62">
        <f ca="1">AVERAGE(OFFSET($AM$3,0,0,'Données projet'!$E$10+1,1))-AVERAGE(OFFSET($H$3,0,0,'Données projet'!$E$10+1,1))</f>
        <v>396.92963589781414</v>
      </c>
      <c r="AO90" s="62">
        <f t="shared" si="90"/>
        <v>294.38852181137639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362.81292020448933</v>
      </c>
      <c r="BJ90" s="62">
        <f t="shared" si="92"/>
        <v>292.26503163353146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0.49783934737057262</v>
      </c>
      <c r="BR90" s="23">
        <f>EXP(-LN(2)/2)*BR89+(1-EXP(-LN(2)/2))/(LN(2)/2)*BL90*BO90*VLOOKUP('Données projet'!$B$11,Paramètres!$A$1:$I$89,3,0)*0.475*44/12</f>
        <v>5.5655600163395492E-8</v>
      </c>
      <c r="BS90" s="24">
        <f t="shared" si="63"/>
        <v>0.4978394030261728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244.82163392718377</v>
      </c>
      <c r="T91" s="62">
        <f t="shared" si="88"/>
        <v>342.30266518164211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1.8734468615916198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1.8734468615916198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17.5</v>
      </c>
      <c r="AI91" s="14">
        <f>IF('Données projet'!$A$62&gt;35,AI90+AH91-AQ90,IF(A91&lt;'Données projet'!$A$62,$AF$205^A91,IF(A91='Données projet'!$A$62,'Données projet'!$B$62,AI90+AH91-AQ90)))</f>
        <v>637.99999999999989</v>
      </c>
      <c r="AJ91" s="14">
        <f>AI91*VLOOKUP('Données projet'!$B$10,Paramètres!$A$1:$I$89,3,0)*VLOOKUP('Données projet'!$B$10,Paramètres!$A$1:$I$89,5,0)</f>
        <v>298.58399999999995</v>
      </c>
      <c r="AK91" s="14">
        <f t="shared" si="89"/>
        <v>70.879533797607607</v>
      </c>
      <c r="AL91" s="22">
        <f t="shared" si="58"/>
        <v>643.48232136416652</v>
      </c>
      <c r="AM91" s="62">
        <f t="shared" si="59"/>
        <v>936.81565469749989</v>
      </c>
      <c r="AN91" s="62">
        <f ca="1">AVERAGE(OFFSET($AM$3,0,0,'Données projet'!$E$10+1,1))-AVERAGE(OFFSET($H$3,0,0,'Données projet'!$E$10+1,1))</f>
        <v>396.92963589781414</v>
      </c>
      <c r="AO91" s="62">
        <f t="shared" si="90"/>
        <v>294.38852181137639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362.81292020448933</v>
      </c>
      <c r="BJ91" s="62">
        <f t="shared" si="92"/>
        <v>292.26503163353146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0.48422590423649087</v>
      </c>
      <c r="BR91" s="23">
        <f>EXP(-LN(2)/2)*BR90+(1-EXP(-LN(2)/2))/(LN(2)/2)*BL91*BO91*VLOOKUP('Données projet'!$B$11,Paramètres!$A$1:$I$89,3,0)*0.475*44/12</f>
        <v>3.9354452286544074E-8</v>
      </c>
      <c r="BS91" s="24">
        <f t="shared" si="63"/>
        <v>0.48422594359094318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244.82163392718377</v>
      </c>
      <c r="T92" s="62">
        <f t="shared" si="88"/>
        <v>342.30266518164211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1.8367097113255624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1.8367097113255624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17.5</v>
      </c>
      <c r="AI92" s="14">
        <f>IF('Données projet'!$A$62&gt;35,AI91+AH92-AQ91,IF(A92&lt;'Données projet'!$A$62,$AF$205^A92,IF(A92='Données projet'!$A$62,'Données projet'!$B$62,AI91+AH92-AQ91)))</f>
        <v>655.49999999999989</v>
      </c>
      <c r="AJ92" s="14">
        <f>AI92*VLOOKUP('Données projet'!$B$10,Paramètres!$A$1:$I$89,3,0)*VLOOKUP('Données projet'!$B$10,Paramètres!$A$1:$I$89,5,0)</f>
        <v>306.77399999999994</v>
      </c>
      <c r="AK92" s="14">
        <f t="shared" si="89"/>
        <v>72.594703343999058</v>
      </c>
      <c r="AL92" s="22">
        <f t="shared" si="58"/>
        <v>660.73382499079833</v>
      </c>
      <c r="AM92" s="62">
        <f t="shared" si="59"/>
        <v>954.0671583241317</v>
      </c>
      <c r="AN92" s="62">
        <f ca="1">AVERAGE(OFFSET($AM$3,0,0,'Données projet'!$E$10+1,1))-AVERAGE(OFFSET($H$3,0,0,'Données projet'!$E$10+1,1))</f>
        <v>396.92963589781414</v>
      </c>
      <c r="AO92" s="62">
        <f t="shared" si="90"/>
        <v>294.38852181137639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362.81292020448933</v>
      </c>
      <c r="BJ92" s="62">
        <f t="shared" si="92"/>
        <v>292.26503163353146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0.47098472142081044</v>
      </c>
      <c r="BR92" s="23">
        <f>EXP(-LN(2)/2)*BR91+(1-EXP(-LN(2)/2))/(LN(2)/2)*BL92*BO92*VLOOKUP('Données projet'!$B$11,Paramètres!$A$1:$I$89,3,0)*0.475*44/12</f>
        <v>2.7827800081697746E-8</v>
      </c>
      <c r="BS92" s="24">
        <f t="shared" si="63"/>
        <v>0.4709847492486105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244.82163392718377</v>
      </c>
      <c r="T93" s="62">
        <f t="shared" si="88"/>
        <v>342.30266518164211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1.8006929541687733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1.8006929541687733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673</v>
      </c>
      <c r="AG93" s="13">
        <f>VLOOKUP(A93,'Données projet'!$A$61:$I$81,9,0)</f>
        <v>17.5</v>
      </c>
      <c r="AH93" s="13">
        <f t="array" ref="AH93">INDEX(AG:AG,MIN(IF(ISNUMBER(AG93:AG289),ROW(AG93:AG289),"")))</f>
        <v>17.5</v>
      </c>
      <c r="AI93" s="14">
        <f>IF('Données projet'!$A$62&gt;35,AI92+AH93-AQ92,IF(A93&lt;'Données projet'!$A$62,$AF$205^A93,IF(A93='Données projet'!$A$62,'Données projet'!$B$62,AI92+AH93-AQ92)))</f>
        <v>672.99999999999989</v>
      </c>
      <c r="AJ93" s="14">
        <f>AI93*VLOOKUP('Données projet'!$B$10,Paramètres!$A$1:$I$89,3,0)*VLOOKUP('Données projet'!$B$10,Paramètres!$A$1:$I$89,5,0)</f>
        <v>314.96399999999994</v>
      </c>
      <c r="AK93" s="14">
        <f t="shared" si="89"/>
        <v>74.304550517616548</v>
      </c>
      <c r="AL93" s="22">
        <f t="shared" si="58"/>
        <v>677.97605881818208</v>
      </c>
      <c r="AM93" s="62">
        <f t="shared" si="59"/>
        <v>971.30939215151534</v>
      </c>
      <c r="AN93" s="62">
        <f ca="1">AVERAGE(OFFSET($AM$3,0,0,'Données projet'!$E$10+1,1))-AVERAGE(OFFSET($H$3,0,0,'Données projet'!$E$10+1,1))</f>
        <v>396.92963589781414</v>
      </c>
      <c r="AO93" s="62">
        <f t="shared" si="90"/>
        <v>294.38852181137639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135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362.81292020448933</v>
      </c>
      <c r="BJ93" s="62">
        <f t="shared" si="92"/>
        <v>292.26503163353146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0.45810561944554834</v>
      </c>
      <c r="BR93" s="23">
        <f>EXP(-LN(2)/2)*BR92+(1-EXP(-LN(2)/2))/(LN(2)/2)*BL93*BO93*VLOOKUP('Données projet'!$B$11,Paramètres!$A$1:$I$89,3,0)*0.475*44/12</f>
        <v>1.9677226143272037E-8</v>
      </c>
      <c r="BS93" s="24">
        <f t="shared" si="63"/>
        <v>0.45810563912277447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244.82163392718377</v>
      </c>
      <c r="T94" s="62">
        <f t="shared" si="88"/>
        <v>342.30266518164211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1.7653824636517761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1.7653824636517761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18.5</v>
      </c>
      <c r="AI94" s="14">
        <f>IF('Données projet'!$A$62&gt;35,AI93+AH94-AQ93,IF(A94&lt;'Données projet'!$A$62,$AF$205^A94,IF(A94='Données projet'!$A$62,'Données projet'!$B$62,AI93+AH94-AQ93)))</f>
        <v>556.49999999999989</v>
      </c>
      <c r="AJ94" s="14">
        <f>AI94*VLOOKUP('Données projet'!$B$10,Paramètres!$A$1:$I$89,3,0)*VLOOKUP('Données projet'!$B$10,Paramètres!$A$1:$I$89,5,0)</f>
        <v>260.44199999999995</v>
      </c>
      <c r="AK94" s="14">
        <f t="shared" si="89"/>
        <v>62.816585178645781</v>
      </c>
      <c r="AL94" s="22">
        <f t="shared" si="58"/>
        <v>563.00870251947458</v>
      </c>
      <c r="AM94" s="62">
        <f t="shared" si="59"/>
        <v>856.34203585280784</v>
      </c>
      <c r="AN94" s="62">
        <f ca="1">AVERAGE(OFFSET($AM$3,0,0,'Données projet'!$E$10+1,1))-AVERAGE(OFFSET($H$3,0,0,'Données projet'!$E$10+1,1))</f>
        <v>396.92963589781414</v>
      </c>
      <c r="AO94" s="62">
        <f t="shared" si="90"/>
        <v>294.38852181137639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362.81292020448933</v>
      </c>
      <c r="BJ94" s="62">
        <f t="shared" si="92"/>
        <v>292.26503163353146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0.44557869719108228</v>
      </c>
      <c r="BR94" s="23">
        <f>EXP(-LN(2)/2)*BR93+(1-EXP(-LN(2)/2))/(LN(2)/2)*BL94*BO94*VLOOKUP('Données projet'!$B$11,Paramètres!$A$1:$I$89,3,0)*0.475*44/12</f>
        <v>1.3913900040848873E-8</v>
      </c>
      <c r="BS94" s="24">
        <f t="shared" si="63"/>
        <v>0.44557871110498232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244.82163392718377</v>
      </c>
      <c r="T95" s="62">
        <f t="shared" si="88"/>
        <v>342.30266518164211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1.7307643903165446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1.7307643903165446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18.5</v>
      </c>
      <c r="AI95" s="14">
        <f>IF('Données projet'!$A$62&gt;35,AI94+AH95-AQ94,IF(A95&lt;'Données projet'!$A$62,$AF$205^A95,IF(A95='Données projet'!$A$62,'Données projet'!$B$62,AI94+AH95-AQ94)))</f>
        <v>574.99999999999989</v>
      </c>
      <c r="AJ95" s="14">
        <f>AI95*VLOOKUP('Données projet'!$B$10,Paramètres!$A$1:$I$89,3,0)*VLOOKUP('Données projet'!$B$10,Paramètres!$A$1:$I$89,5,0)</f>
        <v>269.09999999999991</v>
      </c>
      <c r="AK95" s="14">
        <f t="shared" si="89"/>
        <v>64.658229472790993</v>
      </c>
      <c r="AL95" s="22">
        <f t="shared" si="58"/>
        <v>581.29558299844405</v>
      </c>
      <c r="AM95" s="62">
        <f t="shared" si="59"/>
        <v>874.62891633177742</v>
      </c>
      <c r="AN95" s="62">
        <f ca="1">AVERAGE(OFFSET($AM$3,0,0,'Données projet'!$E$10+1,1))-AVERAGE(OFFSET($H$3,0,0,'Données projet'!$E$10+1,1))</f>
        <v>396.92963589781414</v>
      </c>
      <c r="AO95" s="62">
        <f t="shared" si="90"/>
        <v>294.38852181137639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362.81292020448933</v>
      </c>
      <c r="BJ95" s="62">
        <f t="shared" si="92"/>
        <v>292.26503163353146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0.43339432428442681</v>
      </c>
      <c r="BR95" s="23">
        <f>EXP(-LN(2)/2)*BR94+(1-EXP(-LN(2)/2))/(LN(2)/2)*BL95*BO95*VLOOKUP('Données projet'!$B$11,Paramètres!$A$1:$I$89,3,0)*0.475*44/12</f>
        <v>9.8386130716360185E-9</v>
      </c>
      <c r="BS95" s="24">
        <f t="shared" si="63"/>
        <v>0.4333943341230399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244.82163392718377</v>
      </c>
      <c r="T96" s="62">
        <f t="shared" si="88"/>
        <v>342.30266518164211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1.6968251562844774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1.6968251562844774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18.5</v>
      </c>
      <c r="AI96" s="14">
        <f>IF('Données projet'!$A$62&gt;35,AI95+AH96-AQ95,IF(A96&lt;'Données projet'!$A$62,$AF$205^A96,IF(A96='Données projet'!$A$62,'Données projet'!$B$62,AI95+AH96-AQ95)))</f>
        <v>593.49999999999989</v>
      </c>
      <c r="AJ96" s="14">
        <f>AI96*VLOOKUP('Données projet'!$B$10,Paramètres!$A$1:$I$89,3,0)*VLOOKUP('Données projet'!$B$10,Paramètres!$A$1:$I$89,5,0)</f>
        <v>277.75799999999992</v>
      </c>
      <c r="AK96" s="14">
        <f t="shared" si="89"/>
        <v>66.492988372715388</v>
      </c>
      <c r="AL96" s="22">
        <f t="shared" si="58"/>
        <v>599.57047141581245</v>
      </c>
      <c r="AM96" s="62">
        <f t="shared" si="59"/>
        <v>892.90380474914582</v>
      </c>
      <c r="AN96" s="62">
        <f ca="1">AVERAGE(OFFSET($AM$3,0,0,'Données projet'!$E$10+1,1))-AVERAGE(OFFSET($H$3,0,0,'Données projet'!$E$10+1,1))</f>
        <v>396.92963589781414</v>
      </c>
      <c r="AO96" s="62">
        <f t="shared" si="90"/>
        <v>294.38852181137639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362.81292020448933</v>
      </c>
      <c r="BJ96" s="62">
        <f t="shared" si="92"/>
        <v>292.26503163353146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0.42154313369565216</v>
      </c>
      <c r="BR96" s="23">
        <f>EXP(-LN(2)/2)*BR95+(1-EXP(-LN(2)/2))/(LN(2)/2)*BL96*BO96*VLOOKUP('Données projet'!$B$11,Paramètres!$A$1:$I$89,3,0)*0.475*44/12</f>
        <v>6.9569500204244364E-9</v>
      </c>
      <c r="BS96" s="24">
        <f t="shared" si="63"/>
        <v>0.42154314065260218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244.82163392718377</v>
      </c>
      <c r="T97" s="62">
        <f t="shared" si="88"/>
        <v>342.30266518164211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1.6635514499308901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1.6635514499308901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18.5</v>
      </c>
      <c r="AI97" s="14">
        <f>IF('Données projet'!$A$62&gt;35,AI96+AH97-AQ96,IF(A97&lt;'Données projet'!$A$62,$AF$205^A97,IF(A97='Données projet'!$A$62,'Données projet'!$B$62,AI96+AH97-AQ96)))</f>
        <v>611.99999999999989</v>
      </c>
      <c r="AJ97" s="14">
        <f>AI97*VLOOKUP('Données projet'!$B$10,Paramètres!$A$1:$I$89,3,0)*VLOOKUP('Données projet'!$B$10,Paramètres!$A$1:$I$89,5,0)</f>
        <v>286.41599999999994</v>
      </c>
      <c r="AK97" s="14">
        <f t="shared" si="89"/>
        <v>68.321101129951188</v>
      </c>
      <c r="AL97" s="22">
        <f t="shared" si="58"/>
        <v>617.83378446799827</v>
      </c>
      <c r="AM97" s="62">
        <f t="shared" si="59"/>
        <v>911.16711780133164</v>
      </c>
      <c r="AN97" s="62">
        <f ca="1">AVERAGE(OFFSET($AM$3,0,0,'Données projet'!$E$10+1,1))-AVERAGE(OFFSET($H$3,0,0,'Données projet'!$E$10+1,1))</f>
        <v>396.92963589781414</v>
      </c>
      <c r="AO97" s="62">
        <f t="shared" si="90"/>
        <v>294.38852181137639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362.81292020448933</v>
      </c>
      <c r="BJ97" s="62">
        <f t="shared" si="92"/>
        <v>292.26503163353146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0.41001601453675462</v>
      </c>
      <c r="BR97" s="23">
        <f>EXP(-LN(2)/2)*BR96+(1-EXP(-LN(2)/2))/(LN(2)/2)*BL97*BO97*VLOOKUP('Données projet'!$B$11,Paramètres!$A$1:$I$89,3,0)*0.475*44/12</f>
        <v>4.9193065358180093E-9</v>
      </c>
      <c r="BS97" s="24">
        <f t="shared" si="63"/>
        <v>0.41001601945606114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244.82163392718377</v>
      </c>
      <c r="T98" s="62">
        <f t="shared" si="88"/>
        <v>342.30266518164211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1.6309302206639398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1.6309302206639398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18.5</v>
      </c>
      <c r="AI98" s="14">
        <f>IF('Données projet'!$A$62&gt;35,AI97+AH98-AQ97,IF(A98&lt;'Données projet'!$A$62,$AF$205^A98,IF(A98='Données projet'!$A$62,'Données projet'!$B$62,AI97+AH98-AQ97)))</f>
        <v>630.49999999999989</v>
      </c>
      <c r="AJ98" s="14">
        <f>AI98*VLOOKUP('Données projet'!$B$10,Paramètres!$A$1:$I$89,3,0)*VLOOKUP('Données projet'!$B$10,Paramètres!$A$1:$I$89,5,0)</f>
        <v>295.07399999999996</v>
      </c>
      <c r="AK98" s="14">
        <f t="shared" si="89"/>
        <v>70.142791709481173</v>
      </c>
      <c r="AL98" s="22">
        <f t="shared" si="58"/>
        <v>636.08591222734628</v>
      </c>
      <c r="AM98" s="62">
        <f t="shared" si="59"/>
        <v>929.41924556067966</v>
      </c>
      <c r="AN98" s="62">
        <f ca="1">AVERAGE(OFFSET($AM$3,0,0,'Données projet'!$E$10+1,1))-AVERAGE(OFFSET($H$3,0,0,'Données projet'!$E$10+1,1))</f>
        <v>396.92963589781414</v>
      </c>
      <c r="AO98" s="62">
        <f t="shared" si="90"/>
        <v>294.38852181137639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362.81292020448933</v>
      </c>
      <c r="BJ98" s="62">
        <f t="shared" si="92"/>
        <v>292.26503163353146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0.39880410505744196</v>
      </c>
      <c r="BR98" s="23">
        <f>EXP(-LN(2)/2)*BR97+(1-EXP(-LN(2)/2))/(LN(2)/2)*BL98*BO98*VLOOKUP('Données projet'!$B$11,Paramètres!$A$1:$I$89,3,0)*0.475*44/12</f>
        <v>3.4784750102122182E-9</v>
      </c>
      <c r="BS98" s="24">
        <f t="shared" si="63"/>
        <v>0.39880410853591697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244.82163392718377</v>
      </c>
      <c r="T99" s="62">
        <f t="shared" si="88"/>
        <v>342.30266518164211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1.5989486738059293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1.5989486738059293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18.5</v>
      </c>
      <c r="AI99" s="14">
        <f>IF('Données projet'!$A$62&gt;35,AI98+AH99-AQ98,IF(A99&lt;'Données projet'!$A$62,$AF$205^A99,IF(A99='Données projet'!$A$62,'Données projet'!$B$62,AI98+AH99-AQ98)))</f>
        <v>648.99999999999989</v>
      </c>
      <c r="AJ99" s="14">
        <f>AI99*VLOOKUP('Données projet'!$B$10,Paramètres!$A$1:$I$89,3,0)*VLOOKUP('Données projet'!$B$10,Paramètres!$A$1:$I$89,5,0)</f>
        <v>303.73199999999997</v>
      </c>
      <c r="AK99" s="14">
        <f t="shared" si="89"/>
        <v>71.958270185981476</v>
      </c>
      <c r="AL99" s="22">
        <f t="shared" si="58"/>
        <v>654.32722057391766</v>
      </c>
      <c r="AM99" s="62">
        <f t="shared" si="59"/>
        <v>947.66055390725091</v>
      </c>
      <c r="AN99" s="62">
        <f ca="1">AVERAGE(OFFSET($AM$3,0,0,'Données projet'!$E$10+1,1))-AVERAGE(OFFSET($H$3,0,0,'Données projet'!$E$10+1,1))</f>
        <v>396.92963589781414</v>
      </c>
      <c r="AO99" s="62">
        <f t="shared" si="90"/>
        <v>294.38852181137639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362.81292020448933</v>
      </c>
      <c r="BJ99" s="62">
        <f t="shared" si="92"/>
        <v>292.26503163353146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0.3878987858324498</v>
      </c>
      <c r="BR99" s="23">
        <f>EXP(-LN(2)/2)*BR98+(1-EXP(-LN(2)/2))/(LN(2)/2)*BL99*BO99*VLOOKUP('Données projet'!$B$11,Paramètres!$A$1:$I$89,3,0)*0.475*44/12</f>
        <v>2.4596532679090046E-9</v>
      </c>
      <c r="BS99" s="24">
        <f t="shared" si="63"/>
        <v>0.38789878829210306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244.82163392718377</v>
      </c>
      <c r="T100" s="62">
        <f t="shared" si="88"/>
        <v>342.30266518164211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1.5675942655749868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1.5675942655749868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18.5</v>
      </c>
      <c r="AI100" s="14">
        <f>IF('Données projet'!$A$62&gt;35,AI99+AH100-AQ99,IF(A100&lt;'Données projet'!$A$62,$AF$205^A100,IF(A100='Données projet'!$A$62,'Données projet'!$B$62,AI99+AH100-AQ99)))</f>
        <v>667.49999999999989</v>
      </c>
      <c r="AJ100" s="14">
        <f>AI100*VLOOKUP('Données projet'!$B$10,Paramètres!$A$1:$I$89,3,0)*VLOOKUP('Données projet'!$B$10,Paramètres!$A$1:$I$89,5,0)</f>
        <v>312.38999999999993</v>
      </c>
      <c r="AK100" s="14">
        <f t="shared" si="89"/>
        <v>73.767733976388286</v>
      </c>
      <c r="AL100" s="22">
        <f t="shared" si="58"/>
        <v>672.55805334220952</v>
      </c>
      <c r="AM100" s="62">
        <f t="shared" si="59"/>
        <v>965.89138667554289</v>
      </c>
      <c r="AN100" s="62">
        <f ca="1">AVERAGE(OFFSET($AM$3,0,0,'Données projet'!$E$10+1,1))-AVERAGE(OFFSET($H$3,0,0,'Données projet'!$E$10+1,1))</f>
        <v>396.92963589781414</v>
      </c>
      <c r="AO100" s="62">
        <f t="shared" si="90"/>
        <v>294.38852181137639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362.81292020448933</v>
      </c>
      <c r="BJ100" s="62">
        <f t="shared" si="92"/>
        <v>292.26503163353146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0.37729167313515088</v>
      </c>
      <c r="BR100" s="23">
        <f>EXP(-LN(2)/2)*BR99+(1-EXP(-LN(2)/2))/(LN(2)/2)*BL100*BO100*VLOOKUP('Données projet'!$B$11,Paramètres!$A$1:$I$89,3,0)*0.475*44/12</f>
        <v>1.7392375051061091E-9</v>
      </c>
      <c r="BS100" s="24">
        <f t="shared" si="63"/>
        <v>0.37729167487438842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244.82163392718377</v>
      </c>
      <c r="T101" s="62">
        <f t="shared" si="88"/>
        <v>342.30266518164211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1.5368546981651525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1.5368546981651525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18.5</v>
      </c>
      <c r="AI101" s="14">
        <f>IF('Données projet'!$A$62&gt;35,AI100+AH101-AQ100,IF(A101&lt;'Données projet'!$A$62,$AF$205^A101,IF(A101='Données projet'!$A$62,'Données projet'!$B$62,AI100+AH101-AQ100)))</f>
        <v>685.99999999999989</v>
      </c>
      <c r="AJ101" s="14">
        <f>AI101*VLOOKUP('Données projet'!$B$10,Paramètres!$A$1:$I$89,3,0)*VLOOKUP('Données projet'!$B$10,Paramètres!$A$1:$I$89,5,0)</f>
        <v>321.04799999999994</v>
      </c>
      <c r="AK101" s="14">
        <f t="shared" si="89"/>
        <v>75.571368931978697</v>
      </c>
      <c r="AL101" s="22">
        <f t="shared" si="58"/>
        <v>690.77873422319624</v>
      </c>
      <c r="AM101" s="62">
        <f t="shared" si="59"/>
        <v>984.11206755652961</v>
      </c>
      <c r="AN101" s="62">
        <f ca="1">AVERAGE(OFFSET($AM$3,0,0,'Données projet'!$E$10+1,1))-AVERAGE(OFFSET($H$3,0,0,'Données projet'!$E$10+1,1))</f>
        <v>396.92963589781414</v>
      </c>
      <c r="AO101" s="62">
        <f t="shared" si="90"/>
        <v>294.38852181137639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362.81292020448933</v>
      </c>
      <c r="BJ101" s="62">
        <f t="shared" si="92"/>
        <v>292.26503163353146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0.36697461249236341</v>
      </c>
      <c r="BR101" s="23">
        <f>EXP(-LN(2)/2)*BR100+(1-EXP(-LN(2)/2))/(LN(2)/2)*BL101*BO101*VLOOKUP('Données projet'!$B$11,Paramètres!$A$1:$I$89,3,0)*0.475*44/12</f>
        <v>1.2298266339545023E-9</v>
      </c>
      <c r="BS101" s="24">
        <f t="shared" si="63"/>
        <v>0.36697461372219004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244.82163392718377</v>
      </c>
      <c r="T102" s="62">
        <f t="shared" si="88"/>
        <v>342.30266518164211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1.5067179149229404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1.5067179149229404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18.5</v>
      </c>
      <c r="AI102" s="14">
        <f>IF('Données projet'!$A$62&gt;35,AI101+AH102-AQ101,IF(A102&lt;'Données projet'!$A$62,$AF$205^A102,IF(A102='Données projet'!$A$62,'Données projet'!$B$62,AI101+AH102-AQ101)))</f>
        <v>704.49999999999989</v>
      </c>
      <c r="AJ102" s="14">
        <f>AI102*VLOOKUP('Données projet'!$B$10,Paramètres!$A$1:$I$89,3,0)*VLOOKUP('Données projet'!$B$10,Paramètres!$A$1:$I$89,5,0)</f>
        <v>329.70599999999996</v>
      </c>
      <c r="AK102" s="14">
        <f t="shared" si="89"/>
        <v>77.369350309333612</v>
      </c>
      <c r="AL102" s="22">
        <f t="shared" si="58"/>
        <v>708.98956845542261</v>
      </c>
      <c r="AM102" s="62">
        <f t="shared" si="59"/>
        <v>1002.3229017887559</v>
      </c>
      <c r="AN102" s="62">
        <f ca="1">AVERAGE(OFFSET($AM$3,0,0,'Données projet'!$E$10+1,1))-AVERAGE(OFFSET($H$3,0,0,'Données projet'!$E$10+1,1))</f>
        <v>396.92963589781414</v>
      </c>
      <c r="AO102" s="62">
        <f t="shared" si="90"/>
        <v>294.38852181137639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362.81292020448933</v>
      </c>
      <c r="BJ102" s="62">
        <f t="shared" si="92"/>
        <v>292.26503163353146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0.35693967241540359</v>
      </c>
      <c r="BR102" s="23">
        <f>EXP(-LN(2)/2)*BR101+(1-EXP(-LN(2)/2))/(LN(2)/2)*BL102*BO102*VLOOKUP('Données projet'!$B$11,Paramètres!$A$1:$I$89,3,0)*0.475*44/12</f>
        <v>8.6961875255305455E-10</v>
      </c>
      <c r="BS102" s="24">
        <f t="shared" si="63"/>
        <v>0.35693967328502235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244.82163392718377</v>
      </c>
      <c r="T103" s="62">
        <f t="shared" si="88"/>
        <v>342.30266518164211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1.4771720956184853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1.4771720956184853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723</v>
      </c>
      <c r="AG103" s="13">
        <f>VLOOKUP(A103,'Données projet'!$A$61:$I$81,9,0)</f>
        <v>18.5</v>
      </c>
      <c r="AH103" s="13">
        <f t="array" ref="AH103">INDEX(AG:AG,MIN(IF(ISNUMBER(AG103:AG299),ROW(AG103:AG299),"")))</f>
        <v>18.5</v>
      </c>
      <c r="AI103" s="14">
        <f>IF('Données projet'!$A$62&gt;35,AI102+AH103-AQ102,IF(A103&lt;'Données projet'!$A$62,$AF$205^A103,IF(A103='Données projet'!$A$62,'Données projet'!$B$62,AI102+AH103-AQ102)))</f>
        <v>722.99999999999989</v>
      </c>
      <c r="AJ103" s="14">
        <f>AI103*VLOOKUP('Données projet'!$B$10,Paramètres!$A$1:$I$89,3,0)*VLOOKUP('Données projet'!$B$10,Paramètres!$A$1:$I$89,5,0)</f>
        <v>338.36399999999998</v>
      </c>
      <c r="AK103" s="14">
        <f t="shared" si="89"/>
        <v>79.161843636443024</v>
      </c>
      <c r="AL103" s="22">
        <f t="shared" si="58"/>
        <v>727.19084433347155</v>
      </c>
      <c r="AM103" s="62">
        <f t="shared" si="59"/>
        <v>1020.5241776668049</v>
      </c>
      <c r="AN103" s="62">
        <f ca="1">AVERAGE(OFFSET($AM$3,0,0,'Données projet'!$E$10+1,1))-AVERAGE(OFFSET($H$3,0,0,'Données projet'!$E$10+1,1))</f>
        <v>396.92963589781414</v>
      </c>
      <c r="AO103" s="62">
        <f t="shared" si="90"/>
        <v>294.38852181137639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723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362.81292020448933</v>
      </c>
      <c r="BJ103" s="62">
        <f t="shared" si="92"/>
        <v>292.26503163353146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0.34717913830256281</v>
      </c>
      <c r="BR103" s="23">
        <f>EXP(-LN(2)/2)*BR102+(1-EXP(-LN(2)/2))/(LN(2)/2)*BL103*BO103*VLOOKUP('Données projet'!$B$11,Paramètres!$A$1:$I$89,3,0)*0.475*44/12</f>
        <v>6.1491331697725116E-10</v>
      </c>
      <c r="BS103" s="24">
        <f t="shared" si="63"/>
        <v>0.34717913891747615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244.82163392718377</v>
      </c>
      <c r="T104" s="62">
        <f t="shared" si="88"/>
        <v>342.30266518164211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1.4482056518094202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1.4482056518094202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-5.3205440053716299E-14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396.92963589781414</v>
      </c>
      <c r="AO104" s="62">
        <f t="shared" si="90"/>
        <v>294.38852181137639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362.81292020448933</v>
      </c>
      <c r="BJ104" s="62">
        <f t="shared" si="92"/>
        <v>292.26503163353146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0.33768550650832185</v>
      </c>
      <c r="BR104" s="23">
        <f>EXP(-LN(2)/2)*BR103+(1-EXP(-LN(2)/2))/(LN(2)/2)*BL104*BO104*VLOOKUP('Données projet'!$B$11,Paramètres!$A$1:$I$89,3,0)*0.475*44/12</f>
        <v>4.3480937627652728E-10</v>
      </c>
      <c r="BS104" s="24">
        <f t="shared" si="63"/>
        <v>0.33768550694313121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244.82163392718377</v>
      </c>
      <c r="T105" s="62">
        <f t="shared" si="88"/>
        <v>342.30266518164211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1.4198072222956646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1.4198072222956646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-5.3205440053716299E-14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396.92963589781414</v>
      </c>
      <c r="AO105" s="62">
        <f t="shared" si="90"/>
        <v>294.38852181137639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362.81292020448933</v>
      </c>
      <c r="BJ105" s="62">
        <f t="shared" si="92"/>
        <v>292.26503163353146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0.32845147857474277</v>
      </c>
      <c r="BR105" s="23">
        <f>EXP(-LN(2)/2)*BR104+(1-EXP(-LN(2)/2))/(LN(2)/2)*BL105*BO105*VLOOKUP('Données projet'!$B$11,Paramètres!$A$1:$I$89,3,0)*0.475*44/12</f>
        <v>3.0745665848862558E-10</v>
      </c>
      <c r="BS105" s="24">
        <f t="shared" si="63"/>
        <v>0.32845147888219944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244.82163392718377</v>
      </c>
      <c r="T106" s="62">
        <f t="shared" si="88"/>
        <v>342.30266518164211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1.3919656686633421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1.3919656686633421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-5.3205440053716299E-14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396.92963589781414</v>
      </c>
      <c r="AO106" s="62">
        <f t="shared" si="90"/>
        <v>294.38852181137639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362.81292020448933</v>
      </c>
      <c r="BJ106" s="62">
        <f t="shared" si="92"/>
        <v>292.26503163353146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0.31946995562060387</v>
      </c>
      <c r="BR106" s="23">
        <f>EXP(-LN(2)/2)*BR105+(1-EXP(-LN(2)/2))/(LN(2)/2)*BL106*BO106*VLOOKUP('Données projet'!$B$11,Paramètres!$A$1:$I$89,3,0)*0.475*44/12</f>
        <v>2.1740468813826364E-10</v>
      </c>
      <c r="BS106" s="24">
        <f t="shared" si="63"/>
        <v>0.31946995583800858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244.82163392718377</v>
      </c>
      <c r="T107" s="62">
        <f t="shared" si="88"/>
        <v>342.30266518164211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1.3646700709160786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1.3646700709160786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-5.3205440053716299E-14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396.92963589781414</v>
      </c>
      <c r="AO107" s="62">
        <f t="shared" si="90"/>
        <v>294.38852181137639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362.81292020448933</v>
      </c>
      <c r="BJ107" s="62">
        <f t="shared" si="92"/>
        <v>292.26503163353146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0.31073403288396367</v>
      </c>
      <c r="BR107" s="23">
        <f>EXP(-LN(2)/2)*BR106+(1-EXP(-LN(2)/2))/(LN(2)/2)*BL107*BO107*VLOOKUP('Données projet'!$B$11,Paramètres!$A$1:$I$89,3,0)*0.475*44/12</f>
        <v>1.5372832924431279E-10</v>
      </c>
      <c r="BS107" s="24">
        <f t="shared" si="63"/>
        <v>0.31073403303769198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244.82163392718377</v>
      </c>
      <c r="T108" s="62">
        <f t="shared" si="88"/>
        <v>342.30266518164211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1.3379097231919681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1.3379097231919681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-5.3205440053716299E-14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396.92963589781414</v>
      </c>
      <c r="AO108" s="62">
        <f t="shared" si="90"/>
        <v>294.38852181137639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362.81292020448933</v>
      </c>
      <c r="BJ108" s="62">
        <f t="shared" si="92"/>
        <v>292.26503163353146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0.30223699441395907</v>
      </c>
      <c r="BR108" s="23">
        <f>EXP(-LN(2)/2)*BR107+(1-EXP(-LN(2)/2))/(LN(2)/2)*BL108*BO108*VLOOKUP('Données projet'!$B$11,Paramètres!$A$1:$I$89,3,0)*0.475*44/12</f>
        <v>1.0870234406913182E-10</v>
      </c>
      <c r="BS108" s="24">
        <f t="shared" si="63"/>
        <v>0.3022369945226614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244.82163392718377</v>
      </c>
      <c r="T109" s="62">
        <f t="shared" si="88"/>
        <v>342.30266518164211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1.3116741295645271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1.3116741295645271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-5.3205440053716299E-14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396.92963589781414</v>
      </c>
      <c r="AO109" s="62">
        <f t="shared" si="90"/>
        <v>294.38852181137639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362.81292020448933</v>
      </c>
      <c r="BJ109" s="62">
        <f t="shared" si="92"/>
        <v>292.26503163353146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0.29397230790775658</v>
      </c>
      <c r="BR109" s="23">
        <f>EXP(-LN(2)/2)*BR108+(1-EXP(-LN(2)/2))/(LN(2)/2)*BL109*BO109*VLOOKUP('Données projet'!$B$11,Paramètres!$A$1:$I$89,3,0)*0.475*44/12</f>
        <v>7.6864164622156395E-11</v>
      </c>
      <c r="BS109" s="24">
        <f t="shared" si="63"/>
        <v>0.29397230798462076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244.82163392718377</v>
      </c>
      <c r="T110" s="62">
        <f t="shared" si="88"/>
        <v>342.30266518164211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1.2859529999259882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1.2859529999259882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-5.3205440053716299E-14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396.92963589781414</v>
      </c>
      <c r="AO110" s="62">
        <f t="shared" si="90"/>
        <v>294.38852181137639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362.81292020448933</v>
      </c>
      <c r="BJ110" s="62">
        <f t="shared" si="92"/>
        <v>292.26503163353146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0.28593361968868719</v>
      </c>
      <c r="BR110" s="23">
        <f>EXP(-LN(2)/2)*BR109+(1-EXP(-LN(2)/2))/(LN(2)/2)*BL110*BO110*VLOOKUP('Données projet'!$B$11,Paramètres!$A$1:$I$89,3,0)*0.475*44/12</f>
        <v>5.435117203456591E-11</v>
      </c>
      <c r="BS110" s="24">
        <f t="shared" si="63"/>
        <v>0.28593361974303838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244.82163392718377</v>
      </c>
      <c r="T111" s="62">
        <f t="shared" si="88"/>
        <v>342.30266518164211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1.2607362459513209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1.2607362459513209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-5.3205440053716299E-14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396.92963589781414</v>
      </c>
      <c r="AO111" s="62">
        <f t="shared" si="90"/>
        <v>294.38852181137639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362.81292020448933</v>
      </c>
      <c r="BJ111" s="62">
        <f t="shared" si="92"/>
        <v>292.26503163353146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0.27811474982170448</v>
      </c>
      <c r="BR111" s="23">
        <f>EXP(-LN(2)/2)*BR110+(1-EXP(-LN(2)/2))/(LN(2)/2)*BL111*BO111*VLOOKUP('Données projet'!$B$11,Paramètres!$A$1:$I$89,3,0)*0.475*44/12</f>
        <v>3.8432082311078197E-11</v>
      </c>
      <c r="BS111" s="24">
        <f t="shared" si="63"/>
        <v>0.27811474986013657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244.82163392718377</v>
      </c>
      <c r="T112" s="62">
        <f t="shared" si="88"/>
        <v>342.30266518164211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1.2360139771413958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1.2360139771413958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-5.3205440053716299E-14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396.92963589781414</v>
      </c>
      <c r="AO112" s="62">
        <f t="shared" si="90"/>
        <v>294.38852181137639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362.81292020448933</v>
      </c>
      <c r="BJ112" s="62">
        <f t="shared" si="92"/>
        <v>292.26503163353146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0.27050968736241093</v>
      </c>
      <c r="BR112" s="23">
        <f>EXP(-LN(2)/2)*BR111+(1-EXP(-LN(2)/2))/(LN(2)/2)*BL112*BO112*VLOOKUP('Données projet'!$B$11,Paramètres!$A$1:$I$89,3,0)*0.475*44/12</f>
        <v>2.7175586017282955E-11</v>
      </c>
      <c r="BS112" s="24">
        <f t="shared" si="63"/>
        <v>0.27050968738958653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244.82163392718377</v>
      </c>
      <c r="T113" s="62">
        <f t="shared" si="88"/>
        <v>342.30266518164211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1.2117764969437383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1.2117764969437383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-5.3205440053716299E-14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396.92963589781414</v>
      </c>
      <c r="AO113" s="62">
        <f t="shared" si="90"/>
        <v>294.38852181137639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362.81292020448933</v>
      </c>
      <c r="BJ113" s="62">
        <f t="shared" si="92"/>
        <v>292.26503163353146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0.2631125857359996</v>
      </c>
      <c r="BR113" s="23">
        <f>EXP(-LN(2)/2)*BR112+(1-EXP(-LN(2)/2))/(LN(2)/2)*BL113*BO113*VLOOKUP('Données projet'!$B$11,Paramètres!$A$1:$I$89,3,0)*0.475*44/12</f>
        <v>1.9216041155539099E-11</v>
      </c>
      <c r="BS113" s="24">
        <f t="shared" si="63"/>
        <v>0.26311258575521562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244.82163392718377</v>
      </c>
      <c r="T114" s="62">
        <f t="shared" si="88"/>
        <v>342.30266518164211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1.1880142989493536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1.1880142989493536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-5.3205440053716299E-14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396.92963589781414</v>
      </c>
      <c r="AO114" s="62">
        <f t="shared" si="90"/>
        <v>294.38852181137639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362.81292020448933</v>
      </c>
      <c r="BJ114" s="62">
        <f t="shared" si="92"/>
        <v>292.26503163353146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0.25591775824255919</v>
      </c>
      <c r="BR114" s="23">
        <f>EXP(-LN(2)/2)*BR113+(1-EXP(-LN(2)/2))/(LN(2)/2)*BL114*BO114*VLOOKUP('Données projet'!$B$11,Paramètres!$A$1:$I$89,3,0)*0.475*44/12</f>
        <v>1.3587793008641477E-11</v>
      </c>
      <c r="BS114" s="24">
        <f t="shared" si="63"/>
        <v>0.25591775825614699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244.82163392718377</v>
      </c>
      <c r="T115" s="62">
        <f t="shared" si="88"/>
        <v>342.30266518164211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1.1647180631641292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1.1647180631641292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-5.3205440053716299E-14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396.92963589781414</v>
      </c>
      <c r="AO115" s="62">
        <f t="shared" si="90"/>
        <v>294.38852181137639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362.81292020448933</v>
      </c>
      <c r="BJ115" s="62">
        <f t="shared" si="92"/>
        <v>292.26503163353146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0.24891967368528642</v>
      </c>
      <c r="BR115" s="23">
        <f>EXP(-LN(2)/2)*BR114+(1-EXP(-LN(2)/2))/(LN(2)/2)*BL115*BO115*VLOOKUP('Données projet'!$B$11,Paramètres!$A$1:$I$89,3,0)*0.475*44/12</f>
        <v>9.6080205777695493E-12</v>
      </c>
      <c r="BS115" s="24">
        <f t="shared" si="63"/>
        <v>0.24891967369489443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244.82163392718377</v>
      </c>
      <c r="T116" s="62">
        <f t="shared" si="88"/>
        <v>342.30266518164211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1.1418786523533522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1.1418786523533522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-5.3205440053716299E-14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396.92963589781414</v>
      </c>
      <c r="AO116" s="62">
        <f t="shared" si="90"/>
        <v>294.38852181137639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362.81292020448933</v>
      </c>
      <c r="BJ116" s="62">
        <f t="shared" si="92"/>
        <v>292.26503163353146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0.24211295211824554</v>
      </c>
      <c r="BR116" s="23">
        <f>EXP(-LN(2)/2)*BR115+(1-EXP(-LN(2)/2))/(LN(2)/2)*BL116*BO116*VLOOKUP('Données projet'!$B$11,Paramètres!$A$1:$I$89,3,0)*0.475*44/12</f>
        <v>6.7938965043207387E-12</v>
      </c>
      <c r="BS116" s="24">
        <f t="shared" si="63"/>
        <v>0.24211295212503944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244.82163392718377</v>
      </c>
      <c r="T117" s="62">
        <f t="shared" si="88"/>
        <v>342.30266518164211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1.1194871084579094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1.1194871084579094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-5.3205440053716299E-14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396.92963589781414</v>
      </c>
      <c r="AO117" s="62">
        <f t="shared" si="90"/>
        <v>294.38852181137639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362.81292020448933</v>
      </c>
      <c r="BJ117" s="62">
        <f t="shared" si="92"/>
        <v>292.26503163353146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0.23549236071040533</v>
      </c>
      <c r="BR117" s="23">
        <f>EXP(-LN(2)/2)*BR116+(1-EXP(-LN(2)/2))/(LN(2)/2)*BL117*BO117*VLOOKUP('Données projet'!$B$11,Paramètres!$A$1:$I$89,3,0)*0.475*44/12</f>
        <v>4.8040102888847747E-12</v>
      </c>
      <c r="BS117" s="24">
        <f t="shared" si="63"/>
        <v>0.23549236071520935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244.82163392718377</v>
      </c>
      <c r="T118" s="62">
        <f t="shared" si="88"/>
        <v>342.30266518164211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1.0975346490807631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1.0975346490807631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-5.3205440053716299E-14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396.92963589781414</v>
      </c>
      <c r="AO118" s="62">
        <f t="shared" si="90"/>
        <v>294.38852181137639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362.81292020448933</v>
      </c>
      <c r="BJ118" s="62">
        <f t="shared" si="92"/>
        <v>292.26503163353146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0.22905280972277428</v>
      </c>
      <c r="BR118" s="23">
        <f>EXP(-LN(2)/2)*BR117+(1-EXP(-LN(2)/2))/(LN(2)/2)*BL118*BO118*VLOOKUP('Données projet'!$B$11,Paramètres!$A$1:$I$89,3,0)*0.475*44/12</f>
        <v>3.3969482521603694E-12</v>
      </c>
      <c r="BS118" s="24">
        <f t="shared" si="63"/>
        <v>0.22905280972617123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244.82163392718377</v>
      </c>
      <c r="T119" s="62">
        <f t="shared" si="88"/>
        <v>342.30266518164211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1.0760126640423247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1.0760126640423247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-5.3205440053716299E-14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396.92963589781414</v>
      </c>
      <c r="AO119" s="62">
        <f t="shared" si="90"/>
        <v>294.38852181137639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362.81292020448933</v>
      </c>
      <c r="BJ119" s="62">
        <f t="shared" si="92"/>
        <v>292.26503163353146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0.22278934859554125</v>
      </c>
      <c r="BR119" s="23">
        <f>EXP(-LN(2)/2)*BR118+(1-EXP(-LN(2)/2))/(LN(2)/2)*BL119*BO119*VLOOKUP('Données projet'!$B$11,Paramètres!$A$1:$I$89,3,0)*0.475*44/12</f>
        <v>2.4020051444423873E-12</v>
      </c>
      <c r="BS119" s="24">
        <f t="shared" si="63"/>
        <v>0.22278934859794325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244.82163392718377</v>
      </c>
      <c r="T120" s="62">
        <f t="shared" si="88"/>
        <v>342.30266518164211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1.0549127120033752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1.0549127120033752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-5.3205440053716299E-14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396.92963589781414</v>
      </c>
      <c r="AO120" s="62">
        <f t="shared" si="90"/>
        <v>294.38852181137639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362.81292020448933</v>
      </c>
      <c r="BJ120" s="62">
        <f t="shared" si="92"/>
        <v>292.26503163353146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0.21669716214221352</v>
      </c>
      <c r="BR120" s="23">
        <f>EXP(-LN(2)/2)*BR119+(1-EXP(-LN(2)/2))/(LN(2)/2)*BL120*BO120*VLOOKUP('Données projet'!$B$11,Paramètres!$A$1:$I$89,3,0)*0.475*44/12</f>
        <v>1.6984741260801847E-12</v>
      </c>
      <c r="BS120" s="24">
        <f t="shared" si="63"/>
        <v>0.21669716214391199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244.82163392718377</v>
      </c>
      <c r="T121" s="62">
        <f t="shared" si="88"/>
        <v>342.30266518164211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1.0342265171542095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1.0342265171542095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-5.3205440053716299E-14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396.92963589781414</v>
      </c>
      <c r="AO121" s="62">
        <f t="shared" si="90"/>
        <v>294.38852181137639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362.81292020448933</v>
      </c>
      <c r="BJ121" s="62">
        <f t="shared" si="92"/>
        <v>292.26503163353146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0.21077156684782619</v>
      </c>
      <c r="BR121" s="23">
        <f>EXP(-LN(2)/2)*BR120+(1-EXP(-LN(2)/2))/(LN(2)/2)*BL121*BO121*VLOOKUP('Données projet'!$B$11,Paramètres!$A$1:$I$89,3,0)*0.475*44/12</f>
        <v>1.2010025722211937E-12</v>
      </c>
      <c r="BS121" s="24">
        <f t="shared" si="63"/>
        <v>0.2107715668490272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244.82163392718377</v>
      </c>
      <c r="T122" s="62">
        <f t="shared" si="88"/>
        <v>342.30266518164211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1.0139459659687031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1.0139459659687031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-5.3205440053716299E-14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396.92963589781414</v>
      </c>
      <c r="AO122" s="62">
        <f t="shared" si="90"/>
        <v>294.38852181137639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362.81292020448933</v>
      </c>
      <c r="BJ122" s="62">
        <f t="shared" si="92"/>
        <v>292.26503163353146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0.2050080072683774</v>
      </c>
      <c r="BR122" s="23">
        <f>EXP(-LN(2)/2)*BR121+(1-EXP(-LN(2)/2))/(LN(2)/2)*BL122*BO122*VLOOKUP('Données projet'!$B$11,Paramètres!$A$1:$I$89,3,0)*0.475*44/12</f>
        <v>8.4923706304009234E-13</v>
      </c>
      <c r="BS122" s="24">
        <f t="shared" si="63"/>
        <v>0.20500800726922663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244.82163392718377</v>
      </c>
      <c r="T123" s="62">
        <f t="shared" si="88"/>
        <v>342.30266518164211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0.99406310402202958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0.99406310402202958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-5.3205440053716299E-14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396.92963589781414</v>
      </c>
      <c r="AO123" s="62">
        <f t="shared" si="90"/>
        <v>294.38852181137639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362.81292020448933</v>
      </c>
      <c r="BJ123" s="62">
        <f t="shared" si="92"/>
        <v>292.26503163353146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0.19940205252872106</v>
      </c>
      <c r="BR123" s="23">
        <f>EXP(-LN(2)/2)*BR122+(1-EXP(-LN(2)/2))/(LN(2)/2)*BL123*BO123*VLOOKUP('Données projet'!$B$11,Paramètres!$A$1:$I$89,3,0)*0.475*44/12</f>
        <v>6.0050128611059683E-13</v>
      </c>
      <c r="BS123" s="24">
        <f t="shared" si="63"/>
        <v>0.19940205252932156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244.82163392718377</v>
      </c>
      <c r="T124" s="62">
        <f t="shared" si="88"/>
        <v>342.30266518164211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0.97457013287078209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0.97457013287078209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-5.3205440053716299E-14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396.92963589781414</v>
      </c>
      <c r="AO124" s="62">
        <f t="shared" si="90"/>
        <v>294.38852181137639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362.81292020448933</v>
      </c>
      <c r="BJ124" s="62">
        <f t="shared" si="92"/>
        <v>292.26503163353146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0.19394939291622498</v>
      </c>
      <c r="BR124" s="23">
        <f>EXP(-LN(2)/2)*BR123+(1-EXP(-LN(2)/2))/(LN(2)/2)*BL124*BO124*VLOOKUP('Données projet'!$B$11,Paramètres!$A$1:$I$89,3,0)*0.475*44/12</f>
        <v>4.2461853152004617E-13</v>
      </c>
      <c r="BS124" s="24">
        <f t="shared" si="63"/>
        <v>0.19394939291664959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244.82163392718377</v>
      </c>
      <c r="T125" s="62">
        <f t="shared" si="88"/>
        <v>342.30266518164211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0.95545940699427212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0.95545940699427212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-5.3205440053716299E-14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396.92963589781414</v>
      </c>
      <c r="AO125" s="62">
        <f t="shared" si="90"/>
        <v>294.38852181137639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362.81292020448933</v>
      </c>
      <c r="BJ125" s="62">
        <f t="shared" si="92"/>
        <v>292.26503163353146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0.18864583656757553</v>
      </c>
      <c r="BR125" s="23">
        <f>EXP(-LN(2)/2)*BR124+(1-EXP(-LN(2)/2))/(LN(2)/2)*BL125*BO125*VLOOKUP('Données projet'!$B$11,Paramètres!$A$1:$I$89,3,0)*0.475*44/12</f>
        <v>3.0025064305529842E-13</v>
      </c>
      <c r="BS125" s="24">
        <f t="shared" si="63"/>
        <v>0.18864583656787579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244.82163392718377</v>
      </c>
      <c r="T126" s="62">
        <f t="shared" si="88"/>
        <v>342.30266518164211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0.93672343079580866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0.93672343079580866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-5.3205440053716299E-14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396.92963589781414</v>
      </c>
      <c r="AO126" s="62">
        <f t="shared" si="90"/>
        <v>294.38852181137639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362.81292020448933</v>
      </c>
      <c r="BJ126" s="62">
        <f t="shared" si="92"/>
        <v>292.26503163353146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0.18348730624618179</v>
      </c>
      <c r="BR126" s="23">
        <f>EXP(-LN(2)/2)*BR125+(1-EXP(-LN(2)/2))/(LN(2)/2)*BL126*BO126*VLOOKUP('Données projet'!$B$11,Paramètres!$A$1:$I$89,3,0)*0.475*44/12</f>
        <v>2.1230926576002308E-13</v>
      </c>
      <c r="BS126" s="24">
        <f t="shared" si="63"/>
        <v>0.18348730624639409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244.82163392718377</v>
      </c>
      <c r="T127" s="62">
        <f t="shared" si="88"/>
        <v>342.30266518164211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0.91835485566277997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0.91835485566277997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-5.3205440053716299E-14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396.92963589781414</v>
      </c>
      <c r="AO127" s="62">
        <f t="shared" si="90"/>
        <v>294.38852181137639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362.81292020448933</v>
      </c>
      <c r="BJ127" s="62">
        <f t="shared" si="92"/>
        <v>292.26503163353146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0.17846983620770188</v>
      </c>
      <c r="BR127" s="23">
        <f>EXP(-LN(2)/2)*BR126+(1-EXP(-LN(2)/2))/(LN(2)/2)*BL127*BO127*VLOOKUP('Données projet'!$B$11,Paramètres!$A$1:$I$89,3,0)*0.475*44/12</f>
        <v>1.5012532152764921E-13</v>
      </c>
      <c r="BS127" s="24">
        <f t="shared" si="63"/>
        <v>0.17846983620785201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244.82163392718377</v>
      </c>
      <c r="T128" s="62">
        <f t="shared" si="88"/>
        <v>342.30266518164211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0.90034647708438542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0.90034647708438542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-5.3205440053716299E-14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396.92963589781414</v>
      </c>
      <c r="AO128" s="62">
        <f t="shared" si="90"/>
        <v>294.38852181137639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362.81292020448933</v>
      </c>
      <c r="BJ128" s="62">
        <f t="shared" si="92"/>
        <v>292.26503163353146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0.17358956915128149</v>
      </c>
      <c r="BR128" s="23">
        <f>EXP(-LN(2)/2)*BR127+(1-EXP(-LN(2)/2))/(LN(2)/2)*BL128*BO128*VLOOKUP('Données projet'!$B$11,Paramètres!$A$1:$I$89,3,0)*0.475*44/12</f>
        <v>1.0615463288001154E-13</v>
      </c>
      <c r="BS128" s="24">
        <f t="shared" si="63"/>
        <v>0.17358956915138765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244.82163392718377</v>
      </c>
      <c r="T129" s="62">
        <f t="shared" si="88"/>
        <v>342.30266518164211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0.88269123182588693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0.88269123182588693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-5.3205440053716299E-14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396.92963589781414</v>
      </c>
      <c r="AO129" s="62">
        <f t="shared" si="90"/>
        <v>294.38852181137639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362.81292020448933</v>
      </c>
      <c r="BJ129" s="62">
        <f t="shared" si="92"/>
        <v>292.26503163353146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0.16884275325416101</v>
      </c>
      <c r="BR129" s="23">
        <f>EXP(-LN(2)/2)*BR128+(1-EXP(-LN(2)/2))/(LN(2)/2)*BL129*BO129*VLOOKUP('Données projet'!$B$11,Paramètres!$A$1:$I$89,3,0)*0.475*44/12</f>
        <v>7.5062660763824604E-14</v>
      </c>
      <c r="BS129" s="24">
        <f t="shared" si="63"/>
        <v>0.16884275325423606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244.82163392718377</v>
      </c>
      <c r="T130" s="62">
        <f t="shared" si="88"/>
        <v>342.30266518164211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0.86538219515827131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0.86538219515827131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-5.3205440053716299E-14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396.92963589781414</v>
      </c>
      <c r="AO130" s="62">
        <f t="shared" si="90"/>
        <v>294.38852181137639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362.81292020448933</v>
      </c>
      <c r="BJ130" s="62">
        <f t="shared" si="92"/>
        <v>292.26503163353146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0.16422573928737147</v>
      </c>
      <c r="BR130" s="23">
        <f>EXP(-LN(2)/2)*BR129+(1-EXP(-LN(2)/2))/(LN(2)/2)*BL130*BO130*VLOOKUP('Données projet'!$B$11,Paramètres!$A$1:$I$89,3,0)*0.475*44/12</f>
        <v>5.3077316440005771E-14</v>
      </c>
      <c r="BS130" s="24">
        <f t="shared" si="63"/>
        <v>0.16422573928742454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244.82163392718377</v>
      </c>
      <c r="T131" s="62">
        <f t="shared" si="88"/>
        <v>342.30266518164211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0.84841257814223769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0.84841257814223769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-5.3205440053716299E-14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396.92963589781414</v>
      </c>
      <c r="AO131" s="62">
        <f t="shared" si="90"/>
        <v>294.38852181137639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362.81292020448933</v>
      </c>
      <c r="BJ131" s="62">
        <f t="shared" si="92"/>
        <v>292.26503163353146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0.15973497781030202</v>
      </c>
      <c r="BR131" s="23">
        <f>EXP(-LN(2)/2)*BR130+(1-EXP(-LN(2)/2))/(LN(2)/2)*BL131*BO131*VLOOKUP('Données projet'!$B$11,Paramètres!$A$1:$I$89,3,0)*0.475*44/12</f>
        <v>3.7531330381912302E-14</v>
      </c>
      <c r="BS131" s="24">
        <f t="shared" si="63"/>
        <v>0.15973497781033955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244.82163392718377</v>
      </c>
      <c r="T132" s="62">
        <f t="shared" si="88"/>
        <v>342.30266518164211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0.83177572496544416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0.83177572496544416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-5.3205440053716299E-14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396.92963589781414</v>
      </c>
      <c r="AO132" s="62">
        <f t="shared" si="90"/>
        <v>294.38852181137639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362.81292020448933</v>
      </c>
      <c r="BJ132" s="62">
        <f t="shared" si="92"/>
        <v>292.26503163353146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0.15536701644198192</v>
      </c>
      <c r="BR132" s="23">
        <f>EXP(-LN(2)/2)*BR131+(1-EXP(-LN(2)/2))/(LN(2)/2)*BL132*BO132*VLOOKUP('Données projet'!$B$11,Paramètres!$A$1:$I$89,3,0)*0.475*44/12</f>
        <v>2.6538658220002886E-14</v>
      </c>
      <c r="BS132" s="24">
        <f t="shared" ref="BS132:BS153" si="117">SUM(BP132:BR132)</f>
        <v>0.15536701644200845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244.82163392718377</v>
      </c>
      <c r="T133" s="62">
        <f t="shared" ref="T133:T196" si="142">$T$3</f>
        <v>342.30266518164211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0.815465110331969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0.815465110331969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-5.3205440053716299E-14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396.92963589781414</v>
      </c>
      <c r="AO133" s="62">
        <f t="shared" ref="AO133:AO196" si="144">$AO$3</f>
        <v>294.38852181137639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362.81292020448933</v>
      </c>
      <c r="BJ133" s="62">
        <f t="shared" ref="BJ133:BJ196" si="146">$BJ$3</f>
        <v>292.26503163353146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0.15111849720697962</v>
      </c>
      <c r="BR133" s="23">
        <f>EXP(-LN(2)/2)*BR132+(1-EXP(-LN(2)/2))/(LN(2)/2)*BL133*BO133*VLOOKUP('Données projet'!$B$11,Paramètres!$A$1:$I$89,3,0)*0.475*44/12</f>
        <v>1.8765665190956151E-14</v>
      </c>
      <c r="BS133" s="24">
        <f t="shared" si="117"/>
        <v>0.15111849720699838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244.82163392718377</v>
      </c>
      <c r="T134" s="62">
        <f t="shared" si="142"/>
        <v>342.30266518164211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0.79947433690296377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0.79947433690296377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-5.3205440053716299E-14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396.92963589781414</v>
      </c>
      <c r="AO134" s="62">
        <f t="shared" si="144"/>
        <v>294.38852181137639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362.81292020448933</v>
      </c>
      <c r="BJ134" s="62">
        <f t="shared" si="146"/>
        <v>292.26503163353146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0.14698615395387837</v>
      </c>
      <c r="BR134" s="23">
        <f>EXP(-LN(2)/2)*BR133+(1-EXP(-LN(2)/2))/(LN(2)/2)*BL134*BO134*VLOOKUP('Données projet'!$B$11,Paramètres!$A$1:$I$89,3,0)*0.475*44/12</f>
        <v>1.3269329110001443E-14</v>
      </c>
      <c r="BS134" s="24">
        <f t="shared" si="117"/>
        <v>0.14698615395389164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244.82163392718377</v>
      </c>
      <c r="T135" s="62">
        <f t="shared" si="142"/>
        <v>342.30266518164211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0.78379713278749252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0.78379713278749252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-5.3205440053716299E-14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396.92963589781414</v>
      </c>
      <c r="AO135" s="62">
        <f t="shared" si="144"/>
        <v>294.38852181137639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362.81292020448933</v>
      </c>
      <c r="BJ135" s="62">
        <f t="shared" si="146"/>
        <v>292.26503163353146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0.14296680984434368</v>
      </c>
      <c r="BR135" s="23">
        <f>EXP(-LN(2)/2)*BR134+(1-EXP(-LN(2)/2))/(LN(2)/2)*BL135*BO135*VLOOKUP('Données projet'!$B$11,Paramètres!$A$1:$I$89,3,0)*0.475*44/12</f>
        <v>9.3828325954780755E-15</v>
      </c>
      <c r="BS135" s="24">
        <f t="shared" si="117"/>
        <v>0.14296680984435306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244.82163392718377</v>
      </c>
      <c r="T136" s="62">
        <f t="shared" si="142"/>
        <v>342.30266518164211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0.76842734908257537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0.76842734908257537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-5.3205440053716299E-14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396.92963589781414</v>
      </c>
      <c r="AO136" s="62">
        <f t="shared" si="144"/>
        <v>294.38852181137639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362.81292020448933</v>
      </c>
      <c r="BJ136" s="62">
        <f t="shared" si="146"/>
        <v>292.26503163353146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0.13905737491085232</v>
      </c>
      <c r="BR136" s="23">
        <f>EXP(-LN(2)/2)*BR135+(1-EXP(-LN(2)/2))/(LN(2)/2)*BL136*BO136*VLOOKUP('Données projet'!$B$11,Paramètres!$A$1:$I$89,3,0)*0.475*44/12</f>
        <v>6.6346645550007214E-15</v>
      </c>
      <c r="BS136" s="24">
        <f t="shared" si="117"/>
        <v>0.13905737491085896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244.82163392718377</v>
      </c>
      <c r="T137" s="62">
        <f t="shared" si="142"/>
        <v>342.30266518164211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0.7533589574614693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0.7533589574614693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-5.3205440053716299E-14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396.92963589781414</v>
      </c>
      <c r="AO137" s="62">
        <f t="shared" si="144"/>
        <v>294.38852181137639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362.81292020448933</v>
      </c>
      <c r="BJ137" s="62">
        <f t="shared" si="146"/>
        <v>292.26503163353146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0.13525484368120555</v>
      </c>
      <c r="BR137" s="23">
        <f>EXP(-LN(2)/2)*BR136+(1-EXP(-LN(2)/2))/(LN(2)/2)*BL137*BO137*VLOOKUP('Données projet'!$B$11,Paramètres!$A$1:$I$89,3,0)*0.475*44/12</f>
        <v>4.6914162977390378E-15</v>
      </c>
      <c r="BS137" s="24">
        <f t="shared" si="117"/>
        <v>0.13525484368121024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244.82163392718377</v>
      </c>
      <c r="T138" s="62">
        <f t="shared" si="142"/>
        <v>342.30266518164211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0.73858604780924175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0.73858604780924175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-5.3205440053716299E-14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396.92963589781414</v>
      </c>
      <c r="AO138" s="62">
        <f t="shared" si="144"/>
        <v>294.38852181137639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362.81292020448933</v>
      </c>
      <c r="BJ138" s="62">
        <f t="shared" si="146"/>
        <v>292.26503163353146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0.13155629286799989</v>
      </c>
      <c r="BR138" s="23">
        <f>EXP(-LN(2)/2)*BR137+(1-EXP(-LN(2)/2))/(LN(2)/2)*BL138*BO138*VLOOKUP('Données projet'!$B$11,Paramètres!$A$1:$I$89,3,0)*0.475*44/12</f>
        <v>3.3173322775003607E-15</v>
      </c>
      <c r="BS138" s="24">
        <f t="shared" si="117"/>
        <v>0.13155629286800322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244.82163392718377</v>
      </c>
      <c r="T139" s="62">
        <f t="shared" si="142"/>
        <v>342.30266518164211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0.7241028259047092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0.7241028259047092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-5.3205440053716299E-14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396.92963589781414</v>
      </c>
      <c r="AO139" s="62">
        <f t="shared" si="144"/>
        <v>294.38852181137639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362.81292020448933</v>
      </c>
      <c r="BJ139" s="62">
        <f t="shared" si="146"/>
        <v>292.26503163353146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0.12795887912127965</v>
      </c>
      <c r="BR139" s="23">
        <f>EXP(-LN(2)/2)*BR138+(1-EXP(-LN(2)/2))/(LN(2)/2)*BL139*BO139*VLOOKUP('Données projet'!$B$11,Paramètres!$A$1:$I$89,3,0)*0.475*44/12</f>
        <v>2.3457081488695189E-15</v>
      </c>
      <c r="BS139" s="24">
        <f t="shared" si="117"/>
        <v>0.12795887912128201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244.82163392718377</v>
      </c>
      <c r="T140" s="62">
        <f t="shared" si="142"/>
        <v>342.30266518164211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0.7099036111478314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0.7099036111478314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-5.3205440053716299E-14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396.92963589781414</v>
      </c>
      <c r="AO140" s="62">
        <f t="shared" si="144"/>
        <v>294.38852181137639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362.81292020448933</v>
      </c>
      <c r="BJ140" s="62">
        <f t="shared" si="146"/>
        <v>292.26503163353146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0.12445983684264326</v>
      </c>
      <c r="BR140" s="23">
        <f>EXP(-LN(2)/2)*BR139+(1-EXP(-LN(2)/2))/(LN(2)/2)*BL140*BO140*VLOOKUP('Données projet'!$B$11,Paramètres!$A$1:$I$89,3,0)*0.475*44/12</f>
        <v>1.6586661387501803E-15</v>
      </c>
      <c r="BS140" s="24">
        <f t="shared" si="117"/>
        <v>0.12445983684264493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244.82163392718377</v>
      </c>
      <c r="T141" s="62">
        <f t="shared" si="142"/>
        <v>342.30266518164211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0.69598283433167019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0.69598283433167019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-5.3205440053716299E-14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396.92963589781414</v>
      </c>
      <c r="AO141" s="62">
        <f t="shared" si="144"/>
        <v>294.38852181137639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362.81292020448933</v>
      </c>
      <c r="BJ141" s="62">
        <f t="shared" si="146"/>
        <v>292.26503163353146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0.12105647605912283</v>
      </c>
      <c r="BR141" s="23">
        <f>EXP(-LN(2)/2)*BR140+(1-EXP(-LN(2)/2))/(LN(2)/2)*BL141*BO141*VLOOKUP('Données projet'!$B$11,Paramètres!$A$1:$I$89,3,0)*0.475*44/12</f>
        <v>1.1728540744347594E-15</v>
      </c>
      <c r="BS141" s="24">
        <f t="shared" si="117"/>
        <v>0.12105647605912401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244.82163392718377</v>
      </c>
      <c r="T142" s="62">
        <f t="shared" si="142"/>
        <v>342.30266518164211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0.68233503545803842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0.68233503545803842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-5.3205440053716299E-14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396.92963589781414</v>
      </c>
      <c r="AO142" s="62">
        <f t="shared" si="144"/>
        <v>294.38852181137639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362.81292020448933</v>
      </c>
      <c r="BJ142" s="62">
        <f t="shared" si="146"/>
        <v>292.26503163353146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0.11774618035520272</v>
      </c>
      <c r="BR142" s="23">
        <f>EXP(-LN(2)/2)*BR141+(1-EXP(-LN(2)/2))/(LN(2)/2)*BL142*BO142*VLOOKUP('Données projet'!$B$11,Paramètres!$A$1:$I$89,3,0)*0.475*44/12</f>
        <v>8.2933306937509017E-16</v>
      </c>
      <c r="BS142" s="24">
        <f t="shared" si="117"/>
        <v>0.11774618035520355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244.82163392718377</v>
      </c>
      <c r="T143" s="62">
        <f t="shared" si="142"/>
        <v>342.30266518164211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0.66895486159598327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0.66895486159598327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-5.3205440053716299E-14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396.92963589781414</v>
      </c>
      <c r="AO143" s="62">
        <f t="shared" si="144"/>
        <v>294.38852181137639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362.81292020448933</v>
      </c>
      <c r="BJ143" s="62">
        <f t="shared" si="146"/>
        <v>292.26503163353146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0.1145264048613872</v>
      </c>
      <c r="BR143" s="23">
        <f>EXP(-LN(2)/2)*BR142+(1-EXP(-LN(2)/2))/(LN(2)/2)*BL143*BO143*VLOOKUP('Données projet'!$B$11,Paramètres!$A$1:$I$89,3,0)*0.475*44/12</f>
        <v>5.8642703721737972E-16</v>
      </c>
      <c r="BS143" s="24">
        <f t="shared" si="117"/>
        <v>0.11452640486138778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244.82163392718377</v>
      </c>
      <c r="T144" s="62">
        <f t="shared" si="142"/>
        <v>342.30266518164211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0.65583706478226278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0.65583706478226278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-5.3205440053716299E-14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396.92963589781414</v>
      </c>
      <c r="AO144" s="62">
        <f t="shared" si="144"/>
        <v>294.38852181137639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362.81292020448933</v>
      </c>
      <c r="BJ144" s="62">
        <f t="shared" si="146"/>
        <v>292.26503163353146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0.11139467429777068</v>
      </c>
      <c r="BR144" s="23">
        <f>EXP(-LN(2)/2)*BR143+(1-EXP(-LN(2)/2))/(LN(2)/2)*BL144*BO144*VLOOKUP('Données projet'!$B$11,Paramètres!$A$1:$I$89,3,0)*0.475*44/12</f>
        <v>4.1466653468754509E-16</v>
      </c>
      <c r="BS144" s="24">
        <f t="shared" si="117"/>
        <v>0.1113946742977711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244.82163392718377</v>
      </c>
      <c r="T145" s="62">
        <f t="shared" si="142"/>
        <v>342.30266518164211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0.64297649996299333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0.64297649996299333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-5.3205440053716299E-14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396.92963589781414</v>
      </c>
      <c r="AO145" s="62">
        <f t="shared" si="144"/>
        <v>294.38852181137639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362.81292020448933</v>
      </c>
      <c r="BJ145" s="62">
        <f t="shared" si="146"/>
        <v>292.26503163353146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0.10834858107110681</v>
      </c>
      <c r="BR145" s="23">
        <f>EXP(-LN(2)/2)*BR144+(1-EXP(-LN(2)/2))/(LN(2)/2)*BL145*BO145*VLOOKUP('Données projet'!$B$11,Paramètres!$A$1:$I$89,3,0)*0.475*44/12</f>
        <v>2.9321351860868986E-16</v>
      </c>
      <c r="BS145" s="24">
        <f t="shared" si="117"/>
        <v>0.10834858107110711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244.82163392718377</v>
      </c>
      <c r="T146" s="62">
        <f t="shared" si="142"/>
        <v>342.30266518164211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0.63036812297565981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0.63036812297565981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-5.3205440053716299E-14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396.92963589781414</v>
      </c>
      <c r="AO146" s="62">
        <f t="shared" si="144"/>
        <v>294.38852181137639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362.81292020448933</v>
      </c>
      <c r="BJ146" s="62">
        <f t="shared" si="146"/>
        <v>292.26503163353146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0.10538578342391315</v>
      </c>
      <c r="BR146" s="23">
        <f>EXP(-LN(2)/2)*BR145+(1-EXP(-LN(2)/2))/(LN(2)/2)*BL146*BO146*VLOOKUP('Données projet'!$B$11,Paramètres!$A$1:$I$89,3,0)*0.475*44/12</f>
        <v>2.0733326734377254E-16</v>
      </c>
      <c r="BS146" s="24">
        <f t="shared" si="117"/>
        <v>0.10538578342391336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244.82163392718377</v>
      </c>
      <c r="T147" s="62">
        <f t="shared" si="142"/>
        <v>342.30266518164211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0.61800698857069725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0.61800698857069725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-5.3205440053716299E-14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396.92963589781414</v>
      </c>
      <c r="AO147" s="62">
        <f t="shared" si="144"/>
        <v>294.38852181137639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362.81292020448933</v>
      </c>
      <c r="BJ147" s="62">
        <f t="shared" si="146"/>
        <v>292.26503163353146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0.10250400363418875</v>
      </c>
      <c r="BR147" s="23">
        <f>EXP(-LN(2)/2)*BR146+(1-EXP(-LN(2)/2))/(LN(2)/2)*BL147*BO147*VLOOKUP('Données projet'!$B$11,Paramètres!$A$1:$I$89,3,0)*0.475*44/12</f>
        <v>1.4660675930434493E-16</v>
      </c>
      <c r="BS147" s="24">
        <f t="shared" si="117"/>
        <v>0.10250400363418891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244.82163392718377</v>
      </c>
      <c r="T148" s="62">
        <f t="shared" si="142"/>
        <v>342.30266518164211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0.60588824847186851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0.60588824847186851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-5.3205440053716299E-14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396.92963589781414</v>
      </c>
      <c r="AO148" s="62">
        <f t="shared" si="144"/>
        <v>294.38852181137639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362.81292020448933</v>
      </c>
      <c r="BJ148" s="62">
        <f t="shared" si="146"/>
        <v>292.26503163353146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9.9701026264360587E-2</v>
      </c>
      <c r="BR148" s="23">
        <f>EXP(-LN(2)/2)*BR147+(1-EXP(-LN(2)/2))/(LN(2)/2)*BL148*BO148*VLOOKUP('Données projet'!$B$11,Paramètres!$A$1:$I$89,3,0)*0.475*44/12</f>
        <v>1.0366663367188627E-16</v>
      </c>
      <c r="BS148" s="24">
        <f t="shared" si="117"/>
        <v>9.9701026264360684E-2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244.82163392718377</v>
      </c>
      <c r="T149" s="62">
        <f t="shared" si="142"/>
        <v>342.30266518164211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0.59400714947467614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0.59400714947467614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-5.3205440053716299E-14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396.92963589781414</v>
      </c>
      <c r="AO149" s="62">
        <f t="shared" si="144"/>
        <v>294.38852181137639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362.81292020448933</v>
      </c>
      <c r="BJ149" s="62">
        <f t="shared" si="146"/>
        <v>292.26503163353146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9.6974696458112547E-2</v>
      </c>
      <c r="BR149" s="23">
        <f>EXP(-LN(2)/2)*BR148+(1-EXP(-LN(2)/2))/(LN(2)/2)*BL149*BO149*VLOOKUP('Données projet'!$B$11,Paramètres!$A$1:$I$89,3,0)*0.475*44/12</f>
        <v>7.3303379652172465E-17</v>
      </c>
      <c r="BS149" s="24">
        <f t="shared" si="117"/>
        <v>9.6974696458112616E-2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244.82163392718377</v>
      </c>
      <c r="T150" s="62">
        <f t="shared" si="142"/>
        <v>342.30266518164211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0.58235903158206392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0.58235903158206392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-5.3205440053716299E-14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396.92963589781414</v>
      </c>
      <c r="AO150" s="62">
        <f t="shared" si="144"/>
        <v>294.38852181137639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362.81292020448933</v>
      </c>
      <c r="BJ150" s="62">
        <f t="shared" si="146"/>
        <v>292.26503163353146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9.4322918283787818E-2</v>
      </c>
      <c r="BR150" s="23">
        <f>EXP(-LN(2)/2)*BR149+(1-EXP(-LN(2)/2))/(LN(2)/2)*BL150*BO150*VLOOKUP('Données projet'!$B$11,Paramètres!$A$1:$I$89,3,0)*0.475*44/12</f>
        <v>5.1833316835943136E-17</v>
      </c>
      <c r="BS150" s="24">
        <f t="shared" si="117"/>
        <v>9.4322918283787874E-2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244.82163392718377</v>
      </c>
      <c r="T151" s="62">
        <f t="shared" si="142"/>
        <v>342.30266518164211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0.57093932617667542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0.57093932617667542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-5.3205440053716299E-14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396.92963589781414</v>
      </c>
      <c r="AO151" s="62">
        <f t="shared" si="144"/>
        <v>294.38852181137639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362.81292020448933</v>
      </c>
      <c r="BJ151" s="62">
        <f t="shared" si="146"/>
        <v>292.26503163353146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9.1743653123090949E-2</v>
      </c>
      <c r="BR151" s="23">
        <f>EXP(-LN(2)/2)*BR150+(1-EXP(-LN(2)/2))/(LN(2)/2)*BL151*BO151*VLOOKUP('Données projet'!$B$11,Paramètres!$A$1:$I$89,3,0)*0.475*44/12</f>
        <v>3.6651689826086233E-17</v>
      </c>
      <c r="BS151" s="24">
        <f t="shared" si="117"/>
        <v>9.174365312309099E-2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244.82163392718377</v>
      </c>
      <c r="T152" s="62">
        <f t="shared" si="142"/>
        <v>342.30266518164211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0.55974355422895405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0.55974355422895405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-5.3205440053716299E-14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396.92963589781414</v>
      </c>
      <c r="AO152" s="62">
        <f t="shared" si="144"/>
        <v>294.38852181137639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362.81292020448933</v>
      </c>
      <c r="BJ152" s="62">
        <f t="shared" si="146"/>
        <v>292.26503163353146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8.9234918103850994E-2</v>
      </c>
      <c r="BR152" s="23">
        <f>EXP(-LN(2)/2)*BR151+(1-EXP(-LN(2)/2))/(LN(2)/2)*BL152*BO152*VLOOKUP('Données projet'!$B$11,Paramètres!$A$1:$I$89,3,0)*0.475*44/12</f>
        <v>2.5916658417971568E-17</v>
      </c>
      <c r="BS152" s="24">
        <f t="shared" si="117"/>
        <v>8.9234918103851021E-2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244.82163392718377</v>
      </c>
      <c r="T153" s="62">
        <f t="shared" si="142"/>
        <v>342.30266518164211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0.54876732454038091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0.54876732454038091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-5.3205440053716299E-14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396.92963589781414</v>
      </c>
      <c r="AO153" s="62">
        <f t="shared" si="144"/>
        <v>294.38852181137639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362.81292020448933</v>
      </c>
      <c r="BJ153" s="62">
        <f t="shared" si="146"/>
        <v>292.26503163353146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8.6794784575640799E-2</v>
      </c>
      <c r="BR153" s="23">
        <f>EXP(-LN(2)/2)*BR152+(1-EXP(-LN(2)/2))/(LN(2)/2)*BL153*BO153*VLOOKUP('Données projet'!$B$11,Paramètres!$A$1:$I$89,3,0)*0.475*44/12</f>
        <v>1.8325844913043116E-17</v>
      </c>
      <c r="BS153" s="24">
        <f t="shared" si="117"/>
        <v>8.6794784575640813E-2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244.82163392718377</v>
      </c>
      <c r="T154" s="62">
        <f t="shared" si="142"/>
        <v>342.30266518164211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0.53800633202116166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0.53800633202116166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396.92963589781414</v>
      </c>
      <c r="AO154" s="62">
        <f t="shared" si="144"/>
        <v>294.38852181137639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362.81292020448933</v>
      </c>
      <c r="BJ154" s="62">
        <f t="shared" si="146"/>
        <v>292.26503163353146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8.4421376627080547E-2</v>
      </c>
      <c r="BR154" s="23">
        <f>EXP(-LN(2)/2)*BR153+(1-EXP(-LN(2)/2))/(LN(2)/2)*BL154*BO154*VLOOKUP('Données projet'!$B$11,Paramètres!$A$1:$I$89,3,0)*0.475*44/12</f>
        <v>1.2958329208985784E-17</v>
      </c>
      <c r="BS154" s="24">
        <f t="shared" ref="BS154:BS203" si="169">SUM(BP154:BR154)</f>
        <v>8.442137662708056E-2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244.82163392718377</v>
      </c>
      <c r="T155" s="62">
        <f t="shared" si="142"/>
        <v>342.30266518164211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0.52745635600168694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0.52745635600168694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-5.3205440053716299E-14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396.92963589781414</v>
      </c>
      <c r="AO155" s="62">
        <f t="shared" si="144"/>
        <v>294.38852181137639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362.81292020448933</v>
      </c>
      <c r="BJ155" s="62">
        <f t="shared" si="146"/>
        <v>292.26503163353146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8.2112869643685776E-2</v>
      </c>
      <c r="BR155" s="23">
        <f>EXP(-LN(2)/2)*BR154+(1-EXP(-LN(2)/2))/(LN(2)/2)*BL155*BO155*VLOOKUP('Données projet'!$B$11,Paramètres!$A$1:$I$89,3,0)*0.475*44/12</f>
        <v>9.1629224565215581E-18</v>
      </c>
      <c r="BS155" s="24">
        <f t="shared" si="169"/>
        <v>8.211286964368579E-2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244.82163392718377</v>
      </c>
      <c r="T156" s="62">
        <f t="shared" si="142"/>
        <v>342.30266518164211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0.51711325857710411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0.51711325857710411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-5.3205440053716299E-14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396.92963589781414</v>
      </c>
      <c r="AO156" s="62">
        <f t="shared" si="144"/>
        <v>294.38852181137639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362.81292020448933</v>
      </c>
      <c r="BJ156" s="62">
        <f t="shared" si="146"/>
        <v>292.26503163353146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7.9867488905151052E-2</v>
      </c>
      <c r="BR156" s="23">
        <f>EXP(-LN(2)/2)*BR155+(1-EXP(-LN(2)/2))/(LN(2)/2)*BL156*BO156*VLOOKUP('Données projet'!$B$11,Paramètres!$A$1:$I$89,3,0)*0.475*44/12</f>
        <v>6.479164604492892E-18</v>
      </c>
      <c r="BS156" s="24">
        <f t="shared" si="169"/>
        <v>7.9867488905151052E-2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244.82163392718377</v>
      </c>
      <c r="T157" s="62">
        <f t="shared" si="142"/>
        <v>342.30266518164211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0.5069729829843509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0.5069729829843509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-5.3205440053716299E-14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396.92963589781414</v>
      </c>
      <c r="AO157" s="62">
        <f t="shared" si="144"/>
        <v>294.38852181137639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362.81292020448933</v>
      </c>
      <c r="BJ157" s="62">
        <f t="shared" si="146"/>
        <v>292.26503163353146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7.7683508220990988E-2</v>
      </c>
      <c r="BR157" s="23">
        <f>EXP(-LN(2)/2)*BR156+(1-EXP(-LN(2)/2))/(LN(2)/2)*BL157*BO157*VLOOKUP('Données projet'!$B$11,Paramètres!$A$1:$I$89,3,0)*0.475*44/12</f>
        <v>4.5814612282607791E-18</v>
      </c>
      <c r="BS157" s="24">
        <f t="shared" si="169"/>
        <v>7.7683508220990988E-2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244.82163392718377</v>
      </c>
      <c r="T158" s="62">
        <f t="shared" si="142"/>
        <v>342.30266518164211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0.49703155201101418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0.49703155201101418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-5.3205440053716299E-14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396.92963589781414</v>
      </c>
      <c r="AO158" s="62">
        <f t="shared" si="144"/>
        <v>294.38852181137639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362.81292020448933</v>
      </c>
      <c r="BJ158" s="62">
        <f t="shared" si="146"/>
        <v>292.26503163353146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7.5559248603489837E-2</v>
      </c>
      <c r="BR158" s="23">
        <f>EXP(-LN(2)/2)*BR157+(1-EXP(-LN(2)/2))/(LN(2)/2)*BL158*BO158*VLOOKUP('Données projet'!$B$11,Paramètres!$A$1:$I$89,3,0)*0.475*44/12</f>
        <v>3.239582302246446E-18</v>
      </c>
      <c r="BS158" s="24">
        <f t="shared" si="169"/>
        <v>7.5559248603489837E-2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244.82163392718377</v>
      </c>
      <c r="T159" s="62">
        <f t="shared" si="142"/>
        <v>342.30266518164211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0.48728506643539043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0.48728506643539043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-5.3205440053716299E-14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396.92963589781414</v>
      </c>
      <c r="AO159" s="62">
        <f t="shared" si="144"/>
        <v>294.38852181137639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362.81292020448933</v>
      </c>
      <c r="BJ159" s="62">
        <f t="shared" si="146"/>
        <v>292.26503163353146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7.3493076976939214E-2</v>
      </c>
      <c r="BR159" s="23">
        <f>EXP(-LN(2)/2)*BR158+(1-EXP(-LN(2)/2))/(LN(2)/2)*BL159*BO159*VLOOKUP('Données projet'!$B$11,Paramètres!$A$1:$I$89,3,0)*0.475*44/12</f>
        <v>2.2907306141303895E-18</v>
      </c>
      <c r="BS159" s="24">
        <f t="shared" si="169"/>
        <v>7.3493076976939214E-2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244.82163392718377</v>
      </c>
      <c r="T160" s="62">
        <f t="shared" si="142"/>
        <v>342.30266518164211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0.47772970349713545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0.47772970349713545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-5.3205440053716299E-14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396.92963589781414</v>
      </c>
      <c r="AO160" s="62">
        <f t="shared" si="144"/>
        <v>294.38852181137639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362.81292020448933</v>
      </c>
      <c r="BJ160" s="62">
        <f t="shared" si="146"/>
        <v>292.26503163353146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7.1483404922171867E-2</v>
      </c>
      <c r="BR160" s="23">
        <f>EXP(-LN(2)/2)*BR159+(1-EXP(-LN(2)/2))/(LN(2)/2)*BL160*BO160*VLOOKUP('Données projet'!$B$11,Paramètres!$A$1:$I$89,3,0)*0.475*44/12</f>
        <v>1.619791151123223E-18</v>
      </c>
      <c r="BS160" s="24">
        <f t="shared" si="169"/>
        <v>7.1483404922171867E-2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244.82163392718377</v>
      </c>
      <c r="T161" s="62">
        <f t="shared" si="142"/>
        <v>342.30266518164211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0.46836171539790372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0.46836171539790372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-5.3205440053716299E-14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396.92963589781414</v>
      </c>
      <c r="AO161" s="62">
        <f t="shared" si="144"/>
        <v>294.38852181137639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362.81292020448933</v>
      </c>
      <c r="BJ161" s="62">
        <f t="shared" si="146"/>
        <v>292.26503163353146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6.9528687455426189E-2</v>
      </c>
      <c r="BR161" s="23">
        <f>EXP(-LN(2)/2)*BR160+(1-EXP(-LN(2)/2))/(LN(2)/2)*BL161*BO161*VLOOKUP('Données projet'!$B$11,Paramètres!$A$1:$I$89,3,0)*0.475*44/12</f>
        <v>1.1453653070651948E-18</v>
      </c>
      <c r="BS161" s="24">
        <f t="shared" si="169"/>
        <v>6.9528687455426189E-2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244.82163392718377</v>
      </c>
      <c r="T162" s="62">
        <f t="shared" si="142"/>
        <v>342.30266518164211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0.45917742783138943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0.45917742783138943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-5.3205440053716299E-14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396.92963589781414</v>
      </c>
      <c r="AO162" s="62">
        <f t="shared" si="144"/>
        <v>294.38852181137639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362.81292020448933</v>
      </c>
      <c r="BJ162" s="62">
        <f t="shared" si="146"/>
        <v>292.26503163353146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6.7627421840602803E-2</v>
      </c>
      <c r="BR162" s="23">
        <f>EXP(-LN(2)/2)*BR161+(1-EXP(-LN(2)/2))/(LN(2)/2)*BL162*BO162*VLOOKUP('Données projet'!$B$11,Paramètres!$A$1:$I$89,3,0)*0.475*44/12</f>
        <v>8.098955755616115E-19</v>
      </c>
      <c r="BS162" s="24">
        <f t="shared" si="169"/>
        <v>6.7627421840602803E-2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244.82163392718377</v>
      </c>
      <c r="T163" s="62">
        <f t="shared" si="142"/>
        <v>342.30266518164211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0.45017323854219221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0.45017323854219221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-5.3205440053716299E-14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396.92963589781414</v>
      </c>
      <c r="AO163" s="62">
        <f t="shared" si="144"/>
        <v>294.38852181137639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362.81292020448933</v>
      </c>
      <c r="BJ163" s="62">
        <f t="shared" si="146"/>
        <v>292.26503163353146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6.5778146433999971E-2</v>
      </c>
      <c r="BR163" s="23">
        <f>EXP(-LN(2)/2)*BR162+(1-EXP(-LN(2)/2))/(LN(2)/2)*BL163*BO163*VLOOKUP('Données projet'!$B$11,Paramètres!$A$1:$I$89,3,0)*0.475*44/12</f>
        <v>5.7268265353259738E-19</v>
      </c>
      <c r="BS163" s="24">
        <f t="shared" si="169"/>
        <v>6.5778146433999971E-2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244.82163392718377</v>
      </c>
      <c r="T164" s="62">
        <f t="shared" si="142"/>
        <v>342.30266518164211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0.44134561591294297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0.44134561591294297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-5.3205440053716299E-14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396.92963589781414</v>
      </c>
      <c r="AO164" s="62">
        <f t="shared" si="144"/>
        <v>294.38852181137639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362.81292020448933</v>
      </c>
      <c r="BJ164" s="62">
        <f t="shared" si="146"/>
        <v>292.26503163353146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6.3979439560639853E-2</v>
      </c>
      <c r="BR164" s="23">
        <f>EXP(-LN(2)/2)*BR163+(1-EXP(-LN(2)/2))/(LN(2)/2)*BL164*BO164*VLOOKUP('Données projet'!$B$11,Paramètres!$A$1:$I$89,3,0)*0.475*44/12</f>
        <v>4.0494778778080575E-19</v>
      </c>
      <c r="BS164" s="24">
        <f t="shared" si="169"/>
        <v>6.3979439560639853E-2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244.82163392718377</v>
      </c>
      <c r="T165" s="62">
        <f t="shared" si="142"/>
        <v>342.30266518164211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0.43269109757913515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0.43269109757913515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-5.3205440053716299E-14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396.92963589781414</v>
      </c>
      <c r="AO165" s="62">
        <f t="shared" si="144"/>
        <v>294.38852181137639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362.81292020448933</v>
      </c>
      <c r="BJ165" s="62">
        <f t="shared" si="146"/>
        <v>292.26503163353146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6.2229918421321653E-2</v>
      </c>
      <c r="BR165" s="23">
        <f>EXP(-LN(2)/2)*BR164+(1-EXP(-LN(2)/2))/(LN(2)/2)*BL165*BO165*VLOOKUP('Données projet'!$B$11,Paramètres!$A$1:$I$89,3,0)*0.475*44/12</f>
        <v>2.8634132676629869E-19</v>
      </c>
      <c r="BS165" s="24">
        <f t="shared" si="169"/>
        <v>6.2229918421321653E-2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244.82163392718377</v>
      </c>
      <c r="T166" s="62">
        <f t="shared" si="142"/>
        <v>342.30266518164211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0.42420628907111835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0.42420628907111835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-5.3205440053716299E-14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396.92963589781414</v>
      </c>
      <c r="AO166" s="62">
        <f t="shared" si="144"/>
        <v>294.38852181137639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362.81292020448933</v>
      </c>
      <c r="BJ166" s="62">
        <f t="shared" si="146"/>
        <v>292.26503163353146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6.0528238029561435E-2</v>
      </c>
      <c r="BR166" s="23">
        <f>EXP(-LN(2)/2)*BR165+(1-EXP(-LN(2)/2))/(LN(2)/2)*BL166*BO166*VLOOKUP('Données projet'!$B$11,Paramètres!$A$1:$I$89,3,0)*0.475*44/12</f>
        <v>2.0247389389040287E-19</v>
      </c>
      <c r="BS166" s="24">
        <f t="shared" si="169"/>
        <v>6.0528238029561435E-2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244.82163392718377</v>
      </c>
      <c r="T167" s="62">
        <f t="shared" si="142"/>
        <v>342.30266518164211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0.41588786248272158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0.41588786248272158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-5.3205440053716299E-14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396.92963589781414</v>
      </c>
      <c r="AO167" s="62">
        <f t="shared" si="144"/>
        <v>294.38852181137639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362.81292020448933</v>
      </c>
      <c r="BJ167" s="62">
        <f t="shared" si="146"/>
        <v>292.26503163353146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5.8873090177601381E-2</v>
      </c>
      <c r="BR167" s="23">
        <f>EXP(-LN(2)/2)*BR166+(1-EXP(-LN(2)/2))/(LN(2)/2)*BL167*BO167*VLOOKUP('Données projet'!$B$11,Paramètres!$A$1:$I$89,3,0)*0.475*44/12</f>
        <v>1.4317066338314935E-19</v>
      </c>
      <c r="BS167" s="24">
        <f t="shared" si="169"/>
        <v>5.8873090177601381E-2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244.82163392718377</v>
      </c>
      <c r="T168" s="62">
        <f t="shared" si="142"/>
        <v>342.30266518164211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0.40773255516598406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0.40773255516598406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-5.3205440053716299E-14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396.92963589781414</v>
      </c>
      <c r="AO168" s="62">
        <f t="shared" si="144"/>
        <v>294.38852181137639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362.81292020448933</v>
      </c>
      <c r="BJ168" s="62">
        <f t="shared" si="146"/>
        <v>292.26503163353146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5.7263202430693612E-2</v>
      </c>
      <c r="BR168" s="23">
        <f>EXP(-LN(2)/2)*BR167+(1-EXP(-LN(2)/2))/(LN(2)/2)*BL168*BO168*VLOOKUP('Données projet'!$B$11,Paramètres!$A$1:$I$89,3,0)*0.475*44/12</f>
        <v>1.0123694694520144E-19</v>
      </c>
      <c r="BS168" s="24">
        <f t="shared" si="169"/>
        <v>5.7263202430693612E-2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244.82163392718377</v>
      </c>
      <c r="T169" s="62">
        <f t="shared" si="142"/>
        <v>342.30266518164211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0.39973716845148144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0.39973716845148144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-5.3205440053716299E-14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396.92963589781414</v>
      </c>
      <c r="AO169" s="62">
        <f t="shared" si="144"/>
        <v>294.38852181137639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362.81292020448933</v>
      </c>
      <c r="BJ169" s="62">
        <f t="shared" si="146"/>
        <v>292.26503163353146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5.5697337148885355E-2</v>
      </c>
      <c r="BR169" s="23">
        <f>EXP(-LN(2)/2)*BR168+(1-EXP(-LN(2)/2))/(LN(2)/2)*BL169*BO169*VLOOKUP('Données projet'!$B$11,Paramètres!$A$1:$I$89,3,0)*0.475*44/12</f>
        <v>7.1585331691574673E-20</v>
      </c>
      <c r="BS169" s="24">
        <f t="shared" si="169"/>
        <v>5.5697337148885355E-2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244.82163392718377</v>
      </c>
      <c r="T170" s="62">
        <f t="shared" si="142"/>
        <v>342.30266518164211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0.39189856639374587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0.39189856639374587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-5.3205440053716299E-14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396.92963589781414</v>
      </c>
      <c r="AO170" s="62">
        <f t="shared" si="144"/>
        <v>294.38852181137639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362.81292020448933</v>
      </c>
      <c r="BJ170" s="62">
        <f t="shared" si="146"/>
        <v>292.26503163353146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5.4174290535553421E-2</v>
      </c>
      <c r="BR170" s="23">
        <f>EXP(-LN(2)/2)*BR169+(1-EXP(-LN(2)/2))/(LN(2)/2)*BL170*BO170*VLOOKUP('Données projet'!$B$11,Paramètres!$A$1:$I$89,3,0)*0.475*44/12</f>
        <v>5.0618473472600719E-20</v>
      </c>
      <c r="BS170" s="24">
        <f t="shared" si="169"/>
        <v>5.4174290535553421E-2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244.82163392718377</v>
      </c>
      <c r="T171" s="62">
        <f t="shared" si="142"/>
        <v>342.30266518164211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0.3842136745412873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0.3842136745412873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-5.3205440053716299E-14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396.92963589781414</v>
      </c>
      <c r="AO171" s="62">
        <f t="shared" si="144"/>
        <v>294.38852181137639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362.81292020448933</v>
      </c>
      <c r="BJ171" s="62">
        <f t="shared" si="146"/>
        <v>292.26503163353146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5.269289171195659E-2</v>
      </c>
      <c r="BR171" s="23">
        <f>EXP(-LN(2)/2)*BR170+(1-EXP(-LN(2)/2))/(LN(2)/2)*BL171*BO171*VLOOKUP('Données projet'!$B$11,Paramètres!$A$1:$I$89,3,0)*0.475*44/12</f>
        <v>3.5792665845787336E-20</v>
      </c>
      <c r="BS171" s="24">
        <f t="shared" si="169"/>
        <v>5.269289171195659E-2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244.82163392718377</v>
      </c>
      <c r="T172" s="62">
        <f t="shared" si="142"/>
        <v>342.30266518164211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0.37667947873073426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0.37667947873073426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-5.3205440053716299E-14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396.92963589781414</v>
      </c>
      <c r="AO172" s="62">
        <f t="shared" si="144"/>
        <v>294.38852181137639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362.81292020448933</v>
      </c>
      <c r="BJ172" s="62">
        <f t="shared" si="146"/>
        <v>292.26503163353146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5.1252001817094391E-2</v>
      </c>
      <c r="BR172" s="23">
        <f>EXP(-LN(2)/2)*BR171+(1-EXP(-LN(2)/2))/(LN(2)/2)*BL172*BO172*VLOOKUP('Données projet'!$B$11,Paramètres!$A$1:$I$89,3,0)*0.475*44/12</f>
        <v>2.5309236736300359E-20</v>
      </c>
      <c r="BS172" s="24">
        <f t="shared" si="169"/>
        <v>5.1252001817094391E-2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244.82163392718377</v>
      </c>
      <c r="T173" s="62">
        <f t="shared" si="142"/>
        <v>342.30266518164211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0.36929302390462049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0.36929302390462049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-5.3205440053716299E-14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396.92963589781414</v>
      </c>
      <c r="AO173" s="62">
        <f t="shared" si="144"/>
        <v>294.38852181137639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362.81292020448933</v>
      </c>
      <c r="BJ173" s="62">
        <f t="shared" si="146"/>
        <v>292.26503163353146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4.9850513132180307E-2</v>
      </c>
      <c r="BR173" s="23">
        <f>EXP(-LN(2)/2)*BR172+(1-EXP(-LN(2)/2))/(LN(2)/2)*BL173*BO173*VLOOKUP('Données projet'!$B$11,Paramètres!$A$1:$I$89,3,0)*0.475*44/12</f>
        <v>1.7896332922893668E-20</v>
      </c>
      <c r="BS173" s="24">
        <f t="shared" si="169"/>
        <v>4.9850513132180307E-2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244.82163392718377</v>
      </c>
      <c r="T174" s="62">
        <f t="shared" si="142"/>
        <v>342.30266518164211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0.36205141295235421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0.36205141295235421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-5.3205440053716299E-14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396.92963589781414</v>
      </c>
      <c r="AO174" s="62">
        <f t="shared" si="144"/>
        <v>294.38852181137639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362.81292020448933</v>
      </c>
      <c r="BJ174" s="62">
        <f t="shared" si="146"/>
        <v>292.26503163353146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4.8487348229056287E-2</v>
      </c>
      <c r="BR174" s="23">
        <f>EXP(-LN(2)/2)*BR173+(1-EXP(-LN(2)/2))/(LN(2)/2)*BL174*BO174*VLOOKUP('Données projet'!$B$11,Paramètres!$A$1:$I$89,3,0)*0.475*44/12</f>
        <v>1.265461836815018E-20</v>
      </c>
      <c r="BS174" s="24">
        <f t="shared" si="169"/>
        <v>4.8487348229056287E-2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244.82163392718377</v>
      </c>
      <c r="T175" s="62">
        <f t="shared" si="142"/>
        <v>342.30266518164211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0.35495180557391531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0.35495180557391531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-5.3205440053716299E-14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396.92963589781414</v>
      </c>
      <c r="AO175" s="62">
        <f t="shared" si="144"/>
        <v>294.38852181137639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362.81292020448933</v>
      </c>
      <c r="BJ175" s="62">
        <f t="shared" si="146"/>
        <v>292.26503163353146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4.7161459141893916E-2</v>
      </c>
      <c r="BR175" s="23">
        <f>EXP(-LN(2)/2)*BR174+(1-EXP(-LN(2)/2))/(LN(2)/2)*BL175*BO175*VLOOKUP('Données projet'!$B$11,Paramètres!$A$1:$I$89,3,0)*0.475*44/12</f>
        <v>8.9481664614468341E-21</v>
      </c>
      <c r="BS175" s="24">
        <f t="shared" si="169"/>
        <v>4.7161459141893916E-2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244.82163392718377</v>
      </c>
      <c r="T176" s="62">
        <f t="shared" si="142"/>
        <v>342.30266518164211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0.3479914171658347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0.3479914171658347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-5.3205440053716299E-14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396.92963589781414</v>
      </c>
      <c r="AO176" s="62">
        <f t="shared" si="144"/>
        <v>294.38852181137639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362.81292020448933</v>
      </c>
      <c r="BJ176" s="62">
        <f t="shared" si="146"/>
        <v>292.26503163353146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4.5871826561545481E-2</v>
      </c>
      <c r="BR176" s="23">
        <f>EXP(-LN(2)/2)*BR175+(1-EXP(-LN(2)/2))/(LN(2)/2)*BL176*BO176*VLOOKUP('Données projet'!$B$11,Paramètres!$A$1:$I$89,3,0)*0.475*44/12</f>
        <v>6.3273091840750898E-21</v>
      </c>
      <c r="BS176" s="24">
        <f t="shared" si="169"/>
        <v>4.5871826561545481E-2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244.82163392718377</v>
      </c>
      <c r="T177" s="62">
        <f t="shared" si="142"/>
        <v>342.30266518164211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0.34116751772901882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0.34116751772901882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-5.3205440053716299E-14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396.92963589781414</v>
      </c>
      <c r="AO177" s="62">
        <f t="shared" si="144"/>
        <v>294.38852181137639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362.81292020448933</v>
      </c>
      <c r="BJ177" s="62">
        <f t="shared" si="146"/>
        <v>292.26503163353146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4.4617459051925504E-2</v>
      </c>
      <c r="BR177" s="23">
        <f>EXP(-LN(2)/2)*BR176+(1-EXP(-LN(2)/2))/(LN(2)/2)*BL177*BO177*VLOOKUP('Données projet'!$B$11,Paramètres!$A$1:$I$89,3,0)*0.475*44/12</f>
        <v>4.4740832307234171E-21</v>
      </c>
      <c r="BS177" s="24">
        <f t="shared" si="169"/>
        <v>4.4617459051925504E-2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244.82163392718377</v>
      </c>
      <c r="T178" s="62">
        <f t="shared" si="142"/>
        <v>342.30266518164211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0.33447743079799125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0.33447743079799125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-5.3205440053716299E-14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396.92963589781414</v>
      </c>
      <c r="AO178" s="62">
        <f t="shared" si="144"/>
        <v>294.38852181137639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362.81292020448933</v>
      </c>
      <c r="BJ178" s="62">
        <f t="shared" si="146"/>
        <v>292.26503163353146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4.3397392287820406E-2</v>
      </c>
      <c r="BR178" s="23">
        <f>EXP(-LN(2)/2)*BR177+(1-EXP(-LN(2)/2))/(LN(2)/2)*BL178*BO178*VLOOKUP('Données projet'!$B$11,Paramètres!$A$1:$I$89,3,0)*0.475*44/12</f>
        <v>3.1636545920375449E-21</v>
      </c>
      <c r="BS178" s="24">
        <f t="shared" si="169"/>
        <v>4.3397392287820406E-2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244.82163392718377</v>
      </c>
      <c r="T179" s="62">
        <f t="shared" si="142"/>
        <v>342.30266518164211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0.327918532391131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0.327918532391131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-5.3205440053716299E-14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396.92963589781414</v>
      </c>
      <c r="AO179" s="62">
        <f t="shared" si="144"/>
        <v>294.38852181137639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362.81292020448933</v>
      </c>
      <c r="BJ179" s="62">
        <f t="shared" si="146"/>
        <v>292.26503163353146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4.221068831354028E-2</v>
      </c>
      <c r="BR179" s="23">
        <f>EXP(-LN(2)/2)*BR178+(1-EXP(-LN(2)/2))/(LN(2)/2)*BL179*BO179*VLOOKUP('Données projet'!$B$11,Paramètres!$A$1:$I$89,3,0)*0.475*44/12</f>
        <v>2.2370416153617085E-21</v>
      </c>
      <c r="BS179" s="24">
        <f t="shared" si="169"/>
        <v>4.221068831354028E-2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244.82163392718377</v>
      </c>
      <c r="T180" s="62">
        <f t="shared" si="142"/>
        <v>342.30266518164211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0.32148824998149628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0.32148824998149628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-5.3205440053716299E-14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396.92963589781414</v>
      </c>
      <c r="AO180" s="62">
        <f t="shared" si="144"/>
        <v>294.38852181137639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362.81292020448933</v>
      </c>
      <c r="BJ180" s="62">
        <f t="shared" si="146"/>
        <v>292.26503163353146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4.1056434821842895E-2</v>
      </c>
      <c r="BR180" s="23">
        <f>EXP(-LN(2)/2)*BR179+(1-EXP(-LN(2)/2))/(LN(2)/2)*BL180*BO180*VLOOKUP('Données projet'!$B$11,Paramètres!$A$1:$I$89,3,0)*0.475*44/12</f>
        <v>1.5818272960187725E-21</v>
      </c>
      <c r="BS180" s="24">
        <f t="shared" si="169"/>
        <v>4.1056434821842895E-2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244.82163392718377</v>
      </c>
      <c r="T181" s="62">
        <f t="shared" si="142"/>
        <v>342.30266518164211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0.31518406148782951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0.31518406148782951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-5.3205440053716299E-14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396.92963589781414</v>
      </c>
      <c r="AO181" s="62">
        <f t="shared" si="144"/>
        <v>294.38852181137639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362.81292020448933</v>
      </c>
      <c r="BJ181" s="62">
        <f t="shared" si="146"/>
        <v>292.26503163353146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3.9933744452575533E-2</v>
      </c>
      <c r="BR181" s="23">
        <f>EXP(-LN(2)/2)*BR180+(1-EXP(-LN(2)/2))/(LN(2)/2)*BL181*BO181*VLOOKUP('Données projet'!$B$11,Paramètres!$A$1:$I$89,3,0)*0.475*44/12</f>
        <v>1.1185208076808543E-21</v>
      </c>
      <c r="BS181" s="24">
        <f t="shared" si="169"/>
        <v>3.9933744452575533E-2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244.82163392718377</v>
      </c>
      <c r="T182" s="62">
        <f t="shared" si="142"/>
        <v>342.30266518164211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0.30900349428534823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0.30900349428534823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-5.3205440053716299E-14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396.92963589781414</v>
      </c>
      <c r="AO182" s="62">
        <f t="shared" si="144"/>
        <v>294.38852181137639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362.81292020448933</v>
      </c>
      <c r="BJ182" s="62">
        <f t="shared" si="146"/>
        <v>292.26503163353146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3.8841754110495501E-2</v>
      </c>
      <c r="BR182" s="23">
        <f>EXP(-LN(2)/2)*BR181+(1-EXP(-LN(2)/2))/(LN(2)/2)*BL182*BO182*VLOOKUP('Données projet'!$B$11,Paramètres!$A$1:$I$89,3,0)*0.475*44/12</f>
        <v>7.9091364800938623E-22</v>
      </c>
      <c r="BS182" s="24">
        <f t="shared" si="169"/>
        <v>3.8841754110495501E-2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244.82163392718377</v>
      </c>
      <c r="T183" s="62">
        <f t="shared" si="142"/>
        <v>342.30266518164211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0.30294412423593386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0.30294412423593386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-5.3205440053716299E-14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396.92963589781414</v>
      </c>
      <c r="AO183" s="62">
        <f t="shared" si="144"/>
        <v>294.38852181137639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362.81292020448933</v>
      </c>
      <c r="BJ183" s="62">
        <f t="shared" si="146"/>
        <v>292.26503163353146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3.7779624301744925E-2</v>
      </c>
      <c r="BR183" s="23">
        <f>EXP(-LN(2)/2)*BR182+(1-EXP(-LN(2)/2))/(LN(2)/2)*BL183*BO183*VLOOKUP('Données projet'!$B$11,Paramètres!$A$1:$I$89,3,0)*0.475*44/12</f>
        <v>5.5926040384042713E-22</v>
      </c>
      <c r="BS183" s="24">
        <f t="shared" si="169"/>
        <v>3.7779624301744925E-2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244.82163392718377</v>
      </c>
      <c r="T184" s="62">
        <f t="shared" si="142"/>
        <v>342.30266518164211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0.29700357473733768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0.29700357473733768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-5.3205440053716299E-14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396.92963589781414</v>
      </c>
      <c r="AO184" s="62">
        <f t="shared" si="144"/>
        <v>294.38852181137639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362.81292020448933</v>
      </c>
      <c r="BJ184" s="62">
        <f t="shared" si="146"/>
        <v>292.26503163353146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3.6746538488469614E-2</v>
      </c>
      <c r="BR184" s="23">
        <f>EXP(-LN(2)/2)*BR183+(1-EXP(-LN(2)/2))/(LN(2)/2)*BL184*BO184*VLOOKUP('Données projet'!$B$11,Paramètres!$A$1:$I$89,3,0)*0.475*44/12</f>
        <v>3.9545682400469311E-22</v>
      </c>
      <c r="BS184" s="24">
        <f t="shared" si="169"/>
        <v>3.6746538488469614E-2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244.82163392718377</v>
      </c>
      <c r="T185" s="62">
        <f t="shared" si="142"/>
        <v>342.30266518164211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0.29117951579103157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0.29117951579103157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-5.3205440053716299E-14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396.92963589781414</v>
      </c>
      <c r="AO185" s="62">
        <f t="shared" si="144"/>
        <v>294.38852181137639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362.81292020448933</v>
      </c>
      <c r="BJ185" s="62">
        <f t="shared" si="146"/>
        <v>292.26503163353146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3.574170246108594E-2</v>
      </c>
      <c r="BR185" s="23">
        <f>EXP(-LN(2)/2)*BR184+(1-EXP(-LN(2)/2))/(LN(2)/2)*BL185*BO185*VLOOKUP('Données projet'!$B$11,Paramètres!$A$1:$I$89,3,0)*0.475*44/12</f>
        <v>2.7963020192021357E-22</v>
      </c>
      <c r="BS185" s="24">
        <f t="shared" si="169"/>
        <v>3.574170246108594E-2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244.82163392718377</v>
      </c>
      <c r="T186" s="62">
        <f t="shared" si="142"/>
        <v>342.30266518164211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0.28546966308833732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0.28546966308833732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-5.3205440053716299E-14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396.92963589781414</v>
      </c>
      <c r="AO186" s="62">
        <f t="shared" si="144"/>
        <v>294.38852181137639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362.81292020448933</v>
      </c>
      <c r="BJ186" s="62">
        <f t="shared" si="146"/>
        <v>292.26503163353146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3.4764343727713101E-2</v>
      </c>
      <c r="BR186" s="23">
        <f>EXP(-LN(2)/2)*BR185+(1-EXP(-LN(2)/2))/(LN(2)/2)*BL186*BO186*VLOOKUP('Données projet'!$B$11,Paramètres!$A$1:$I$89,3,0)*0.475*44/12</f>
        <v>1.9772841200234656E-22</v>
      </c>
      <c r="BS186" s="24">
        <f t="shared" si="169"/>
        <v>3.4764343727713101E-2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244.82163392718377</v>
      </c>
      <c r="T187" s="62">
        <f t="shared" si="142"/>
        <v>342.30266518164211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0.27987177711447664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0.27987177711447664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-5.3205440053716299E-14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396.92963589781414</v>
      </c>
      <c r="AO187" s="62">
        <f t="shared" si="144"/>
        <v>294.38852181137639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362.81292020448933</v>
      </c>
      <c r="BJ187" s="62">
        <f t="shared" si="146"/>
        <v>292.26503163353146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3.3813710920301401E-2</v>
      </c>
      <c r="BR187" s="23">
        <f>EXP(-LN(2)/2)*BR186+(1-EXP(-LN(2)/2))/(LN(2)/2)*BL187*BO187*VLOOKUP('Données projet'!$B$11,Paramètres!$A$1:$I$89,3,0)*0.475*44/12</f>
        <v>1.3981510096010678E-22</v>
      </c>
      <c r="BS187" s="24">
        <f t="shared" si="169"/>
        <v>3.3813710920301401E-2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244.82163392718377</v>
      </c>
      <c r="T188" s="62">
        <f t="shared" si="142"/>
        <v>342.30266518164211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0.27438366227019007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0.27438366227019007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-5.3205440053716299E-14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396.92963589781414</v>
      </c>
      <c r="AO188" s="62">
        <f t="shared" si="144"/>
        <v>294.38852181137639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362.81292020448933</v>
      </c>
      <c r="BJ188" s="62">
        <f t="shared" si="146"/>
        <v>292.26503163353146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3.2889073216999985E-2</v>
      </c>
      <c r="BR188" s="23">
        <f>EXP(-LN(2)/2)*BR187+(1-EXP(-LN(2)/2))/(LN(2)/2)*BL188*BO188*VLOOKUP('Données projet'!$B$11,Paramètres!$A$1:$I$89,3,0)*0.475*44/12</f>
        <v>9.8864206001173279E-23</v>
      </c>
      <c r="BS188" s="24">
        <f t="shared" si="169"/>
        <v>3.2889073216999985E-2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244.82163392718377</v>
      </c>
      <c r="T189" s="62">
        <f t="shared" si="142"/>
        <v>342.30266518164211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0.26900316601058044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0.26900316601058044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-5.3205440053716299E-14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396.92963589781414</v>
      </c>
      <c r="AO189" s="62">
        <f t="shared" si="144"/>
        <v>294.38852181137639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362.81292020448933</v>
      </c>
      <c r="BJ189" s="62">
        <f t="shared" si="146"/>
        <v>292.26503163353146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3.1989719780319927E-2</v>
      </c>
      <c r="BR189" s="23">
        <f>EXP(-LN(2)/2)*BR188+(1-EXP(-LN(2)/2))/(LN(2)/2)*BL189*BO189*VLOOKUP('Données projet'!$B$11,Paramètres!$A$1:$I$89,3,0)*0.475*44/12</f>
        <v>6.9907550480053392E-23</v>
      </c>
      <c r="BS189" s="24">
        <f t="shared" si="169"/>
        <v>3.1989719780319927E-2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244.82163392718377</v>
      </c>
      <c r="T190" s="62">
        <f t="shared" si="142"/>
        <v>342.30266518164211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0.26372817800084308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0.26372817800084308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-5.3205440053716299E-14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396.92963589781414</v>
      </c>
      <c r="AO190" s="62">
        <f t="shared" si="144"/>
        <v>294.38852181137639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362.81292020448933</v>
      </c>
      <c r="BJ190" s="62">
        <f t="shared" si="146"/>
        <v>292.26503163353146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3.1114959210660827E-2</v>
      </c>
      <c r="BR190" s="23">
        <f>EXP(-LN(2)/2)*BR189+(1-EXP(-LN(2)/2))/(LN(2)/2)*BL190*BO190*VLOOKUP('Données projet'!$B$11,Paramètres!$A$1:$I$89,3,0)*0.475*44/12</f>
        <v>4.9432103000586639E-23</v>
      </c>
      <c r="BS190" s="24">
        <f t="shared" si="169"/>
        <v>3.1114959210660827E-2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244.82163392718377</v>
      </c>
      <c r="T191" s="62">
        <f t="shared" si="142"/>
        <v>342.30266518164211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0.25855662928855166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0.25855662928855166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-5.3205440053716299E-14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396.92963589781414</v>
      </c>
      <c r="AO191" s="62">
        <f t="shared" si="144"/>
        <v>294.38852181137639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362.81292020448933</v>
      </c>
      <c r="BJ191" s="62">
        <f t="shared" si="146"/>
        <v>292.26503163353146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3.0264119014780717E-2</v>
      </c>
      <c r="BR191" s="23">
        <f>EXP(-LN(2)/2)*BR190+(1-EXP(-LN(2)/2))/(LN(2)/2)*BL191*BO191*VLOOKUP('Données projet'!$B$11,Paramètres!$A$1:$I$89,3,0)*0.475*44/12</f>
        <v>3.4953775240026696E-23</v>
      </c>
      <c r="BS191" s="24">
        <f t="shared" si="169"/>
        <v>3.0264119014780717E-2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244.82163392718377</v>
      </c>
      <c r="T192" s="62">
        <f t="shared" si="142"/>
        <v>342.30266518164211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0.25348649149217506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0.25348649149217506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-5.3205440053716299E-14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396.92963589781414</v>
      </c>
      <c r="AO192" s="62">
        <f t="shared" si="144"/>
        <v>294.38852181137639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362.81292020448933</v>
      </c>
      <c r="BJ192" s="62">
        <f t="shared" si="146"/>
        <v>292.26503163353146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2.943654508880069E-2</v>
      </c>
      <c r="BR192" s="23">
        <f>EXP(-LN(2)/2)*BR191+(1-EXP(-LN(2)/2))/(LN(2)/2)*BL192*BO192*VLOOKUP('Données projet'!$B$11,Paramètres!$A$1:$I$89,3,0)*0.475*44/12</f>
        <v>2.471605150029332E-23</v>
      </c>
      <c r="BS192" s="24">
        <f t="shared" si="169"/>
        <v>2.943654508880069E-2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244.82163392718377</v>
      </c>
      <c r="T193" s="62">
        <f t="shared" si="142"/>
        <v>342.30266518164211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0.2485157760055067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0.2485157760055067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-5.3205440053716299E-14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396.92963589781414</v>
      </c>
      <c r="AO193" s="62">
        <f t="shared" si="144"/>
        <v>294.38852181137639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362.81292020448933</v>
      </c>
      <c r="BJ193" s="62">
        <f t="shared" si="146"/>
        <v>292.26503163353146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2.8631601215346806E-2</v>
      </c>
      <c r="BR193" s="23">
        <f>EXP(-LN(2)/2)*BR192+(1-EXP(-LN(2)/2))/(LN(2)/2)*BL193*BO193*VLOOKUP('Données projet'!$B$11,Paramètres!$A$1:$I$89,3,0)*0.475*44/12</f>
        <v>1.7476887620013348E-23</v>
      </c>
      <c r="BS193" s="24">
        <f t="shared" si="169"/>
        <v>2.8631601215346806E-2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244.82163392718377</v>
      </c>
      <c r="T194" s="62">
        <f t="shared" si="142"/>
        <v>342.30266518164211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0.24364253321769483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0.24364253321769483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-5.3205440053716299E-14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396.92963589781414</v>
      </c>
      <c r="AO194" s="62">
        <f t="shared" si="144"/>
        <v>294.38852181137639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362.81292020448933</v>
      </c>
      <c r="BJ194" s="62">
        <f t="shared" si="146"/>
        <v>292.26503163353146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2.7848668574442677E-2</v>
      </c>
      <c r="BR194" s="23">
        <f>EXP(-LN(2)/2)*BR193+(1-EXP(-LN(2)/2))/(LN(2)/2)*BL194*BO194*VLOOKUP('Données projet'!$B$11,Paramètres!$A$1:$I$89,3,0)*0.475*44/12</f>
        <v>1.235802575014666E-23</v>
      </c>
      <c r="BS194" s="24">
        <f t="shared" si="169"/>
        <v>2.7848668574442677E-2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244.82163392718377</v>
      </c>
      <c r="T195" s="62">
        <f t="shared" si="142"/>
        <v>342.30266518164211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0.23886485174856734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0.23886485174856734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-5.3205440053716299E-14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396.92963589781414</v>
      </c>
      <c r="AO195" s="62">
        <f t="shared" si="144"/>
        <v>294.38852181137639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362.81292020448933</v>
      </c>
      <c r="BJ195" s="62">
        <f t="shared" si="146"/>
        <v>292.26503163353146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2.708714526777671E-2</v>
      </c>
      <c r="BR195" s="23">
        <f>EXP(-LN(2)/2)*BR194+(1-EXP(-LN(2)/2))/(LN(2)/2)*BL195*BO195*VLOOKUP('Données projet'!$B$11,Paramètres!$A$1:$I$89,3,0)*0.475*44/12</f>
        <v>8.7384438100066739E-24</v>
      </c>
      <c r="BS195" s="24">
        <f t="shared" si="169"/>
        <v>2.708714526777671E-2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244.82163392718377</v>
      </c>
      <c r="T196" s="62">
        <f t="shared" si="142"/>
        <v>342.30266518164211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0.2341808576989515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0.2341808576989515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-5.3205440053716299E-14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396.92963589781414</v>
      </c>
      <c r="AO196" s="62">
        <f t="shared" si="144"/>
        <v>294.38852181137639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362.81292020448933</v>
      </c>
      <c r="BJ196" s="62">
        <f t="shared" si="146"/>
        <v>292.26503163353146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2.6346445855978295E-2</v>
      </c>
      <c r="BR196" s="23">
        <f>EXP(-LN(2)/2)*BR195+(1-EXP(-LN(2)/2))/(LN(2)/2)*BL196*BO196*VLOOKUP('Données projet'!$B$11,Paramètres!$A$1:$I$89,3,0)*0.475*44/12</f>
        <v>6.1790128750733299E-24</v>
      </c>
      <c r="BS196" s="24">
        <f t="shared" si="169"/>
        <v>2.6346445855978295E-2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244.82163392718377</v>
      </c>
      <c r="T197" s="62">
        <f t="shared" ref="T197:T203" si="204">$T$3</f>
        <v>342.30266518164211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0.22958871391569435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0.22958871391569435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-5.3205440053716299E-14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396.92963589781414</v>
      </c>
      <c r="AO197" s="62">
        <f t="shared" ref="AO197:AO203" si="205">$AO$3</f>
        <v>294.38852181137639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362.81292020448933</v>
      </c>
      <c r="BJ197" s="62">
        <f t="shared" ref="BJ197:BJ203" si="206">$BJ$3</f>
        <v>292.26503163353146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2.5626000908547195E-2</v>
      </c>
      <c r="BR197" s="23">
        <f>EXP(-LN(2)/2)*BR196+(1-EXP(-LN(2)/2))/(LN(2)/2)*BL197*BO197*VLOOKUP('Données projet'!$B$11,Paramètres!$A$1:$I$89,3,0)*0.475*44/12</f>
        <v>4.369221905003337E-24</v>
      </c>
      <c r="BS197" s="24">
        <f t="shared" si="169"/>
        <v>2.5626000908547195E-2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244.82163392718377</v>
      </c>
      <c r="T198" s="62">
        <f t="shared" si="204"/>
        <v>342.30266518164211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0.22508661927109574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0.22508661927109574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-5.3205440053716299E-14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396.92963589781414</v>
      </c>
      <c r="AO198" s="62">
        <f t="shared" si="205"/>
        <v>294.38852181137639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362.81292020448933</v>
      </c>
      <c r="BJ198" s="62">
        <f t="shared" si="206"/>
        <v>292.26503163353146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2.4925256566090154E-2</v>
      </c>
      <c r="BR198" s="23">
        <f>EXP(-LN(2)/2)*BR197+(1-EXP(-LN(2)/2))/(LN(2)/2)*BL198*BO198*VLOOKUP('Données projet'!$B$11,Paramètres!$A$1:$I$89,3,0)*0.475*44/12</f>
        <v>3.089506437536665E-24</v>
      </c>
      <c r="BS198" s="24">
        <f t="shared" si="169"/>
        <v>2.4925256566090154E-2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244.82163392718377</v>
      </c>
      <c r="T199" s="62">
        <f t="shared" si="204"/>
        <v>342.30266518164211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0.22067280795647112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0.22067280795647112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-5.3205440053716299E-14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396.92963589781414</v>
      </c>
      <c r="AO199" s="62">
        <f t="shared" si="205"/>
        <v>294.38852181137639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362.81292020448933</v>
      </c>
      <c r="BJ199" s="62">
        <f t="shared" si="206"/>
        <v>292.26503163353146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2.4243674114528144E-2</v>
      </c>
      <c r="BR199" s="23">
        <f>EXP(-LN(2)/2)*BR198+(1-EXP(-LN(2)/2))/(LN(2)/2)*BL199*BO199*VLOOKUP('Données projet'!$B$11,Paramètres!$A$1:$I$89,3,0)*0.475*44/12</f>
        <v>2.1846109525016685E-24</v>
      </c>
      <c r="BS199" s="24">
        <f t="shared" si="169"/>
        <v>2.4243674114528144E-2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244.82163392718377</v>
      </c>
      <c r="T200" s="62">
        <f t="shared" si="204"/>
        <v>342.30266518164211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0.21634554878956722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0.21634554878956722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-5.3205440053716299E-14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396.92963589781414</v>
      </c>
      <c r="AO200" s="62">
        <f t="shared" si="205"/>
        <v>294.38852181137639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362.81292020448933</v>
      </c>
      <c r="BJ200" s="62">
        <f t="shared" si="206"/>
        <v>292.26503163353146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2.3580729570946958E-2</v>
      </c>
      <c r="BR200" s="23">
        <f>EXP(-LN(2)/2)*BR199+(1-EXP(-LN(2)/2))/(LN(2)/2)*BL200*BO200*VLOOKUP('Données projet'!$B$11,Paramètres!$A$1:$I$89,3,0)*0.475*44/12</f>
        <v>1.5447532187683325E-24</v>
      </c>
      <c r="BS200" s="24">
        <f t="shared" si="169"/>
        <v>2.3580729570946958E-2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244.82163392718377</v>
      </c>
      <c r="T201" s="62">
        <f t="shared" si="204"/>
        <v>342.30266518164211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0.21210314453555881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0.21210314453555881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-5.3205440053716299E-14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396.92963589781414</v>
      </c>
      <c r="AO201" s="62">
        <f t="shared" si="205"/>
        <v>294.38852181137639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362.81292020448933</v>
      </c>
      <c r="BJ201" s="62">
        <f t="shared" si="206"/>
        <v>292.26503163353146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2.2935913280772741E-2</v>
      </c>
      <c r="BR201" s="23">
        <f>EXP(-LN(2)/2)*BR200+(1-EXP(-LN(2)/2))/(LN(2)/2)*BL201*BO201*VLOOKUP('Données projet'!$B$11,Paramètres!$A$1:$I$89,3,0)*0.475*44/12</f>
        <v>1.0923054762508342E-24</v>
      </c>
      <c r="BS201" s="24">
        <f t="shared" si="169"/>
        <v>2.2935913280772741E-2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244.82163392718377</v>
      </c>
      <c r="T202" s="62">
        <f t="shared" si="204"/>
        <v>342.30266518164211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0.20794393124136043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0.20794393124136043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-5.3205440053716299E-14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396.92963589781414</v>
      </c>
      <c r="AO202" s="62">
        <f t="shared" si="205"/>
        <v>294.38852181137639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362.81292020448933</v>
      </c>
      <c r="BJ202" s="62">
        <f t="shared" si="206"/>
        <v>292.26503163353146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2.2308729525962752E-2</v>
      </c>
      <c r="BR202" s="23">
        <f>EXP(-LN(2)/2)*BR201+(1-EXP(-LN(2)/2))/(LN(2)/2)*BL202*BO202*VLOOKUP('Données projet'!$B$11,Paramètres!$A$1:$I$89,3,0)*0.475*44/12</f>
        <v>7.7237660938416624E-25</v>
      </c>
      <c r="BS202" s="24">
        <f t="shared" si="169"/>
        <v>2.2308729525962752E-2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244.82163392718377</v>
      </c>
      <c r="T203" s="62">
        <f t="shared" si="204"/>
        <v>342.30266518164211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0.20386627758299167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0.20386627758299167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-5.3205440053716299E-14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396.92963589781414</v>
      </c>
      <c r="AO203" s="62">
        <f t="shared" si="205"/>
        <v>294.38852181137639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362.81292020448933</v>
      </c>
      <c r="BJ203" s="62">
        <f t="shared" si="206"/>
        <v>292.26503163353146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2.1698696143910203E-2</v>
      </c>
      <c r="BR203" s="23">
        <f>EXP(-LN(2)/2)*BR202+(1-EXP(-LN(2)/2))/(LN(2)/2)*BL203*BO203*VLOOKUP('Données projet'!$B$11,Paramètres!$A$1:$I$89,3,0)*0.475*44/12</f>
        <v>5.4615273812541712E-25</v>
      </c>
      <c r="BS203" s="24">
        <f t="shared" si="169"/>
        <v>2.1698696143910203E-2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1.8556007362580844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>
        <f>EXP(LN('Données projet'!B88)/'Données projet'!A88)</f>
        <v>1.244502252163008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P12" sqref="P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0.58911999999999998</v>
      </c>
      <c r="C6" s="156">
        <f ca="1">IF(OR('Données projet'!B9="",'Données projet'!C9="",'Données projet'!C9=0%),0,Calculateur!S3)</f>
        <v>244.82163392718377</v>
      </c>
      <c r="D6" s="156">
        <f>IF(OR('Données projet'!B9="",'Données projet'!C9="",'Données projet'!C9=0%),0,Calculateur!T3)</f>
        <v>342.30266518164211</v>
      </c>
      <c r="E6" s="156">
        <f ca="1">MIN(C6,D6)</f>
        <v>244.82163392718377</v>
      </c>
      <c r="F6" s="156">
        <f ca="1">E6*B6</f>
        <v>144.22932097918249</v>
      </c>
      <c r="G6" s="156">
        <f ca="1">F6*(100%-'Données projet'!$C$24)*(100%-'Données projet'!$C$25)*(100%-'Données projet'!$C$26)*(100%-'Données projet'!$C$27)</f>
        <v>123.31606943720102</v>
      </c>
      <c r="H6" s="157">
        <f>IF(OR('Données projet'!B9="",'Données projet'!C9="",'Données projet'!C9=0%),0,AVERAGE(Calculateur!$AC$3:$AC$33)*B6)</f>
        <v>0.90004231167696958</v>
      </c>
      <c r="I6" s="158">
        <f>H6*(100%-'Données projet'!$C$24)*(100%-'Données projet'!$C$25)*(100%-'Données projet'!$C$26)*(100%-'Données projet'!$C$27)</f>
        <v>0.7695361764838089</v>
      </c>
      <c r="J6" s="159">
        <f>IF(OR('Données projet'!B9="",'Données projet'!C9="",'Données projet'!C9=0%),0,SUM(Calculateur!$V$3:$V$33)*VLOOKUP('Données projet'!$B$9,Paramètres!$A$1:$I$89,9,0)*B6)</f>
        <v>7.9531199999999993</v>
      </c>
      <c r="K6" s="160">
        <f>J6*(100%-'Données projet'!$C$24)*(100%-'Données projet'!$C$25)*(100%-'Données projet'!$C$26)*(100%-'Données projet'!$C$27)</f>
        <v>6.7999175999999988</v>
      </c>
      <c r="L6" s="161">
        <f ca="1">G6+I6+K6</f>
        <v>130.88552321368482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1.02044</v>
      </c>
      <c r="C7" s="156">
        <f ca="1">IF(OR('Données projet'!B10="",'Données projet'!C10="",'Données projet'!C10=0%),0,Calculateur!AN3)</f>
        <v>396.92963589781414</v>
      </c>
      <c r="D7" s="156">
        <f>IF(OR('Données projet'!B10="",'Données projet'!C10="",'Données projet'!C10=0%),0,Calculateur!AO3)</f>
        <v>294.38852181137639</v>
      </c>
      <c r="E7" s="156">
        <f t="shared" ref="E7:E15" ca="1" si="0">MIN(C7,D7)</f>
        <v>294.38852181137639</v>
      </c>
      <c r="F7" s="156">
        <f t="shared" ref="F7:F15" ca="1" si="1">E7*B7</f>
        <v>300.4058231972009</v>
      </c>
      <c r="G7" s="156">
        <f ca="1">F7*(100%-'Données projet'!$C$24)*(100%-'Données projet'!$C$25)*(100%-'Données projet'!$C$26)*(100%-'Données projet'!$C$27)</f>
        <v>256.84697883360673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256.84697883360673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1.02044</v>
      </c>
      <c r="C8" s="156">
        <f ca="1">IF(OR('Données projet'!B11="",'Données projet'!C11="",'Données projet'!C11=0%),0,Calculateur!BI3)</f>
        <v>362.81292020448933</v>
      </c>
      <c r="D8" s="156">
        <f>IF(OR('Données projet'!B11="",'Données projet'!C11="",'Données projet'!C11=0%),0,Calculateur!BJ3)</f>
        <v>292.26503163353146</v>
      </c>
      <c r="E8" s="156">
        <f t="shared" ca="1" si="0"/>
        <v>292.26503163353146</v>
      </c>
      <c r="F8" s="156">
        <f t="shared" ca="1" si="1"/>
        <v>298.23892888012085</v>
      </c>
      <c r="G8" s="156">
        <f ca="1">F8*(100%-'Données projet'!$C$24)*(100%-'Données projet'!$C$25)*(100%-'Données projet'!$C$26)*(100%-'Données projet'!$C$27)</f>
        <v>254.9942841925033</v>
      </c>
      <c r="H8" s="164">
        <f>IF(OR('Données projet'!B11="",'Données projet'!C11="",'Données projet'!C11=0%),0,AVERAGE(Calculateur!$BS$3:$BS$33)*B8)</f>
        <v>2.9814228183186233</v>
      </c>
      <c r="I8" s="158">
        <f>H8*(100%-'Données projet'!$C$24)*(100%-'Données projet'!$C$25)*(100%-'Données projet'!$C$26)*(100%-'Données projet'!$C$27)</f>
        <v>2.5491165096624231</v>
      </c>
      <c r="J8" s="159">
        <f>IF(OR('Données projet'!B11="",'Données projet'!C11="",'Données projet'!C11=0%),0,SUM(Calculateur!$BL$3:$BL$33)*VLOOKUP('Données projet'!$B$11,Paramètres!$A$1:$I$89,9,0)*B8)</f>
        <v>29.398876399999999</v>
      </c>
      <c r="K8" s="160">
        <f>J8*(100%-'Données projet'!$C$24)*(100%-'Données projet'!$C$25)*(100%-'Données projet'!$C$26)*(100%-'Données projet'!$C$27)</f>
        <v>25.136039321999998</v>
      </c>
      <c r="L8" s="161">
        <f t="shared" ca="1" si="2"/>
        <v>282.67944002416573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742.87407305650424</v>
      </c>
      <c r="G16" s="175">
        <f t="shared" ca="1" si="3"/>
        <v>635.15733246331104</v>
      </c>
      <c r="H16" s="176">
        <f t="shared" si="3"/>
        <v>3.8814651299955929</v>
      </c>
      <c r="I16" s="176">
        <f t="shared" si="3"/>
        <v>3.318652686146232</v>
      </c>
      <c r="J16" s="177">
        <f t="shared" si="3"/>
        <v>37.351996399999997</v>
      </c>
      <c r="K16" s="177">
        <f t="shared" si="3"/>
        <v>31.935956921999995</v>
      </c>
      <c r="L16" s="178">
        <f t="shared" ca="1" si="3"/>
        <v>670.41194207145725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C17" sqref="C1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659.08388083304453</v>
      </c>
      <c r="U10" s="190">
        <f>'Données projet'!D9</f>
        <v>0.58911999999999998</v>
      </c>
      <c r="V10" s="189">
        <f>U10*T10</f>
        <v>388.27949587636317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1073.3775350824558</v>
      </c>
      <c r="U11" s="190">
        <f>'Données projet'!D10</f>
        <v>1.02044</v>
      </c>
      <c r="V11" s="189">
        <f t="shared" ref="V11" si="0">U11*T11</f>
        <v>1095.3173718995413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1997.5625420038677</v>
      </c>
      <c r="U12" s="190">
        <f>'Données projet'!D11</f>
        <v>1.02044</v>
      </c>
      <c r="V12" s="189">
        <f t="shared" ref="V12:V19" si="1">U12*T12</f>
        <v>2038.3927203624269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(3551+1262+854+2241+592+760+4908+676+1975)/2.63</f>
        <v>6395.0570342205328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(2000+2850)/2.63</f>
        <v>1844.1064638783271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2850/2.63</f>
        <v>1083.6501901140684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2</v>
      </c>
      <c r="C23" s="342">
        <v>8</v>
      </c>
      <c r="D23" s="194">
        <f>B23*C23</f>
        <v>16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-20547.989098247053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15</v>
      </c>
      <c r="C24" s="342">
        <v>8</v>
      </c>
      <c r="D24" s="194">
        <f t="shared" ref="D24:D42" si="2">B24*C24</f>
        <v>120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13</v>
      </c>
      <c r="C25" s="342">
        <v>9</v>
      </c>
      <c r="D25" s="194">
        <f t="shared" si="2"/>
        <v>117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-20547.989098247053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10</v>
      </c>
      <c r="C26" s="342">
        <v>12</v>
      </c>
      <c r="D26" s="194">
        <f t="shared" si="2"/>
        <v>120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8</v>
      </c>
      <c r="C27" s="342">
        <v>12</v>
      </c>
      <c r="D27" s="194">
        <f t="shared" si="2"/>
        <v>96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6</v>
      </c>
      <c r="C28" s="342">
        <v>13</v>
      </c>
      <c r="D28" s="194">
        <f t="shared" si="2"/>
        <v>78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35</v>
      </c>
      <c r="B29" s="193">
        <f>'Données projet'!D42</f>
        <v>5</v>
      </c>
      <c r="C29" s="342">
        <v>13</v>
      </c>
      <c r="D29" s="194">
        <f t="shared" si="2"/>
        <v>65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40</v>
      </c>
      <c r="B30" s="193">
        <f>'Données projet'!D43</f>
        <v>4</v>
      </c>
      <c r="C30" s="342">
        <v>14</v>
      </c>
      <c r="D30" s="194">
        <f t="shared" si="2"/>
        <v>56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45</v>
      </c>
      <c r="B31" s="193">
        <f>'Données projet'!D44</f>
        <v>198</v>
      </c>
      <c r="C31" s="342">
        <v>14</v>
      </c>
      <c r="D31" s="194">
        <f t="shared" si="2"/>
        <v>2772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343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343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88</v>
      </c>
      <c r="C56" s="342">
        <v>15</v>
      </c>
      <c r="D56" s="191">
        <f t="shared" si="4"/>
        <v>1320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343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102</v>
      </c>
      <c r="C58" s="342">
        <v>18</v>
      </c>
      <c r="D58" s="191">
        <f t="shared" si="4"/>
        <v>1836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113</v>
      </c>
      <c r="C59" s="342">
        <v>20</v>
      </c>
      <c r="D59" s="191">
        <f t="shared" si="4"/>
        <v>2260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124</v>
      </c>
      <c r="C60" s="342">
        <v>25</v>
      </c>
      <c r="D60" s="191">
        <f t="shared" si="4"/>
        <v>3100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135</v>
      </c>
      <c r="C61" s="342">
        <v>30</v>
      </c>
      <c r="D61" s="191">
        <f t="shared" si="4"/>
        <v>4050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723</v>
      </c>
      <c r="C62" s="342">
        <v>50</v>
      </c>
      <c r="D62" s="191">
        <f t="shared" si="4"/>
        <v>36150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22</v>
      </c>
      <c r="B85" s="193">
        <f>'Données projet'!D88</f>
        <v>16</v>
      </c>
      <c r="C85" s="342">
        <v>12</v>
      </c>
      <c r="D85" s="191">
        <f>B85*C85</f>
        <v>192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17</v>
      </c>
      <c r="C86" s="342">
        <v>12</v>
      </c>
      <c r="D86" s="191">
        <f t="shared" ref="D86:D104" si="6">B86*C86</f>
        <v>204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34</v>
      </c>
      <c r="C87" s="342">
        <v>15</v>
      </c>
      <c r="D87" s="191">
        <f t="shared" si="6"/>
        <v>510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41</v>
      </c>
      <c r="C88" s="342">
        <v>17</v>
      </c>
      <c r="D88" s="191">
        <f t="shared" si="6"/>
        <v>697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41</v>
      </c>
      <c r="C89" s="342">
        <v>17</v>
      </c>
      <c r="D89" s="191">
        <f t="shared" si="6"/>
        <v>697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53</v>
      </c>
      <c r="C90" s="342">
        <v>17</v>
      </c>
      <c r="D90" s="191">
        <f t="shared" si="6"/>
        <v>901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53</v>
      </c>
      <c r="C91" s="342">
        <v>20</v>
      </c>
      <c r="D91" s="191">
        <f t="shared" si="6"/>
        <v>1060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58</v>
      </c>
      <c r="B92" s="193">
        <f>'Données projet'!D95</f>
        <v>78</v>
      </c>
      <c r="C92" s="342">
        <v>25</v>
      </c>
      <c r="D92" s="191">
        <f t="shared" si="6"/>
        <v>1950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66</v>
      </c>
      <c r="B93" s="193">
        <f>'Données projet'!D96</f>
        <v>65</v>
      </c>
      <c r="C93" s="342">
        <v>30</v>
      </c>
      <c r="D93" s="191">
        <f t="shared" si="6"/>
        <v>1950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74</v>
      </c>
      <c r="B94" s="193">
        <f>'Données projet'!D97</f>
        <v>37</v>
      </c>
      <c r="C94" s="342">
        <v>35</v>
      </c>
      <c r="D94" s="191">
        <f t="shared" si="6"/>
        <v>1295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82</v>
      </c>
      <c r="B95" s="193">
        <f>'Données projet'!D98</f>
        <v>555</v>
      </c>
      <c r="C95" s="342">
        <v>60</v>
      </c>
      <c r="D95" s="191">
        <f t="shared" si="6"/>
        <v>33300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34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2024-08-13T13:54:22Z</dcterms:modified>
</cp:coreProperties>
</file>