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5-2026/DELAFOSSE (Sancoins 2) - 17674030 LE/"/>
    </mc:Choice>
  </mc:AlternateContent>
  <xr:revisionPtr revIDLastSave="141" documentId="13_ncr:1_{91C62E09-7A97-40C6-8A6D-8C8B5668C142}" xr6:coauthVersionLast="47" xr6:coauthVersionMax="47" xr10:uidLastSave="{FE195F07-A1E8-4D0C-BBBB-7EBED958B2E8}"/>
  <bookViews>
    <workbookView xWindow="-28920" yWindow="2580" windowWidth="29040" windowHeight="15720" tabRatio="866" firstSheet="1" activeTab="2" xr2:uid="{00000000-000D-0000-FFFF-FFFF00000000}"/>
  </bookViews>
  <sheets>
    <sheet name="Accueil" sheetId="5" r:id="rId1"/>
    <sheet name="Données projet" sheetId="1" r:id="rId2"/>
    <sheet name="REE" sheetId="4" r:id="rId3"/>
    <sheet name="Scénario référence" sheetId="7" r:id="rId4"/>
    <sheet name="Calculateur" sheetId="2" state="hidden" r:id="rId5"/>
    <sheet name="Paramètres" sheetId="3" state="hidden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163" i="2" a="1"/>
  <c r="AH163" i="2" s="1"/>
  <c r="AH199" i="2" a="1"/>
  <c r="AH199" i="2" s="1"/>
  <c r="AH166" i="2" a="1"/>
  <c r="AH166" i="2" s="1"/>
  <c r="AH92" i="2" a="1"/>
  <c r="AH92" i="2" s="1"/>
  <c r="AH19" i="2" a="1"/>
  <c r="AH19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<sst xmlns="http://schemas.openxmlformats.org/spreadsheetml/2006/main" count="1171" uniqueCount="325">
  <si>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</si>
  <si>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</si>
  <si>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</si>
  <si>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</si>
  <si>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</si>
  <si>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</si>
  <si>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</si>
  <si>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</si>
  <si>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</si>
  <si>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</si>
  <si>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</si>
  <si>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</si>
  <si>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</si>
  <si>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</si>
  <si>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</si>
  <si>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</si>
  <si>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</si>
  <si>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</si>
  <si>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</si>
  <si>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</si>
  <si>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</si>
  <si>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</si>
  <si>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</si>
  <si>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</si>
  <si>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</si>
  <si>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</si>
  <si>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</si>
  <si>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</si>
  <si>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</si>
  <si>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</si>
  <si>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</si>
  <si>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</si>
  <si>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</si>
  <si>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</si>
  <si>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</si>
  <si>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</si>
  <si>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</si>
  <si>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</si>
  <si>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</si>
  <si>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</si>
  <si>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</si>
  <si>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</si>
  <si>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</si>
  <si>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</si>
  <si>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</si>
  <si>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</si>
  <si>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</si>
  <si>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</si>
  <si>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</si>
  <si>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</si>
  <si>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</si>
  <si>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</si>
  <si>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</si>
  <si>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</si>
  <si>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</si>
  <si>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</si>
  <si>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</si>
  <si>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</si>
  <si>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</si>
  <si>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</si>
  <si>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</si>
  <si>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</si>
  <si>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</si>
  <si>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</si>
  <si>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</si>
  <si>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</si>
  <si>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</si>
  <si>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</si>
  <si>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</si>
  <si>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</si>
  <si>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</si>
  <si>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</si>
  <si>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</si>
  <si>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</si>
  <si>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</si>
  <si>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</si>
  <si>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</si>
  <si>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</si>
  <si>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</si>
  <si>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</si>
  <si>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</si>
  <si>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</si>
  <si>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</si>
  <si>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</si>
  <si>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</si>
  <si>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</si>
  <si>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</si>
  <si>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</si>
  <si>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</si>
  <si>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</si>
  <si>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</si>
  <si>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</si>
  <si>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</si>
  <si>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</si>
  <si>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</si>
  <si>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</si>
  <si>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</si>
  <si>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</si>
  <si>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</si>
  <si>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</si>
  <si>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</si>
  <si>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</si>
  <si>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</si>
  <si>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</si>
  <si>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</si>
  <si>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</si>
  <si>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</si>
  <si>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</si>
  <si>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</si>
  <si>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</si>
  <si>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</si>
  <si>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</si>
  <si>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</si>
  <si>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</si>
  <si>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</si>
  <si>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</si>
  <si>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</si>
  <si>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</si>
  <si>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</si>
  <si>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</si>
  <si>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</si>
  <si>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</si>
  <si>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</si>
  <si>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</si>
  <si>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</si>
  <si>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</si>
  <si>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</si>
  <si>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</si>
  <si>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</si>
  <si>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</si>
  <si>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</si>
  <si>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</si>
  <si>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</si>
  <si>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</si>
  <si>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</si>
  <si>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</si>
  <si>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</si>
  <si>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</si>
  <si>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</si>
  <si>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</si>
  <si>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</si>
  <si>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</si>
  <si>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</si>
  <si>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</si>
  <si>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</si>
  <si>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</si>
  <si>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</si>
  <si>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</si>
  <si>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</si>
  <si>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</si>
  <si>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</si>
  <si>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</si>
  <si>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</si>
  <si>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</si>
  <si>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</si>
  <si>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</si>
  <si>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</si>
  <si>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</si>
  <si>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</si>
  <si>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</si>
  <si>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</si>
  <si>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</si>
  <si>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</si>
  <si>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</si>
  <si>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</si>
  <si>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</si>
  <si>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</si>
  <si>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</si>
  <si>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</si>
  <si>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</si>
  <si>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</si>
  <si>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</si>
  <si>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</si>
  <si>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</si>
  <si>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</si>
  <si>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</si>
  <si>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</si>
  <si>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</si>
  <si>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</si>
  <si>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</si>
  <si>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</si>
  <si>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</si>
  <si>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</si>
  <si>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</si>
  <si>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</si>
  <si>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</si>
  <si>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</si>
  <si>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</si>
  <si>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</si>
  <si>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</si>
  <si>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</si>
  <si>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</si>
  <si>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</si>
  <si>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</si>
  <si>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</si>
  <si>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</si>
  <si>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</si>
  <si>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</si>
  <si>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</si>
  <si>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</si>
  <si>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</si>
  <si>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</si>
  <si>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</si>
  <si>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</si>
  <si>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</si>
  <si>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</si>
  <si>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</si>
  <si>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</si>
  <si>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</si>
  <si>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</si>
  <si>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</si>
  <si>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</si>
  <si>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</si>
  <si>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</si>
  <si>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</si>
  <si>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</si>
  <si>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</si>
  <si>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</si>
  <si>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</si>
  <si>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</si>
  <si>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</si>
  <si>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</si>
  <si>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</si>
  <si>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</si>
  <si>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</si>
  <si>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</si>
  <si>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</si>
  <si>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</si>
  <si>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</si>
  <si>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</si>
  <si>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</si>
  <si>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</si>
  <si>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</si>
  <si>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</si>
  <si>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</si>
  <si>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</si>
  <si>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</si>
  <si>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</si>
  <si>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</si>
  <si>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</si>
  <si>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</si>
  <si>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</si>
  <si>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</si>
  <si>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</si>
  <si>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</si>
  <si>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</si>
  <si>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</si>
  <si>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</si>
  <si>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</si>
  <si>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</si>
  <si>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</si>
  <si>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</si>
  <si>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</si>
  <si>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</si>
  <si>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</si>
  <si>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</si>
  <si>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</si>
  <si>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</si>
  <si>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</si>
  <si>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</si>
  <si>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</si>
  <si>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</si>
  <si>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</si>
  <si>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</si>
  <si>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</si>
  <si>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</si>
  <si>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</si>
  <si>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</si>
  <si>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</si>
  <si>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</si>
  <si>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</si>
  <si>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</si>
  <si>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</si>
  <si>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</si>
  <si>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</si>
  <si>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</si>
  <si>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</si>
  <si>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</si>
  <si>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</si>
  <si>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</si>
  <si>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</si>
  <si>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</si>
  <si>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</si>
  <si>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</si>
  <si>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</si>
  <si>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</si>
  <si>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</si>
  <si>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</si>
  <si>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</si>
  <si>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</si>
  <si>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</si>
  <si>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</si>
  <si>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</si>
  <si>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</si>
  <si>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</si>
  <si>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</si>
  <si>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</si>
  <si>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</si>
  <si>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</si>
  <si>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</si>
  <si>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</si>
  <si>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</si>
  <si>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</si>
  <si>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</si>
  <si>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</si>
  <si>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</si>
  <si>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</si>
  <si>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</si>
  <si>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</si>
  <si>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</si>
  <si>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</si>
  <si>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</si>
  <si>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</si>
  <si>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</si>
  <si>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</si>
  <si>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</si>
  <si>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</si>
  <si>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</si>
  <si>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</si>
  <si>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</si>
  <si>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</si>
  <si>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</si>
  <si>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</si>
  <si>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</si>
  <si>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US 6_Koster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</si>
</sst>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1.7723021135448607</c:v>
                </c:pt>
                <c:pt idx="2">
                  <c:v>2.3670384462400595</c:v>
                </c:pt>
                <c:pt idx="3">
                  <c:v>3.1621906521353282</c:v>
                </c:pt>
                <c:pt idx="4">
                  <c:v>4.2255620007429604</c:v>
                </c:pt>
                <c:pt idx="5">
                  <c:v>5.6479788736419918</c:v>
                </c:pt>
                <c:pt idx="6">
                  <c:v>7.5511350478487458</c:v>
                </c:pt>
                <c:pt idx="7">
                  <c:v>10.098116992633004</c:v>
                </c:pt>
                <c:pt idx="8">
                  <c:v>13.507529112442832</c:v>
                </c:pt>
                <c:pt idx="9">
                  <c:v>18.072453655133113</c:v>
                </c:pt>
                <c:pt idx="10">
                  <c:v>24.185904563981804</c:v>
                </c:pt>
                <c:pt idx="11">
                  <c:v>32.375005429780749</c:v>
                </c:pt>
                <c:pt idx="12">
                  <c:v>43.346889425712682</c:v>
                </c:pt>
                <c:pt idx="13">
                  <c:v>58.050351695132917</c:v>
                </c:pt>
                <c:pt idx="14">
                  <c:v>77.758673663722519</c:v>
                </c:pt>
                <c:pt idx="15">
                  <c:v>104.18090741720323</c:v>
                </c:pt>
                <c:pt idx="16">
                  <c:v>139.6114225738269</c:v>
                </c:pt>
                <c:pt idx="17">
                  <c:v>187.13090144451817</c:v>
                </c:pt>
                <c:pt idx="18">
                  <c:v>250.87652163496622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K32" sqref="K32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3.18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112</v>
      </c>
      <c r="C9" s="32">
        <v>1</v>
      </c>
      <c r="D9" s="33">
        <f t="shared" ref="D9:D18" si="0">C9*$C$5</f>
        <v>3.18</v>
      </c>
      <c r="E9" s="34">
        <v>18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3.18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Peuplier Koster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18</v>
      </c>
      <c r="B36" s="60">
        <v>223.8</v>
      </c>
      <c r="C36" s="60">
        <v>1</v>
      </c>
      <c r="D36" s="60">
        <v>223.8</v>
      </c>
      <c r="E36" s="51">
        <v>0.77</v>
      </c>
      <c r="F36" s="51">
        <v>0.11</v>
      </c>
      <c r="G36" s="51">
        <v>0.1</v>
      </c>
      <c r="H36" s="51">
        <v>0.02</v>
      </c>
      <c r="I36" s="49">
        <f>IFERROR(B36/A36,"")</f>
        <v>12.433333333333334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145" zoomScaleNormal="145" workbookViewId="0">
      <selection activeCell="K6" sqref="K6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Peuplier Koster</v>
      </c>
      <c r="B6" s="146">
        <f>'Données projet'!D9</f>
        <v>3.18</v>
      </c>
      <c r="C6" s="147">
        <f ca="1">IF(OR('Données projet'!B9="",'Données projet'!C9="",'Données projet'!C9=0%),0,Calculateur!S3)</f>
        <v>39.053454142601367</v>
      </c>
      <c r="D6" s="147">
        <f>IF(OR('Données projet'!B9="",'Données projet'!C9="",'Données projet'!C9=0%),0,Calculateur!T3)</f>
        <v>225.79068168427801</v>
      </c>
      <c r="E6" s="147">
        <f ca="1">MIN(C6,D6)</f>
        <v>39.053454142601367</v>
      </c>
      <c r="F6" s="147">
        <f ca="1">E6*B6</f>
        <v>124.18998417347235</v>
      </c>
      <c r="G6" s="147">
        <f ca="1">F6*(100%-'Données projet'!$C$24)*(100%-'Données projet'!$C$25)*(100%-'Données projet'!$C$26)*(100%-'Données projet'!$C$27)</f>
        <v>111.77098575612511</v>
      </c>
      <c r="H6" s="148">
        <f>IF(OR('Données projet'!B9="",'Données projet'!C9="",'Données projet'!C9=0%),0,AVERAGE(Calculateur!$AC$3:$AC$33)*B6)</f>
        <v>82.131613393912659</v>
      </c>
      <c r="I6" s="149">
        <f>H6*(100%-'Données projet'!$C$24)*(100%-'Données projet'!$C$25)*(100%-'Données projet'!$C$26)*(100%-'Données projet'!$C$27)</f>
        <v>73.918452054521396</v>
      </c>
      <c r="J6" s="150">
        <f>IF(OR('Données projet'!B9="",'Données projet'!C9="",'Données projet'!C9=0%),0,SUM(Calculateur!$V$3:$V$33)*VLOOKUP('Données projet'!$B$9,Paramètres!$A$1:$I$89,9,0)*B6)</f>
        <v>733.03452000000004</v>
      </c>
      <c r="K6" s="151">
        <f>J6*(100%-'Données projet'!$C$24)*(100%-'Données projet'!$C$25)*(100%-'Données projet'!$C$26)*(100%-'Données projet'!$C$27)</f>
        <v>659.73106800000005</v>
      </c>
      <c r="L6" s="152">
        <f ca="1">G6+I6+K6</f>
        <v>845.42050581064655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124.18998417347235</v>
      </c>
      <c r="G16" s="166">
        <f t="shared" ca="1" si="3"/>
        <v>111.77098575612511</v>
      </c>
      <c r="H16" s="167">
        <f t="shared" si="3"/>
        <v>82.131613393912659</v>
      </c>
      <c r="I16" s="167">
        <f t="shared" si="3"/>
        <v>73.918452054521396</v>
      </c>
      <c r="J16" s="168">
        <f t="shared" si="3"/>
        <v>733.03452000000004</v>
      </c>
      <c r="K16" s="168">
        <f t="shared" si="3"/>
        <v>659.73106800000005</v>
      </c>
      <c r="L16" s="169">
        <f t="shared" ca="1" si="3"/>
        <v>845.42050581064655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7" sqref="A19:G27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51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Peuplier Koster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/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39.053454142601367</v>
      </c>
      <c r="T3" s="59">
        <f>IF('Données projet'!E9&gt;30,$R$33-$H$33,LOOKUP('Données projet'!$E$9,$A$3:$A$203,R3:R203)-LOOKUP('Données projet'!$E$9,$A$3:$A$203,$H$3:$H$203))</f>
        <v>225.79068168427801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0.59279999999999999</v>
      </c>
      <c r="D4" s="11">
        <f>IFERROR(EXP(-1.0587+0.8836*LN(C4)+0.284),0)</f>
        <v>0.29033122460920363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6.8171533127727999</v>
      </c>
      <c r="H4" s="67">
        <f t="shared" ref="H4:H67" si="1">(B4+E4+F4)*44/12+(C4+D4)*0.475*44/12</f>
        <v>294.8714535495277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12.433333333333334</v>
      </c>
      <c r="N4" s="13">
        <f>IF('Données projet'!$A$36&gt;35,N3+M4-V3,IF(A4&lt;'Données projet'!$A$36,$K$205^A4,IF(A4='Données projet'!$A$36,'Données projet'!$B$36,N3+M4-V3)))</f>
        <v>1.3506654238248872</v>
      </c>
      <c r="O4" s="13">
        <f>N4*VLOOKUP('Données projet'!$B$9,Paramètres!$A$1:$I$89,3,0)*VLOOKUP('Données projet'!$B$9,Paramètres!$A$1:$I$89,5,0)</f>
        <v>0.6868944079403847</v>
      </c>
      <c r="P4" s="13">
        <f>EXP(-1.0587+0.8836*LN(O4)+0.284)</f>
        <v>0.33069532232460719</v>
      </c>
      <c r="Q4" s="20">
        <f t="shared" ref="Q4:Q34" si="2">(O4+P4)*0.475*44/12</f>
        <v>1.7723021135448607</v>
      </c>
      <c r="R4" s="59">
        <f t="shared" si="0"/>
        <v>295.10563544687818</v>
      </c>
      <c r="S4" s="59">
        <f ca="1">AVERAGE(OFFSET($R$3,0,0,'Données projet'!$E$9+1,1))-AVERAGE(OFFSET($H$3,0,0,'Données projet'!$E$9+1,1))</f>
        <v>39.053454142601367</v>
      </c>
      <c r="T4" s="59">
        <f>$T$3</f>
        <v>225.79068168427801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1.1856</v>
      </c>
      <c r="D5" s="11">
        <f t="shared" ref="D5:D68" si="32">IFERROR(EXP(-1.0587+0.8836*LN(C5)+0.284),0)</f>
        <v>0.53565338053965594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13.286868200656995</v>
      </c>
      <c r="H5" s="67">
        <f t="shared" si="1"/>
        <v>296.33118297110656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12.433333333333334</v>
      </c>
      <c r="N5" s="13">
        <f>IF('Données projet'!$A$36&gt;35,N4+M5-V4,IF(A5&lt;'Données projet'!$A$36,$K$205^A5,IF(A5='Données projet'!$A$36,'Données projet'!$B$36,N4+M5-V4)))</f>
        <v>1.8242970871160622</v>
      </c>
      <c r="O5" s="13">
        <f>N5*VLOOKUP('Données projet'!$B$9,Paramètres!$A$1:$I$89,3,0)*VLOOKUP('Données projet'!$B$9,Paramètres!$A$1:$I$89,5,0)</f>
        <v>0.92776452662374476</v>
      </c>
      <c r="P5" s="13">
        <f t="shared" ref="P5:P68" si="33">EXP(-1.0587+0.8836*LN(O5)+0.284)</f>
        <v>0.43130060997341868</v>
      </c>
      <c r="Q5" s="20">
        <f t="shared" si="2"/>
        <v>2.3670384462400595</v>
      </c>
      <c r="R5" s="59">
        <f t="shared" si="0"/>
        <v>295.7003717795734</v>
      </c>
      <c r="S5" s="59">
        <f ca="1">AVERAGE(OFFSET($R$3,0,0,'Données projet'!$E$9+1,1))-AVERAGE(OFFSET($H$3,0,0,'Données projet'!$E$9+1,1))</f>
        <v>39.053454142601367</v>
      </c>
      <c r="T5" s="59">
        <f t="shared" ref="T5:T68" si="34">$T$3</f>
        <v>225.79068168427801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6" s="11">
        <f t="shared" si="32"/>
        <v>0.76643986660078545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19.644377917620098</v>
      </c>
      <c r="H6" s="67">
        <f t="shared" si="1"/>
        <v>297.76559610099633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12.433333333333334</v>
      </c>
      <c r="N6" s="13">
        <f>IF('Données projet'!$A$36&gt;35,N5+M6-V5,IF(A6&lt;'Données projet'!$A$36,$K$205^A6,IF(A6='Données projet'!$A$36,'Données projet'!$B$36,N5+M6-V5)))</f>
        <v>2.4640149983521233</v>
      </c>
      <c r="O6" s="13">
        <f>N6*VLOOKUP('Données projet'!$B$9,Paramètres!$A$1:$I$89,3,0)*VLOOKUP('Données projet'!$B$9,Paramètres!$A$1:$I$89,5,0)</f>
        <v>1.253099467561956</v>
      </c>
      <c r="P6" s="13">
        <f t="shared" si="33"/>
        <v>0.56251239012340015</v>
      </c>
      <c r="Q6" s="20">
        <f t="shared" si="2"/>
        <v>3.1621906521353282</v>
      </c>
      <c r="R6" s="59">
        <f t="shared" si="0"/>
        <v>296.49552398546865</v>
      </c>
      <c r="S6" s="59">
        <f ca="1">AVERAGE(OFFSET($R$3,0,0,'Données projet'!$E$9+1,1))-AVERAGE(OFFSET($H$3,0,0,'Données projet'!$E$9+1,1))</f>
        <v>39.053454142601367</v>
      </c>
      <c r="T6" s="59">
        <f t="shared" si="34"/>
        <v>225.79068168427801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2.3712</v>
      </c>
      <c r="D7" s="11">
        <f t="shared" si="32"/>
        <v>0.98826622754673499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25.932721756501113</v>
      </c>
      <c r="H7" s="67">
        <f t="shared" si="1"/>
        <v>299.18440367964388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12.433333333333334</v>
      </c>
      <c r="N7" s="13">
        <f>IF('Données projet'!$A$36&gt;35,N6+M7-V6,IF(A7&lt;'Données projet'!$A$36,$K$205^A7,IF(A7='Données projet'!$A$36,'Données projet'!$B$36,N6+M7-V6)))</f>
        <v>3.3280598620601496</v>
      </c>
      <c r="O7" s="13">
        <f>N7*VLOOKUP('Données projet'!$B$9,Paramètres!$A$1:$I$89,3,0)*VLOOKUP('Données projet'!$B$9,Paramètres!$A$1:$I$89,5,0)</f>
        <v>1.6925181234493099</v>
      </c>
      <c r="P7" s="13">
        <f t="shared" si="33"/>
        <v>0.73364187697727001</v>
      </c>
      <c r="Q7" s="20">
        <f t="shared" si="2"/>
        <v>4.2255620007429604</v>
      </c>
      <c r="R7" s="59">
        <f t="shared" si="0"/>
        <v>297.55889533407628</v>
      </c>
      <c r="S7" s="59">
        <f ca="1">AVERAGE(OFFSET($R$3,0,0,'Données projet'!$E$9+1,1))-AVERAGE(OFFSET($H$3,0,0,'Données projet'!$E$9+1,1))</f>
        <v>39.053454142601367</v>
      </c>
      <c r="T7" s="59">
        <f t="shared" si="34"/>
        <v>225.79068168427801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</v>
      </c>
      <c r="D8" s="11">
        <f t="shared" si="32"/>
        <v>1.2036594830385248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32.17140653573599</v>
      </c>
      <c r="H8" s="67">
        <f t="shared" si="1"/>
        <v>300.59200693295872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12.433333333333334</v>
      </c>
      <c r="N8" s="13">
        <f>IF('Données projet'!$A$36&gt;35,N7+M8-V7,IF(A8&lt;'Données projet'!$A$36,$K$205^A8,IF(A8='Données projet'!$A$36,'Données projet'!$B$36,N7+M8-V7)))</f>
        <v>4.4950953841040677</v>
      </c>
      <c r="O8" s="13">
        <f>N8*VLOOKUP('Données projet'!$B$9,Paramètres!$A$1:$I$89,3,0)*VLOOKUP('Données projet'!$B$9,Paramètres!$A$1:$I$89,5,0)</f>
        <v>2.2860257085399649</v>
      </c>
      <c r="P8" s="13">
        <f t="shared" si="33"/>
        <v>0.95683297489084362</v>
      </c>
      <c r="Q8" s="20">
        <f t="shared" si="2"/>
        <v>5.6479788736419918</v>
      </c>
      <c r="R8" s="59">
        <f t="shared" si="0"/>
        <v>298.9813122069753</v>
      </c>
      <c r="S8" s="59">
        <f ca="1">AVERAGE(OFFSET($R$3,0,0,'Données projet'!$E$9+1,1))-AVERAGE(OFFSET($H$3,0,0,'Données projet'!$E$9+1,1))</f>
        <v>39.053454142601367</v>
      </c>
      <c r="T8" s="59">
        <f t="shared" si="34"/>
        <v>225.79068168427801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9" s="11">
        <f t="shared" si="32"/>
        <v>1.4140611505968179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38.37155975899298</v>
      </c>
      <c r="H9" s="67">
        <f t="shared" si="1"/>
        <v>301.9909165039561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12.433333333333334</v>
      </c>
      <c r="N9" s="13">
        <f>IF('Données projet'!$A$36&gt;35,N8+M9-V8,IF(A9&lt;'Données projet'!$A$36,$K$205^A9,IF(A9='Données projet'!$A$36,'Données projet'!$B$36,N8+M9-V8)))</f>
        <v>6.0713699121042151</v>
      </c>
      <c r="O9" s="13">
        <f>N9*VLOOKUP('Données projet'!$B$9,Paramètres!$A$1:$I$89,3,0)*VLOOKUP('Données projet'!$B$9,Paramètres!$A$1:$I$89,5,0)</f>
        <v>3.0876558824997198</v>
      </c>
      <c r="P9" s="13">
        <f t="shared" si="33"/>
        <v>1.2479240492794648</v>
      </c>
      <c r="Q9" s="20">
        <f t="shared" si="2"/>
        <v>7.5511350478487458</v>
      </c>
      <c r="R9" s="59">
        <f t="shared" si="0"/>
        <v>300.88446838118205</v>
      </c>
      <c r="S9" s="59">
        <f ca="1">AVERAGE(OFFSET($R$3,0,0,'Données projet'!$E$9+1,1))-AVERAGE(OFFSET($H$3,0,0,'Données projet'!$E$9+1,1))</f>
        <v>39.053454142601367</v>
      </c>
      <c r="T9" s="59">
        <f t="shared" si="34"/>
        <v>225.79068168427801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4.1495999999999995</v>
      </c>
      <c r="D10" s="11">
        <f t="shared" si="32"/>
        <v>1.6204005208300996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44.540354897635858</v>
      </c>
      <c r="H10" s="67">
        <f t="shared" si="1"/>
        <v>303.38275090711238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12.433333333333334</v>
      </c>
      <c r="N10" s="13">
        <f>IF('Données projet'!$A$36&gt;35,N9+M10-V9,IF(A10&lt;'Données projet'!$A$36,$K$205^A10,IF(A10='Données projet'!$A$36,'Données projet'!$B$36,N9+M10-V9)))</f>
        <v>8.2003894155299069</v>
      </c>
      <c r="O10" s="13">
        <f>N10*VLOOKUP('Données projet'!$B$9,Paramètres!$A$1:$I$89,3,0)*VLOOKUP('Données projet'!$B$9,Paramètres!$A$1:$I$89,5,0)</f>
        <v>4.1703900411618893</v>
      </c>
      <c r="P10" s="13">
        <f t="shared" si="33"/>
        <v>1.6275718684838547</v>
      </c>
      <c r="Q10" s="20">
        <f t="shared" si="2"/>
        <v>10.098116992633004</v>
      </c>
      <c r="R10" s="59">
        <f t="shared" si="0"/>
        <v>303.4314503259663</v>
      </c>
      <c r="S10" s="59">
        <f ca="1">AVERAGE(OFFSET($R$3,0,0,'Données projet'!$E$9+1,1))-AVERAGE(OFFSET($H$3,0,0,'Données projet'!$E$9+1,1))</f>
        <v>39.053454142601367</v>
      </c>
      <c r="T10" s="59">
        <f t="shared" si="34"/>
        <v>225.79068168427801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4.7423999999999999</v>
      </c>
      <c r="D11" s="11">
        <f t="shared" si="32"/>
        <v>1.8233248813355514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50.682788557677945</v>
      </c>
      <c r="H11" s="67">
        <f t="shared" si="1"/>
        <v>304.76863750165938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12.433333333333334</v>
      </c>
      <c r="N11" s="13">
        <f>IF('Données projet'!$A$36&gt;35,N10+M11-V10,IF(A11&lt;'Données projet'!$A$36,$K$205^A11,IF(A11='Données projet'!$A$36,'Données projet'!$B$36,N10+M11-V10)))</f>
        <v>11.075982445455821</v>
      </c>
      <c r="O11" s="13">
        <f>N11*VLOOKUP('Données projet'!$B$9,Paramètres!$A$1:$I$89,3,0)*VLOOKUP('Données projet'!$B$9,Paramètres!$A$1:$I$89,5,0)</f>
        <v>5.6328016324610131</v>
      </c>
      <c r="P11" s="13">
        <f t="shared" si="33"/>
        <v>2.1227174751616662</v>
      </c>
      <c r="Q11" s="20">
        <f t="shared" si="2"/>
        <v>13.507529112442832</v>
      </c>
      <c r="R11" s="59">
        <f t="shared" si="0"/>
        <v>306.84086244577617</v>
      </c>
      <c r="S11" s="59">
        <f ca="1">AVERAGE(OFFSET($R$3,0,0,'Données projet'!$E$9+1,1))-AVERAGE(OFFSET($H$3,0,0,'Données projet'!$E$9+1,1))</f>
        <v>39.053454142601367</v>
      </c>
      <c r="T11" s="59">
        <f t="shared" si="34"/>
        <v>225.79068168427801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5.3352000000000004</v>
      </c>
      <c r="D12" s="11">
        <f t="shared" si="32"/>
        <v>2.0233099967312582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56.802533308100955</v>
      </c>
      <c r="H12" s="67">
        <f t="shared" si="1"/>
        <v>306.1494049109736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12.433333333333334</v>
      </c>
      <c r="N12" s="13">
        <f>IF('Données projet'!$A$36&gt;35,N11+M12-V11,IF(A12&lt;'Données projet'!$A$36,$K$205^A12,IF(A12='Données projet'!$A$36,'Données projet'!$B$36,N11+M12-V11)))</f>
        <v>14.959946523968597</v>
      </c>
      <c r="O12" s="13">
        <f>N12*VLOOKUP('Données projet'!$B$9,Paramètres!$A$1:$I$89,3,0)*VLOOKUP('Données projet'!$B$9,Paramètres!$A$1:$I$89,5,0)</f>
        <v>7.6080304042294697</v>
      </c>
      <c r="P12" s="13">
        <f t="shared" si="33"/>
        <v>2.768498010201025</v>
      </c>
      <c r="Q12" s="20">
        <f t="shared" si="2"/>
        <v>18.072453655133113</v>
      </c>
      <c r="R12" s="59">
        <f t="shared" si="0"/>
        <v>311.40578698846645</v>
      </c>
      <c r="S12" s="59">
        <f ca="1">AVERAGE(OFFSET($R$3,0,0,'Données projet'!$E$9+1,1))-AVERAGE(OFFSET($H$3,0,0,'Données projet'!$E$9+1,1))</f>
        <v>39.053454142601367</v>
      </c>
      <c r="T12" s="59">
        <f t="shared" si="34"/>
        <v>225.79068168427801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5.9280000000000008</v>
      </c>
      <c r="D13" s="11">
        <f t="shared" si="32"/>
        <v>2.2207197037661026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62.902397713282205</v>
      </c>
      <c r="H13" s="67">
        <f t="shared" si="1"/>
        <v>307.52568681739263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12.433333333333334</v>
      </c>
      <c r="N13" s="13">
        <f>IF('Données projet'!$A$36&gt;35,N12+M13-V12,IF(A13&lt;'Données projet'!$A$36,$K$205^A13,IF(A13='Données projet'!$A$36,'Données projet'!$B$36,N12+M13-V12)))</f>
        <v>20.205882512193693</v>
      </c>
      <c r="O13" s="13">
        <f>N13*VLOOKUP('Données projet'!$B$9,Paramètres!$A$1:$I$89,3,0)*VLOOKUP('Données projet'!$B$9,Paramètres!$A$1:$I$89,5,0)</f>
        <v>10.275903610401224</v>
      </c>
      <c r="P13" s="13">
        <f t="shared" si="33"/>
        <v>3.6107401583921583</v>
      </c>
      <c r="Q13" s="20">
        <f t="shared" si="2"/>
        <v>24.185904563981804</v>
      </c>
      <c r="R13" s="59">
        <f t="shared" si="0"/>
        <v>317.51923789731512</v>
      </c>
      <c r="S13" s="59">
        <f ca="1">AVERAGE(OFFSET($R$3,0,0,'Données projet'!$E$9+1,1))-AVERAGE(OFFSET($H$3,0,0,'Données projet'!$E$9+1,1))</f>
        <v>39.053454142601367</v>
      </c>
      <c r="T13" s="59">
        <f t="shared" si="34"/>
        <v>225.79068168427801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6.5208000000000013</v>
      </c>
      <c r="D14" s="11">
        <f t="shared" si="32"/>
        <v>2.4158408609871413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68.984596119900758</v>
      </c>
      <c r="H14" s="67">
        <f t="shared" si="1"/>
        <v>308.89798283288593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12.433333333333334</v>
      </c>
      <c r="N14" s="13">
        <f>IF('Données projet'!$A$36&gt;35,N13+M14-V13,IF(A14&lt;'Données projet'!$A$36,$K$205^A14,IF(A14='Données projet'!$A$36,'Données projet'!$B$36,N13+M14-V13)))</f>
        <v>27.291386867087972</v>
      </c>
      <c r="O14" s="13">
        <f>N14*VLOOKUP('Données projet'!$B$9,Paramètres!$A$1:$I$89,3,0)*VLOOKUP('Données projet'!$B$9,Paramètres!$A$1:$I$89,5,0)</f>
        <v>13.87930770512626</v>
      </c>
      <c r="P14" s="13">
        <f t="shared" si="33"/>
        <v>4.7092121588626901</v>
      </c>
      <c r="Q14" s="20">
        <f t="shared" si="2"/>
        <v>32.375005429780749</v>
      </c>
      <c r="R14" s="59">
        <f t="shared" si="0"/>
        <v>325.70833876311406</v>
      </c>
      <c r="S14" s="59">
        <f ca="1">AVERAGE(OFFSET($R$3,0,0,'Données projet'!$E$9+1,1))-AVERAGE(OFFSET($H$3,0,0,'Données projet'!$E$9+1,1))</f>
        <v>39.053454142601367</v>
      </c>
      <c r="T14" s="59">
        <f t="shared" si="34"/>
        <v>225.79068168427801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7.1136000000000017</v>
      </c>
      <c r="D15" s="11">
        <f t="shared" si="32"/>
        <v>2.6089051793396729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75.050917173850124</v>
      </c>
      <c r="H15" s="67">
        <f t="shared" si="1"/>
        <v>310.26669652068324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12.433333333333334</v>
      </c>
      <c r="N15" s="13">
        <f>IF('Données projet'!$A$36&gt;35,N14+M15-V14,IF(A15&lt;'Données projet'!$A$36,$K$205^A15,IF(A15='Données projet'!$A$36,'Données projet'!$B$36,N14+M15-V14)))</f>
        <v>36.861532609604339</v>
      </c>
      <c r="O15" s="13">
        <f>N15*VLOOKUP('Données projet'!$B$9,Paramètres!$A$1:$I$89,3,0)*VLOOKUP('Données projet'!$B$9,Paramètres!$A$1:$I$89,5,0)</f>
        <v>18.746301023940383</v>
      </c>
      <c r="P15" s="13">
        <f t="shared" si="33"/>
        <v>6.1418651535023052</v>
      </c>
      <c r="Q15" s="20">
        <f t="shared" si="2"/>
        <v>43.346889425712682</v>
      </c>
      <c r="R15" s="59">
        <f t="shared" si="0"/>
        <v>336.68022275904599</v>
      </c>
      <c r="S15" s="59">
        <f ca="1">AVERAGE(OFFSET($R$3,0,0,'Données projet'!$E$9+1,1))-AVERAGE(OFFSET($H$3,0,0,'Données projet'!$E$9+1,1))</f>
        <v>39.053454142601367</v>
      </c>
      <c r="T15" s="59">
        <f t="shared" si="34"/>
        <v>225.79068168427801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7.7064000000000021</v>
      </c>
      <c r="D16" s="11">
        <f t="shared" si="32"/>
        <v>2.8001035490888233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81.102834414019014</v>
      </c>
      <c r="H16" s="67">
        <f t="shared" si="1"/>
        <v>311.63216034799638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12.433333333333334</v>
      </c>
      <c r="N16" s="13">
        <f>IF('Données projet'!$A$36&gt;35,N15+M16-V15,IF(A16&lt;'Données projet'!$A$36,$K$205^A16,IF(A16='Données projet'!$A$36,'Données projet'!$B$36,N15+M16-V15)))</f>
        <v>49.787597564986143</v>
      </c>
      <c r="O16" s="13">
        <f>N16*VLOOKUP('Données projet'!$B$9,Paramètres!$A$1:$I$89,3,0)*VLOOKUP('Données projet'!$B$9,Paramètres!$A$1:$I$89,5,0)</f>
        <v>25.319980617649353</v>
      </c>
      <c r="P16" s="13">
        <f t="shared" si="33"/>
        <v>8.0103648532403664</v>
      </c>
      <c r="Q16" s="20">
        <f t="shared" si="2"/>
        <v>58.050351695132917</v>
      </c>
      <c r="R16" s="59">
        <f t="shared" si="0"/>
        <v>351.38368502846623</v>
      </c>
      <c r="S16" s="59">
        <f ca="1">AVERAGE(OFFSET($R$3,0,0,'Données projet'!$E$9+1,1))-AVERAGE(OFFSET($H$3,0,0,'Données projet'!$E$9+1,1))</f>
        <v>39.053454142601367</v>
      </c>
      <c r="T16" s="59">
        <f t="shared" si="34"/>
        <v>225.79068168427801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8.2992000000000026</v>
      </c>
      <c r="D17" s="11">
        <f t="shared" si="32"/>
        <v>2.9895958244904088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87.141581803083866</v>
      </c>
      <c r="H17" s="67">
        <f t="shared" si="1"/>
        <v>312.99465272765411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12.433333333333334</v>
      </c>
      <c r="N17" s="13">
        <f>IF('Données projet'!$A$36&gt;35,N16+M17-V16,IF(A17&lt;'Données projet'!$A$36,$K$205^A17,IF(A17='Données projet'!$A$36,'Données projet'!$B$36,N16+M17-V16)))</f>
        <v>67.246386566334934</v>
      </c>
      <c r="O17" s="13">
        <f>N17*VLOOKUP('Données projet'!$B$9,Paramètres!$A$1:$I$89,3,0)*VLOOKUP('Données projet'!$B$9,Paramètres!$A$1:$I$89,5,0)</f>
        <v>34.198822352175291</v>
      </c>
      <c r="P17" s="13">
        <f t="shared" si="33"/>
        <v>10.447306067186922</v>
      </c>
      <c r="Q17" s="20">
        <f t="shared" si="2"/>
        <v>77.758673663722519</v>
      </c>
      <c r="R17" s="59">
        <f t="shared" si="0"/>
        <v>371.09200699705582</v>
      </c>
      <c r="S17" s="59">
        <f ca="1">AVERAGE(OFFSET($R$3,0,0,'Données projet'!$E$9+1,1))-AVERAGE(OFFSET($H$3,0,0,'Données projet'!$E$9+1,1))</f>
        <v>39.053454142601367</v>
      </c>
      <c r="T17" s="59">
        <f t="shared" si="34"/>
        <v>225.79068168427801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8.892000000000003</v>
      </c>
      <c r="D18" s="11">
        <f t="shared" si="32"/>
        <v>3.1775177294642694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93.168207034461076</v>
      </c>
      <c r="H18" s="67">
        <f t="shared" si="1"/>
        <v>314.35441004548358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12.433333333333334</v>
      </c>
      <c r="N18" s="13">
        <f>IF('Données projet'!$A$36&gt;35,N17+M18-V17,IF(A18&lt;'Données projet'!$A$36,$K$205^A18,IF(A18='Données projet'!$A$36,'Données projet'!$B$36,N17+M18-V17)))</f>
        <v>90.82736921231097</v>
      </c>
      <c r="O18" s="13">
        <f>N18*VLOOKUP('Données projet'!$B$9,Paramètres!$A$1:$I$89,3,0)*VLOOKUP('Données projet'!$B$9,Paramètres!$A$1:$I$89,5,0)</f>
        <v>46.191166886612869</v>
      </c>
      <c r="P18" s="13">
        <f t="shared" si="33"/>
        <v>13.625622061063632</v>
      </c>
      <c r="Q18" s="20">
        <f t="shared" si="2"/>
        <v>104.18090741720323</v>
      </c>
      <c r="R18" s="59">
        <f t="shared" si="0"/>
        <v>397.51424075053654</v>
      </c>
      <c r="S18" s="59">
        <f ca="1">AVERAGE(OFFSET($R$3,0,0,'Données projet'!$E$9+1,1))-AVERAGE(OFFSET($H$3,0,0,'Données projet'!$E$9+1,1))</f>
        <v>39.053454142601367</v>
      </c>
      <c r="T18" s="59">
        <f t="shared" si="34"/>
        <v>225.79068168427801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9.4848000000000035</v>
      </c>
      <c r="D19" s="11">
        <f t="shared" si="32"/>
        <v>3.3639858676037644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99.183610206064188</v>
      </c>
      <c r="H19" s="67">
        <f t="shared" si="1"/>
        <v>315.71163538607652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12.433333333333334</v>
      </c>
      <c r="N19" s="13">
        <f>IF('Données projet'!$A$36&gt;35,N18+M19-V18,IF(A19&lt;'Données projet'!$A$36,$K$205^A19,IF(A19='Données projet'!$A$36,'Données projet'!$B$36,N18+M19-V18)))</f>
        <v>122.67738713204551</v>
      </c>
      <c r="O19" s="13">
        <f>N19*VLOOKUP('Données projet'!$B$9,Paramètres!$A$1:$I$89,3,0)*VLOOKUP('Données projet'!$B$9,Paramètres!$A$1:$I$89,5,0)</f>
        <v>62.388811999873077</v>
      </c>
      <c r="P19" s="13">
        <f t="shared" si="33"/>
        <v>17.770856463568197</v>
      </c>
      <c r="Q19" s="20">
        <f t="shared" si="2"/>
        <v>139.6114225738269</v>
      </c>
      <c r="R19" s="59">
        <f t="shared" si="0"/>
        <v>432.94475590716024</v>
      </c>
      <c r="S19" s="59">
        <f ca="1">AVERAGE(OFFSET($R$3,0,0,'Données projet'!$E$9+1,1))-AVERAGE(OFFSET($H$3,0,0,'Données projet'!$E$9+1,1))</f>
        <v>39.053454142601367</v>
      </c>
      <c r="T19" s="59">
        <f t="shared" si="34"/>
        <v>225.79068168427801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10.077600000000004</v>
      </c>
      <c r="D20" s="11">
        <f t="shared" si="32"/>
        <v>3.5491014432460419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105.18857254435544</v>
      </c>
      <c r="H20" s="67">
        <f t="shared" si="1"/>
        <v>317.06650501365351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12.433333333333334</v>
      </c>
      <c r="N20" s="13">
        <f>IF('Données projet'!$A$36&gt;35,N19+M20-V19,IF(A20&lt;'Données projet'!$A$36,$K$205^A20,IF(A20='Données projet'!$A$36,'Données projet'!$B$36,N19+M20-V19)))</f>
        <v>165.69610508443401</v>
      </c>
      <c r="O20" s="13">
        <f>N20*VLOOKUP('Données projet'!$B$9,Paramètres!$A$1:$I$89,3,0)*VLOOKUP('Données projet'!$B$9,Paramètres!$A$1:$I$89,5,0)</f>
        <v>84.266411201739757</v>
      </c>
      <c r="P20" s="13">
        <f t="shared" si="33"/>
        <v>23.177168575017095</v>
      </c>
      <c r="Q20" s="20">
        <f t="shared" si="2"/>
        <v>187.13090144451817</v>
      </c>
      <c r="R20" s="59">
        <f t="shared" si="0"/>
        <v>480.46423477785152</v>
      </c>
      <c r="S20" s="59">
        <f ca="1">AVERAGE(OFFSET($R$3,0,0,'Données projet'!$E$9+1,1))-AVERAGE(OFFSET($H$3,0,0,'Données projet'!$E$9+1,1))</f>
        <v>39.053454142601367</v>
      </c>
      <c r="T20" s="59">
        <f t="shared" si="34"/>
        <v>225.79068168427801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10.670400000000004</v>
      </c>
      <c r="D21" s="11">
        <f t="shared" si="32"/>
        <v>3.7329530817348471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111.18377817479535</v>
      </c>
      <c r="H21" s="67">
        <f t="shared" si="1"/>
        <v>318.4191732840215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223.8</v>
      </c>
      <c r="L21" s="12">
        <f>VLOOKUP(A21,'Données projet'!$A$35:$I$55,9,0)</f>
        <v>12.433333333333334</v>
      </c>
      <c r="M21" s="12">
        <f t="array" ref="M21">INDEX(L:L,MIN(IF(ISNUMBER(L21:L217),ROW(L21:L217),"")))</f>
        <v>12.433333333333334</v>
      </c>
      <c r="N21" s="13">
        <f>IF('Données projet'!$A$36&gt;35,N20+M21-V20,IF(A21&lt;'Données projet'!$A$36,$K$205^A21,IF(A21='Données projet'!$A$36,'Données projet'!$B$36,N20+M21-V20)))</f>
        <v>223.8</v>
      </c>
      <c r="O21" s="13">
        <f>N21*VLOOKUP('Données projet'!$B$9,Paramètres!$A$1:$I$89,3,0)*VLOOKUP('Données projet'!$B$9,Paramètres!$A$1:$I$89,5,0)</f>
        <v>113.81572800000002</v>
      </c>
      <c r="P21" s="13">
        <f t="shared" si="33"/>
        <v>30.228207866966223</v>
      </c>
      <c r="Q21" s="20">
        <f t="shared" si="2"/>
        <v>250.87652163496622</v>
      </c>
      <c r="R21" s="59">
        <f t="shared" si="0"/>
        <v>544.20985496829951</v>
      </c>
      <c r="S21" s="59">
        <f ca="1">AVERAGE(OFFSET($R$3,0,0,'Données projet'!$E$9+1,1))-AVERAGE(OFFSET($H$3,0,0,'Données projet'!$E$9+1,1))</f>
        <v>39.053454142601367</v>
      </c>
      <c r="T21" s="59">
        <f t="shared" si="34"/>
        <v>225.79068168427801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223.8</v>
      </c>
      <c r="W21" s="16">
        <f>IF(ISNA(VLOOKUP(A21,'Données projet'!$A$35:$I$55,5,0)),0%,VLOOKUP(A21,'Données projet'!$A$35:$I$55,5,0)*VLOOKUP('Données projet'!$B$9,Paramètres!$A$1:$I$89,7,0))</f>
        <v>0.46199999999999997</v>
      </c>
      <c r="X21" s="16">
        <f>IF(ISNA(VLOOKUP(A21,'Données projet'!$A$35:$I$55,6,0)),0%,VLOOKUP(A21,'Données projet'!$A$35:$I$55,6,0)*VLOOKUP('Données projet'!$B$9,Paramètres!$A$1:$I$89,7,0))</f>
        <v>6.6000000000000003E-2</v>
      </c>
      <c r="Y21" s="16">
        <f>IF(ISNA(VLOOKUP(A21,'Données projet'!$A$35:$I$55,7,0)),0%,VLOOKUP(A21,'Données projet'!$A$35:$I$55,7,0))</f>
        <v>0.1</v>
      </c>
      <c r="Z21" s="21">
        <f>EXP(-LN(2)/35)*Z20+(1-EXP(-LN(2)/35))/(LN(2)/35)*V21*W21*VLOOKUP('Données projet'!$B$9,Paramètres!$A$1:$I$89,3,0)*0.475*44/12</f>
        <v>58.128801205388321</v>
      </c>
      <c r="AA21" s="21">
        <f>EXP(-LN(2)/25)*AA20+(1-EXP(-LN(2)/25))/(LN(2)/25)*Calculateur!V21*Calculateur!X21*VLOOKUP('Données projet'!$B$9,Paramètres!$A$1:$I$89,3,0)*0.475*44/12</f>
        <v>8.271417995176142</v>
      </c>
      <c r="AB21" s="21">
        <f>EXP(-LN(2)/2)*AB20+(1-EXP(-LN(2)/2))/(LN(2)/2)*V21*Y21*VLOOKUP('Données projet'!$B$9,Paramètres!$A$1:$I$89,3,0)*0.475*44/12</f>
        <v>10.738820267340612</v>
      </c>
      <c r="AC21" s="22">
        <f t="shared" si="3"/>
        <v>77.139039467905079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11.263200000000005</v>
      </c>
      <c r="D22" s="11">
        <f t="shared" si="32"/>
        <v>3.9156190049906194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117.1698309157171</v>
      </c>
      <c r="H22" s="67">
        <f t="shared" si="1"/>
        <v>319.76977643369196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39.053454142601367</v>
      </c>
      <c r="T22" s="59">
        <f t="shared" si="34"/>
        <v>225.79068168427801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56.988930868818493</v>
      </c>
      <c r="AA22" s="21">
        <f>EXP(-LN(2)/25)*AA21+(1-EXP(-LN(2)/25))/(LN(2)/25)*Calculateur!V22*Calculateur!X22*VLOOKUP('Données projet'!$B$9,Paramètres!$A$1:$I$89,3,0)*0.475*44/12</f>
        <v>8.0452356351230829</v>
      </c>
      <c r="AB22" s="21">
        <f>EXP(-LN(2)/2)*AB21+(1-EXP(-LN(2)/2))/(LN(2)/2)*V22*Y22*VLOOKUP('Données projet'!$B$9,Paramètres!$A$1:$I$89,3,0)*0.475*44/12</f>
        <v>7.5934926329800803</v>
      </c>
      <c r="AC22" s="22">
        <f t="shared" si="3"/>
        <v>72.627659136921665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11.856000000000005</v>
      </c>
      <c r="D23" s="11">
        <f t="shared" si="32"/>
        <v>4.0971687359997011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123.14726743578721</v>
      </c>
      <c r="H23" s="67">
        <f t="shared" si="1"/>
        <v>321.11843554853283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39.053454142601367</v>
      </c>
      <c r="T23" s="59">
        <f t="shared" si="34"/>
        <v>225.79068168427801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55.871412694296545</v>
      </c>
      <c r="AA23" s="21">
        <f>EXP(-LN(2)/25)*AA22+(1-EXP(-LN(2)/25))/(LN(2)/25)*Calculateur!V23*Calculateur!X23*VLOOKUP('Données projet'!$B$9,Paramètres!$A$1:$I$89,3,0)*0.475*44/12</f>
        <v>7.8252382436000882</v>
      </c>
      <c r="AB23" s="21">
        <f>EXP(-LN(2)/2)*AB22+(1-EXP(-LN(2)/2))/(LN(2)/2)*V23*Y23*VLOOKUP('Données projet'!$B$9,Paramètres!$A$1:$I$89,3,0)*0.475*44/12</f>
        <v>5.3694101336703062</v>
      </c>
      <c r="AC23" s="22">
        <f t="shared" si="3"/>
        <v>69.066061071566935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12.448800000000006</v>
      </c>
      <c r="D24" s="11">
        <f t="shared" si="32"/>
        <v>4.277664452717965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129.11656770519136</v>
      </c>
      <c r="H24" s="67">
        <f t="shared" si="1"/>
        <v>322.46525892181711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39.053454142601367</v>
      </c>
      <c r="T24" s="59">
        <f t="shared" si="34"/>
        <v>225.79068168427801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54.775808369558192</v>
      </c>
      <c r="AA24" s="21">
        <f>EXP(-LN(2)/25)*AA23+(1-EXP(-LN(2)/25))/(LN(2)/25)*Calculateur!V24*Calculateur!X24*VLOOKUP('Données projet'!$B$9,Paramètres!$A$1:$I$89,3,0)*0.475*44/12</f>
        <v>7.6112566923174496</v>
      </c>
      <c r="AB24" s="21">
        <f>EXP(-LN(2)/2)*AB23+(1-EXP(-LN(2)/2))/(LN(2)/2)*V24*Y24*VLOOKUP('Données projet'!$B$9,Paramètres!$A$1:$I$89,3,0)*0.475*44/12</f>
        <v>3.7967463164900401</v>
      </c>
      <c r="AC24" s="22">
        <f t="shared" si="3"/>
        <v>66.183811378365675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13.041600000000006</v>
      </c>
      <c r="D25" s="11">
        <f t="shared" si="32"/>
        <v>4.4571620767812288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135.07816339971478</v>
      </c>
      <c r="H25" s="67">
        <f t="shared" si="1"/>
        <v>323.81034395039399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39.053454142601367</v>
      </c>
      <c r="T25" s="59">
        <f t="shared" si="34"/>
        <v>225.79068168427801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53.701688177375303</v>
      </c>
      <c r="AA25" s="21">
        <f>EXP(-LN(2)/25)*AA24+(1-EXP(-LN(2)/25))/(LN(2)/25)*Calculateur!V25*Calculateur!X25*VLOOKUP('Données projet'!$B$9,Paramètres!$A$1:$I$89,3,0)*0.475*44/12</f>
        <v>7.4031264778074348</v>
      </c>
      <c r="AB25" s="21">
        <f>EXP(-LN(2)/2)*AB24+(1-EXP(-LN(2)/2))/(LN(2)/2)*V25*Y25*VLOOKUP('Données projet'!$B$9,Paramètres!$A$1:$I$89,3,0)*0.475*44/12</f>
        <v>2.6847050668351531</v>
      </c>
      <c r="AC25" s="22">
        <f t="shared" si="3"/>
        <v>63.789519722017886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13.634400000000007</v>
      </c>
      <c r="D26" s="11">
        <f t="shared" si="32"/>
        <v>4.6357121586728187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141.03244473361477</v>
      </c>
      <c r="H26" s="67">
        <f t="shared" si="1"/>
        <v>325.15377867635516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39.053454142601367</v>
      </c>
      <c r="T26" s="59">
        <f t="shared" si="34"/>
        <v>225.79068168427801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52.648630827012497</v>
      </c>
      <c r="AA26" s="21">
        <f>EXP(-LN(2)/25)*AA25+(1-EXP(-LN(2)/25))/(LN(2)/25)*Calculateur!V26*Calculateur!X26*VLOOKUP('Données projet'!$B$9,Paramètres!$A$1:$I$89,3,0)*0.475*44/12</f>
        <v>7.2006875949582891</v>
      </c>
      <c r="AB26" s="21">
        <f>EXP(-LN(2)/2)*AB25+(1-EXP(-LN(2)/2))/(LN(2)/2)*V26*Y26*VLOOKUP('Données projet'!$B$9,Paramètres!$A$1:$I$89,3,0)*0.475*44/12</f>
        <v>1.8983731582450201</v>
      </c>
      <c r="AC26" s="22">
        <f t="shared" si="3"/>
        <v>61.747691580215808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14.227200000000007</v>
      </c>
      <c r="D27" s="11">
        <f t="shared" si="32"/>
        <v>4.8133606046051618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146.9797660706364</v>
      </c>
      <c r="H27" s="67">
        <f t="shared" si="1"/>
        <v>326.49564305302067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39.053454142601367</v>
      </c>
      <c r="T27" s="59">
        <f t="shared" si="34"/>
        <v>225.79068168427801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51.616223288988742</v>
      </c>
      <c r="AA27" s="21">
        <f>EXP(-LN(2)/25)*AA26+(1-EXP(-LN(2)/25))/(LN(2)/25)*Calculateur!V27*Calculateur!X27*VLOOKUP('Données projet'!$B$9,Paramètres!$A$1:$I$89,3,0)*0.475*44/12</f>
        <v>7.0037844140064518</v>
      </c>
      <c r="AB27" s="21">
        <f>EXP(-LN(2)/2)*AB26+(1-EXP(-LN(2)/2))/(LN(2)/2)*V27*Y27*VLOOKUP('Données projet'!$B$9,Paramètres!$A$1:$I$89,3,0)*0.475*44/12</f>
        <v>1.3423525334175765</v>
      </c>
      <c r="AC27" s="22">
        <f t="shared" si="3"/>
        <v>59.962360236412771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14.820000000000007</v>
      </c>
      <c r="D28" s="11">
        <f t="shared" si="32"/>
        <v>4.9901492788407484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152.92045057350757</v>
      </c>
      <c r="H28" s="67">
        <f t="shared" si="1"/>
        <v>327.83600999398095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39.053454142601367</v>
      </c>
      <c r="T28" s="59">
        <f t="shared" si="34"/>
        <v>225.79068168427801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50.604060633079214</v>
      </c>
      <c r="AA28" s="21">
        <f>EXP(-LN(2)/25)*AA27+(1-EXP(-LN(2)/25))/(LN(2)/25)*Calculateur!V28*Calculateur!X28*VLOOKUP('Données projet'!$B$9,Paramètres!$A$1:$I$89,3,0)*0.475*44/12</f>
        <v>6.8122655608924303</v>
      </c>
      <c r="AB28" s="21">
        <f>EXP(-LN(2)/2)*AB27+(1-EXP(-LN(2)/2))/(LN(2)/2)*V28*Y28*VLOOKUP('Données projet'!$B$9,Paramètres!$A$1:$I$89,3,0)*0.475*44/12</f>
        <v>0.94918657912251003</v>
      </c>
      <c r="AC28" s="22">
        <f t="shared" si="3"/>
        <v>58.365512773094153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15.412800000000008</v>
      </c>
      <c r="D29" s="11">
        <f t="shared" si="32"/>
        <v>5.1661165069289954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158.85479408857478</v>
      </c>
      <c r="H29" s="67">
        <f t="shared" si="1"/>
        <v>329.17494624956799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39.053454142601367</v>
      </c>
      <c r="T29" s="59">
        <f t="shared" si="34"/>
        <v>225.79068168427801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49.611745869493809</v>
      </c>
      <c r="AA29" s="21">
        <f>EXP(-LN(2)/25)*AA28+(1-EXP(-LN(2)/25))/(LN(2)/25)*Calculateur!V29*Calculateur!X29*VLOOKUP('Données projet'!$B$9,Paramètres!$A$1:$I$89,3,0)*0.475*44/12</f>
        <v>6.6259838008883509</v>
      </c>
      <c r="AB29" s="21">
        <f>EXP(-LN(2)/2)*AB28+(1-EXP(-LN(2)/2))/(LN(2)/2)*V29*Y29*VLOOKUP('Données projet'!$B$9,Paramètres!$A$1:$I$89,3,0)*0.475*44/12</f>
        <v>0.67117626670878827</v>
      </c>
      <c r="AC29" s="22">
        <f t="shared" si="3"/>
        <v>56.90890593709095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16.005600000000008</v>
      </c>
      <c r="D30" s="11">
        <f t="shared" si="32"/>
        <v>5.3412974993444182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164.78306841599206</v>
      </c>
      <c r="H30" s="67">
        <f t="shared" si="1"/>
        <v>330.51251314469152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39.053454142601367</v>
      </c>
      <c r="T30" s="59">
        <f t="shared" si="34"/>
        <v>225.79068168427801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48.638889793170073</v>
      </c>
      <c r="AA30" s="21">
        <f>EXP(-LN(2)/25)*AA29+(1-EXP(-LN(2)/25))/(LN(2)/25)*Calculateur!V30*Calculateur!X30*VLOOKUP('Données projet'!$B$9,Paramètres!$A$1:$I$89,3,0)*0.475*44/12</f>
        <v>6.444795925407715</v>
      </c>
      <c r="AB30" s="21">
        <f>EXP(-LN(2)/2)*AB29+(1-EXP(-LN(2)/2))/(LN(2)/2)*V30*Y30*VLOOKUP('Données projet'!$B$9,Paramètres!$A$1:$I$89,3,0)*0.475*44/12</f>
        <v>0.47459328956125502</v>
      </c>
      <c r="AC30" s="22">
        <f t="shared" si="3"/>
        <v>55.558279008139046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16.598400000000009</v>
      </c>
      <c r="D31" s="11">
        <f t="shared" si="32"/>
        <v>5.5157247105992591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170.70552408181891</v>
      </c>
      <c r="H31" s="67">
        <f t="shared" si="1"/>
        <v>331.84876720429372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39.053454142601367</v>
      </c>
      <c r="T31" s="59">
        <f t="shared" si="34"/>
        <v>225.79068168427801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47.685110831119431</v>
      </c>
      <c r="AA31" s="21">
        <f>EXP(-LN(2)/25)*AA30+(1-EXP(-LN(2)/25))/(LN(2)/25)*Calculateur!V31*Calculateur!X31*VLOOKUP('Données projet'!$B$9,Paramètres!$A$1:$I$89,3,0)*0.475*44/12</f>
        <v>6.2685626419103526</v>
      </c>
      <c r="AB31" s="21">
        <f>EXP(-LN(2)/2)*AB30+(1-EXP(-LN(2)/2))/(LN(2)/2)*V31*Y31*VLOOKUP('Données projet'!$B$9,Paramètres!$A$1:$I$89,3,0)*0.475*44/12</f>
        <v>0.33558813335439414</v>
      </c>
      <c r="AC31" s="22">
        <f t="shared" si="3"/>
        <v>54.289261606384173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17.191200000000009</v>
      </c>
      <c r="D32" s="11">
        <f t="shared" si="32"/>
        <v>5.6894281456126912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176.62239270297525</v>
      </c>
      <c r="H32" s="67">
        <f t="shared" si="1"/>
        <v>333.18376068694209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39.053454142601367</v>
      </c>
      <c r="T32" s="59">
        <f t="shared" si="34"/>
        <v>225.79068168427801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46.750034892766877</v>
      </c>
      <c r="AA32" s="21">
        <f>EXP(-LN(2)/25)*AA31+(1-EXP(-LN(2)/25))/(LN(2)/25)*Calculateur!V32*Calculateur!X32*VLOOKUP('Données projet'!$B$9,Paramètres!$A$1:$I$89,3,0)*0.475*44/12</f>
        <v>6.0971484668179317</v>
      </c>
      <c r="AB32" s="21">
        <f>EXP(-LN(2)/2)*AB31+(1-EXP(-LN(2)/2))/(LN(2)/2)*V32*Y32*VLOOKUP('Données projet'!$B$9,Paramètres!$A$1:$I$89,3,0)*0.475*44/12</f>
        <v>0.23729664478062751</v>
      </c>
      <c r="AC32" s="22">
        <f t="shared" si="3"/>
        <v>53.084480004365439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17.78400000000001</v>
      </c>
      <c r="D33" s="11">
        <f t="shared" si="32"/>
        <v>5.8624356226349637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182.53388901683138</v>
      </c>
      <c r="H33" s="67">
        <f t="shared" si="1"/>
        <v>334.51754204275591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39.053454142601367</v>
      </c>
      <c r="T33" s="59">
        <f t="shared" si="34"/>
        <v>225.79068168427801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45.833295223225413</v>
      </c>
      <c r="AA33" s="21">
        <f>EXP(-LN(2)/25)*AA32+(1-EXP(-LN(2)/25))/(LN(2)/25)*Calculateur!V33*Calculateur!X33*VLOOKUP('Données projet'!$B$9,Paramètres!$A$1:$I$89,3,0)*0.475*44/12</f>
        <v>5.9304216213576924</v>
      </c>
      <c r="AB33" s="21">
        <f>EXP(-LN(2)/2)*AB32+(1-EXP(-LN(2)/2))/(LN(2)/2)*V33*Y33*VLOOKUP('Données projet'!$B$9,Paramètres!$A$1:$I$89,3,0)*0.475*44/12</f>
        <v>0.16779406667719707</v>
      </c>
      <c r="AC33" s="22">
        <f t="shared" si="3"/>
        <v>51.931510911260304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18.37680000000001</v>
      </c>
      <c r="D34" s="11">
        <f t="shared" si="32"/>
        <v>6.0347730001302278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188.44021263258432</v>
      </c>
      <c r="H34" s="67">
        <f t="shared" si="1"/>
        <v>335.85015630856014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39.053454142601367</v>
      </c>
      <c r="T34" s="59">
        <f t="shared" si="34"/>
        <v>225.79068168427801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44.934532259447664</v>
      </c>
      <c r="AA34" s="21">
        <f>EXP(-LN(2)/25)*AA33+(1-EXP(-LN(2)/25))/(LN(2)/25)*Calculateur!V34*Calculateur!X34*VLOOKUP('Données projet'!$B$9,Paramètres!$A$1:$I$89,3,0)*0.475*44/12</f>
        <v>5.768253930254347</v>
      </c>
      <c r="AB34" s="21">
        <f>EXP(-LN(2)/2)*AB33+(1-EXP(-LN(2)/2))/(LN(2)/2)*V34*Y34*VLOOKUP('Données projet'!$B$9,Paramètres!$A$1:$I$89,3,0)*0.475*44/12</f>
        <v>0.11864832239031375</v>
      </c>
      <c r="AC34" s="22">
        <f t="shared" si="3"/>
        <v>50.821434512092324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18.96960000000001</v>
      </c>
      <c r="D35" s="11">
        <f t="shared" si="32"/>
        <v>6.2064643735617731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194.34154955030149</v>
      </c>
      <c r="H35" s="67">
        <f t="shared" si="1"/>
        <v>337.18164545062007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39.053454142601367</v>
      </c>
      <c r="T35" s="59">
        <f t="shared" si="34"/>
        <v>225.79068168427801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44.053393489198321</v>
      </c>
      <c r="AA35" s="21">
        <f>EXP(-LN(2)/25)*AA34+(1-EXP(-LN(2)/25))/(LN(2)/25)*Calculateur!V35*Calculateur!X35*VLOOKUP('Données projet'!$B$9,Paramètres!$A$1:$I$89,3,0)*0.475*44/12</f>
        <v>5.6105207231922511</v>
      </c>
      <c r="AB35" s="21">
        <f>EXP(-LN(2)/2)*AB34+(1-EXP(-LN(2)/2))/(LN(2)/2)*V35*Y35*VLOOKUP('Données projet'!$B$9,Paramètres!$A$1:$I$89,3,0)*0.475*44/12</f>
        <v>8.3897033338598534E-2</v>
      </c>
      <c r="AC35" s="22">
        <f t="shared" si="3"/>
        <v>49.747811245729174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19.562400000000011</v>
      </c>
      <c r="D36" s="11">
        <f t="shared" si="32"/>
        <v>6.3775322468881122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200.23807348475043</v>
      </c>
      <c r="H36" s="67">
        <f t="shared" si="1"/>
        <v>338.51204866333012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39.053454142601367</v>
      </c>
      <c r="T36" s="59">
        <f t="shared" si="34"/>
        <v>225.79068168427801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43.189533312791987</v>
      </c>
      <c r="AA36" s="21">
        <f>EXP(-LN(2)/25)*AA35+(1-EXP(-LN(2)/25))/(LN(2)/25)*Calculateur!V36*Calculateur!X36*VLOOKUP('Données projet'!$B$9,Paramètres!$A$1:$I$89,3,0)*0.475*44/12</f>
        <v>5.4571007389720974</v>
      </c>
      <c r="AB36" s="21">
        <f>EXP(-LN(2)/2)*AB35+(1-EXP(-LN(2)/2))/(LN(2)/2)*V36*Y36*VLOOKUP('Données projet'!$B$9,Paramètres!$A$1:$I$89,3,0)*0.475*44/12</f>
        <v>5.9324161195156877E-2</v>
      </c>
      <c r="AC36" s="22">
        <f t="shared" si="3"/>
        <v>48.705958212959239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20.155200000000011</v>
      </c>
      <c r="D37" s="11">
        <f t="shared" si="32"/>
        <v>6.5479976826875879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206.12994702425519</v>
      </c>
      <c r="H37" s="67">
        <f t="shared" si="1"/>
        <v>339.84140263068088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39.053454142601367</v>
      </c>
      <c r="T37" s="59">
        <f t="shared" si="34"/>
        <v>225.79068168427801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42.342612907542303</v>
      </c>
      <c r="AA37" s="21">
        <f>EXP(-LN(2)/25)*AA36+(1-EXP(-LN(2)/25))/(LN(2)/25)*Calculateur!V37*Calculateur!X37*VLOOKUP('Données projet'!$B$9,Paramètres!$A$1:$I$89,3,0)*0.475*44/12</f>
        <v>5.3078760322884495</v>
      </c>
      <c r="AB37" s="21">
        <f>EXP(-LN(2)/2)*AB36+(1-EXP(-LN(2)/2))/(LN(2)/2)*V37*Y37*VLOOKUP('Données projet'!$B$9,Paramètres!$A$1:$I$89,3,0)*0.475*44/12</f>
        <v>4.1948516669299267E-2</v>
      </c>
      <c r="AC37" s="22">
        <f t="shared" si="3"/>
        <v>47.692437456500052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20.748000000000012</v>
      </c>
      <c r="D38" s="11">
        <f t="shared" si="32"/>
        <v>6.7178804341249849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212.01732264938596</v>
      </c>
      <c r="H38" s="67">
        <f t="shared" si="1"/>
        <v>341.16974175610102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39.053454142601367</v>
      </c>
      <c r="T38" s="59">
        <f t="shared" si="34"/>
        <v>225.79068168427801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41.512300094869126</v>
      </c>
      <c r="AA38" s="21">
        <f>EXP(-LN(2)/25)*AA37+(1-EXP(-LN(2)/25))/(LN(2)/25)*Calculateur!V38*Calculateur!X38*VLOOKUP('Données projet'!$B$9,Paramètres!$A$1:$I$89,3,0)*0.475*44/12</f>
        <v>5.1627318830564528</v>
      </c>
      <c r="AB38" s="21">
        <f>EXP(-LN(2)/2)*AB37+(1-EXP(-LN(2)/2))/(LN(2)/2)*V38*Y38*VLOOKUP('Données projet'!$B$9,Paramètres!$A$1:$I$89,3,0)*0.475*44/12</f>
        <v>2.9662080597578439E-2</v>
      </c>
      <c r="AC38" s="22">
        <f t="shared" si="3"/>
        <v>46.704694058523152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21.340800000000012</v>
      </c>
      <c r="D39" s="11">
        <f t="shared" si="32"/>
        <v>6.8871990614123257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217.90034363195488</v>
      </c>
      <c r="H39" s="67">
        <f t="shared" si="1"/>
        <v>342.49709836529314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39.053454142601367</v>
      </c>
      <c r="T39" s="59">
        <f t="shared" si="34"/>
        <v>225.79068168427801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40.698269210011659</v>
      </c>
      <c r="AA39" s="21">
        <f>EXP(-LN(2)/25)*AA38+(1-EXP(-LN(2)/25))/(LN(2)/25)*Calculateur!V39*Calculateur!X39*VLOOKUP('Données projet'!$B$9,Paramètres!$A$1:$I$89,3,0)*0.475*44/12</f>
        <v>5.0215567082180037</v>
      </c>
      <c r="AB39" s="21">
        <f>EXP(-LN(2)/2)*AB38+(1-EXP(-LN(2)/2))/(LN(2)/2)*V39*Y39*VLOOKUP('Données projet'!$B$9,Paramètres!$A$1:$I$89,3,0)*0.475*44/12</f>
        <v>2.0974258334649633E-2</v>
      </c>
      <c r="AC39" s="22">
        <f t="shared" si="3"/>
        <v>45.740800176564306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21.933600000000013</v>
      </c>
      <c r="D40" s="11">
        <f t="shared" si="32"/>
        <v>7.0559710349657783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223.77914483131488</v>
      </c>
      <c r="H40" s="67">
        <f t="shared" si="1"/>
        <v>343.82350288589873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39.053454142601367</v>
      </c>
      <c r="T40" s="59">
        <f t="shared" si="34"/>
        <v>225.79068168427801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39.900200974296432</v>
      </c>
      <c r="AA40" s="21">
        <f>EXP(-LN(2)/25)*AA39+(1-EXP(-LN(2)/25))/(LN(2)/25)*Calculateur!V40*Calculateur!X40*VLOOKUP('Données projet'!$B$9,Paramètres!$A$1:$I$89,3,0)*0.475*44/12</f>
        <v>4.8842419759595916</v>
      </c>
      <c r="AB40" s="21">
        <f>EXP(-LN(2)/2)*AB39+(1-EXP(-LN(2)/2))/(LN(2)/2)*V40*Y40*VLOOKUP('Données projet'!$B$9,Paramètres!$A$1:$I$89,3,0)*0.475*44/12</f>
        <v>1.4831040298789219E-2</v>
      </c>
      <c r="AC40" s="22">
        <f t="shared" si="3"/>
        <v>44.799273990554809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22.526400000000013</v>
      </c>
      <c r="D41" s="11">
        <f t="shared" si="32"/>
        <v>7.2242128270968662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229.65385340215138</v>
      </c>
      <c r="H41" s="67">
        <f t="shared" si="1"/>
        <v>345.14898400719369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39.053454142601367</v>
      </c>
      <c r="T41" s="59">
        <f t="shared" si="34"/>
        <v>225.79068168427801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39.117782369910024</v>
      </c>
      <c r="AA41" s="21">
        <f>EXP(-LN(2)/25)*AA40+(1-EXP(-LN(2)/25))/(LN(2)/25)*Calculateur!V41*Calculateur!X41*VLOOKUP('Données projet'!$B$9,Paramètres!$A$1:$I$89,3,0)*0.475*44/12</f>
        <v>4.7506821222758537</v>
      </c>
      <c r="AB41" s="21">
        <f>EXP(-LN(2)/2)*AB40+(1-EXP(-LN(2)/2))/(LN(2)/2)*V41*Y41*VLOOKUP('Données projet'!$B$9,Paramètres!$A$1:$I$89,3,0)*0.475*44/12</f>
        <v>1.0487129167324817E-2</v>
      </c>
      <c r="AC41" s="22">
        <f t="shared" si="3"/>
        <v>43.878951621353202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23.119200000000014</v>
      </c>
      <c r="D42" s="11">
        <f t="shared" si="32"/>
        <v>7.39193999378044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235.52458942567372</v>
      </c>
      <c r="H42" s="67">
        <f t="shared" si="1"/>
        <v>346.47356882250097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39.053454142601367</v>
      </c>
      <c r="T42" s="59">
        <f t="shared" si="34"/>
        <v>225.79068168427801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38.350706517127406</v>
      </c>
      <c r="AA42" s="21">
        <f>EXP(-LN(2)/25)*AA41+(1-EXP(-LN(2)/25))/(LN(2)/25)*Calculateur!V42*Calculateur!X42*VLOOKUP('Données projet'!$B$9,Paramètres!$A$1:$I$89,3,0)*0.475*44/12</f>
        <v>4.6207744698147053</v>
      </c>
      <c r="AB42" s="21">
        <f>EXP(-LN(2)/2)*AB41+(1-EXP(-LN(2)/2))/(LN(2)/2)*V42*Y42*VLOOKUP('Données projet'!$B$9,Paramètres!$A$1:$I$89,3,0)*0.475*44/12</f>
        <v>7.4155201493946096E-3</v>
      </c>
      <c r="AC42" s="22">
        <f t="shared" si="3"/>
        <v>42.978896507091505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23.712000000000014</v>
      </c>
      <c r="D43" s="11">
        <f t="shared" si="32"/>
        <v>7.5591672478002492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241.39146647424766</v>
      </c>
      <c r="H43" s="67">
        <f t="shared" si="1"/>
        <v>347.79728295658543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39.053454142601367</v>
      </c>
      <c r="T43" s="59">
        <f t="shared" si="34"/>
        <v>225.79068168427801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37.598672553947786</v>
      </c>
      <c r="AA43" s="21">
        <f>EXP(-LN(2)/25)*AA42+(1-EXP(-LN(2)/25))/(LN(2)/25)*Calculateur!V43*Calculateur!X43*VLOOKUP('Données projet'!$B$9,Paramètres!$A$1:$I$89,3,0)*0.475*44/12</f>
        <v>4.4944191489416534</v>
      </c>
      <c r="AB43" s="21">
        <f>EXP(-LN(2)/2)*AB42+(1-EXP(-LN(2)/2))/(LN(2)/2)*V43*Y43*VLOOKUP('Données projet'!$B$9,Paramètres!$A$1:$I$89,3,0)*0.475*44/12</f>
        <v>5.2435645836624084E-3</v>
      </c>
      <c r="AC43" s="22">
        <f t="shared" si="3"/>
        <v>42.098335267473104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24.304800000000014</v>
      </c>
      <c r="D44" s="11">
        <f t="shared" si="32"/>
        <v>7.725908524374014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247.25459211797497</v>
      </c>
      <c r="H44" s="67">
        <f t="shared" si="1"/>
        <v>349.12015067995139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39.053454142601367</v>
      </c>
      <c r="T44" s="59">
        <f t="shared" si="34"/>
        <v>225.79068168427801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36.861385518090692</v>
      </c>
      <c r="AA44" s="21">
        <f>EXP(-LN(2)/25)*AA43+(1-EXP(-LN(2)/25))/(LN(2)/25)*Calculateur!V44*Calculateur!X44*VLOOKUP('Données projet'!$B$9,Paramètres!$A$1:$I$89,3,0)*0.475*44/12</f>
        <v>4.3715190209626131</v>
      </c>
      <c r="AB44" s="21">
        <f>EXP(-LN(2)/2)*AB43+(1-EXP(-LN(2)/2))/(LN(2)/2)*V44*Y44*VLOOKUP('Données projet'!$B$9,Paramètres!$A$1:$I$89,3,0)*0.475*44/12</f>
        <v>3.7077600746973048E-3</v>
      </c>
      <c r="AC44" s="22">
        <f t="shared" si="3"/>
        <v>41.236612299128005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24.897600000000015</v>
      </c>
      <c r="D45" s="11">
        <f t="shared" si="32"/>
        <v>7.8921770401958273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253.11406838045914</v>
      </c>
      <c r="H45" s="67">
        <f t="shared" si="1"/>
        <v>350.44219501167441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39.053454142601367</v>
      </c>
      <c r="T45" s="59">
        <f t="shared" si="34"/>
        <v>225.79068168427801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36.138556231306069</v>
      </c>
      <c r="AA45" s="21">
        <f>EXP(-LN(2)/25)*AA44+(1-EXP(-LN(2)/25))/(LN(2)/25)*Calculateur!V45*Calculateur!X45*VLOOKUP('Données projet'!$B$9,Paramètres!$A$1:$I$89,3,0)*0.475*44/12</f>
        <v>4.2519796034461965</v>
      </c>
      <c r="AB45" s="21">
        <f>EXP(-LN(2)/2)*AB44+(1-EXP(-LN(2)/2))/(LN(2)/2)*V45*Y45*VLOOKUP('Données projet'!$B$9,Paramètres!$A$1:$I$89,3,0)*0.475*44/12</f>
        <v>2.6217822918312042E-3</v>
      </c>
      <c r="AC45" s="22">
        <f t="shared" si="3"/>
        <v>40.393157617044096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25.490400000000015</v>
      </c>
      <c r="D46" s="11">
        <f t="shared" si="32"/>
        <v>8.0579853466970306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258.96999214994213</v>
      </c>
      <c r="H46" s="67">
        <f t="shared" si="1"/>
        <v>351.763437812164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39.053454142601367</v>
      </c>
      <c r="T46" s="59">
        <f t="shared" si="34"/>
        <v>225.79068168427801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35.429901185952957</v>
      </c>
      <c r="AA46" s="21">
        <f>EXP(-LN(2)/25)*AA45+(1-EXP(-LN(2)/25))/(LN(2)/25)*Calculateur!V46*Calculateur!X46*VLOOKUP('Données projet'!$B$9,Paramètres!$A$1:$I$89,3,0)*0.475*44/12</f>
        <v>4.135708997588071</v>
      </c>
      <c r="AB46" s="21">
        <f>EXP(-LN(2)/2)*AB45+(1-EXP(-LN(2)/2))/(LN(2)/2)*V46*Y46*VLOOKUP('Données projet'!$B$9,Paramètres!$A$1:$I$89,3,0)*0.475*44/12</f>
        <v>1.8538800373486524E-3</v>
      </c>
      <c r="AC46" s="22">
        <f t="shared" si="3"/>
        <v>39.567464063578377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26.083200000000016</v>
      </c>
      <c r="D47" s="11">
        <f t="shared" si="32"/>
        <v>8.2233453782130113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264.82245555111814</v>
      </c>
      <c r="H47" s="67">
        <f t="shared" si="1"/>
        <v>353.08389986705436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39.053454142601367</v>
      </c>
      <c r="T47" s="59">
        <f t="shared" si="34"/>
        <v>225.79068168427801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34.735142433802324</v>
      </c>
      <c r="AA47" s="21">
        <f>EXP(-LN(2)/25)*AA46+(1-EXP(-LN(2)/25))/(LN(2)/25)*Calculateur!V47*Calculateur!X47*VLOOKUP('Données projet'!$B$9,Paramètres!$A$1:$I$89,3,0)*0.475*44/12</f>
        <v>4.0226178175615415</v>
      </c>
      <c r="AB47" s="21">
        <f>EXP(-LN(2)/2)*AB46+(1-EXP(-LN(2)/2))/(LN(2)/2)*V47*Y47*VLOOKUP('Données projet'!$B$9,Paramètres!$A$1:$I$89,3,0)*0.475*44/12</f>
        <v>1.3108911459156021E-3</v>
      </c>
      <c r="AC47" s="22">
        <f t="shared" si="3"/>
        <v>38.759071142509775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26.676000000000016</v>
      </c>
      <c r="D48" s="11">
        <f t="shared" si="32"/>
        <v>8.3882684956477913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270.67154628219362</v>
      </c>
      <c r="H48" s="67">
        <f t="shared" si="1"/>
        <v>354.40360096325321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39.053454142601367</v>
      </c>
      <c r="T48" s="59">
        <f t="shared" si="34"/>
        <v>225.79068168427801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34.05400747702037</v>
      </c>
      <c r="AA48" s="21">
        <f>EXP(-LN(2)/25)*AA47+(1-EXP(-LN(2)/25))/(LN(2)/25)*Calculateur!V48*Calculateur!X48*VLOOKUP('Données projet'!$B$9,Paramètres!$A$1:$I$89,3,0)*0.475*44/12</f>
        <v>3.9126191218000441</v>
      </c>
      <c r="AB48" s="21">
        <f>EXP(-LN(2)/2)*AB47+(1-EXP(-LN(2)/2))/(LN(2)/2)*V48*Y48*VLOOKUP('Données projet'!$B$9,Paramètres!$A$1:$I$89,3,0)*0.475*44/12</f>
        <v>9.269400186743262E-4</v>
      </c>
      <c r="AC48" s="22">
        <f t="shared" si="3"/>
        <v>37.967553538839084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27.268800000000017</v>
      </c>
      <c r="D49" s="11">
        <f t="shared" si="32"/>
        <v>8.5527655261478337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276.51734792114132</v>
      </c>
      <c r="H49" s="67">
        <f t="shared" si="1"/>
        <v>355.72255995804085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39.053454142601367</v>
      </c>
      <c r="T49" s="59">
        <f t="shared" si="34"/>
        <v>225.79068168427801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33.386229161289606</v>
      </c>
      <c r="AA49" s="21">
        <f>EXP(-LN(2)/25)*AA48+(1-EXP(-LN(2)/25))/(LN(2)/25)*Calculateur!V49*Calculateur!X49*VLOOKUP('Données projet'!$B$9,Paramètres!$A$1:$I$89,3,0)*0.475*44/12</f>
        <v>3.8056283461587248</v>
      </c>
      <c r="AB49" s="21">
        <f>EXP(-LN(2)/2)*AB48+(1-EXP(-LN(2)/2))/(LN(2)/2)*V49*Y49*VLOOKUP('Données projet'!$B$9,Paramètres!$A$1:$I$89,3,0)*0.475*44/12</f>
        <v>6.5544557295780105E-4</v>
      </c>
      <c r="AC49" s="22">
        <f t="shared" si="3"/>
        <v>37.192512953021293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27.861600000000017</v>
      </c>
      <c r="D50" s="11">
        <f t="shared" si="32"/>
        <v>8.7168467992286782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282.35994020457235</v>
      </c>
      <c r="H50" s="67">
        <f t="shared" si="1"/>
        <v>357.04079484198996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39.053454142601367</v>
      </c>
      <c r="T50" s="59">
        <f t="shared" si="34"/>
        <v>225.79068168427801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32.731545571025769</v>
      </c>
      <c r="AA50" s="21">
        <f>EXP(-LN(2)/25)*AA49+(1-EXP(-LN(2)/25))/(LN(2)/25)*Calculateur!V50*Calculateur!X50*VLOOKUP('Données projet'!$B$9,Paramètres!$A$1:$I$89,3,0)*0.475*44/12</f>
        <v>3.7015632389037174</v>
      </c>
      <c r="AB50" s="21">
        <f>EXP(-LN(2)/2)*AB49+(1-EXP(-LN(2)/2))/(LN(2)/2)*V50*Y50*VLOOKUP('Données projet'!$B$9,Paramètres!$A$1:$I$89,3,0)*0.475*44/12</f>
        <v>4.634700093371631E-4</v>
      </c>
      <c r="AC50" s="22">
        <f t="shared" si="3"/>
        <v>36.433572279938822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28.454400000000017</v>
      </c>
      <c r="D51" s="11">
        <f t="shared" si="32"/>
        <v>8.880522179740165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288.19939928220492</v>
      </c>
      <c r="H51" s="67">
        <f t="shared" si="1"/>
        <v>358.35832279638078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39.053454142601367</v>
      </c>
      <c r="T51" s="59">
        <f t="shared" si="34"/>
        <v>225.79068168427801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32.089699926649445</v>
      </c>
      <c r="AA51" s="21">
        <f>EXP(-LN(2)/25)*AA50+(1-EXP(-LN(2)/25))/(LN(2)/25)*Calculateur!V51*Calculateur!X51*VLOOKUP('Données projet'!$B$9,Paramètres!$A$1:$I$89,3,0)*0.475*44/12</f>
        <v>3.6003437974791446</v>
      </c>
      <c r="AB51" s="21">
        <f>EXP(-LN(2)/2)*AB50+(1-EXP(-LN(2)/2))/(LN(2)/2)*V51*Y51*VLOOKUP('Données projet'!$B$9,Paramètres!$A$1:$I$89,3,0)*0.475*44/12</f>
        <v>3.2772278647890052E-4</v>
      </c>
      <c r="AC51" s="22">
        <f t="shared" si="3"/>
        <v>35.690371446915066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29.047200000000018</v>
      </c>
      <c r="D52" s="11">
        <f t="shared" si="32"/>
        <v>9.0438010980070924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294.03579794952861</v>
      </c>
      <c r="H52" s="67">
        <f t="shared" si="1"/>
        <v>359.67516024569568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39.053454142601367</v>
      </c>
      <c r="T52" s="59">
        <f t="shared" si="34"/>
        <v>225.79068168427801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31.460440483872151</v>
      </c>
      <c r="AA52" s="21">
        <f>EXP(-LN(2)/25)*AA51+(1-EXP(-LN(2)/25))/(LN(2)/25)*Calculateur!V52*Calculateur!X52*VLOOKUP('Données projet'!$B$9,Paramètres!$A$1:$I$89,3,0)*0.475*44/12</f>
        <v>3.5018922070032259</v>
      </c>
      <c r="AB52" s="21">
        <f>EXP(-LN(2)/2)*AB51+(1-EXP(-LN(2)/2))/(LN(2)/2)*V52*Y52*VLOOKUP('Données projet'!$B$9,Paramètres!$A$1:$I$89,3,0)*0.475*44/12</f>
        <v>2.3173500466858155E-4</v>
      </c>
      <c r="AC52" s="22">
        <f t="shared" si="3"/>
        <v>34.962564425880046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29.640000000000018</v>
      </c>
      <c r="D53" s="11">
        <f t="shared" si="32"/>
        <v>9.2066925774398385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299.86920586093925</v>
      </c>
      <c r="H53" s="67">
        <f t="shared" si="1"/>
        <v>360.9913229057077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39.053454142601367</v>
      </c>
      <c r="T53" s="59">
        <f t="shared" si="34"/>
        <v>225.79068168427801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30.843520434957359</v>
      </c>
      <c r="AA53" s="21">
        <f>EXP(-LN(2)/25)*AA52+(1-EXP(-LN(2)/25))/(LN(2)/25)*Calculateur!V53*Calculateur!X53*VLOOKUP('Données projet'!$B$9,Paramètres!$A$1:$I$89,3,0)*0.475*44/12</f>
        <v>3.4061327804462151</v>
      </c>
      <c r="AB53" s="21">
        <f>EXP(-LN(2)/2)*AB52+(1-EXP(-LN(2)/2))/(LN(2)/2)*V53*Y53*VLOOKUP('Données projet'!$B$9,Paramètres!$A$1:$I$89,3,0)*0.475*44/12</f>
        <v>1.6386139323945026E-4</v>
      </c>
      <c r="AC53" s="22">
        <f t="shared" si="3"/>
        <v>34.249817076796816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30.232800000000019</v>
      </c>
      <c r="D54" s="11">
        <f t="shared" si="32"/>
        <v>9.369205259873798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305.69968972534178</v>
      </c>
      <c r="H54" s="67">
        <f t="shared" si="1"/>
        <v>362.30682582761352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39.053454142601367</v>
      </c>
      <c r="T54" s="59">
        <f t="shared" si="34"/>
        <v>225.79068168427801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30.23869781191771</v>
      </c>
      <c r="AA54" s="21">
        <f>EXP(-LN(2)/25)*AA53+(1-EXP(-LN(2)/25))/(LN(2)/25)*Calculateur!V54*Calculateur!X54*VLOOKUP('Données projet'!$B$9,Paramètres!$A$1:$I$89,3,0)*0.475*44/12</f>
        <v>3.3129919004441755</v>
      </c>
      <c r="AB54" s="21">
        <f>EXP(-LN(2)/2)*AB53+(1-EXP(-LN(2)/2))/(LN(2)/2)*V54*Y54*VLOOKUP('Données projet'!$B$9,Paramètres!$A$1:$I$89,3,0)*0.475*44/12</f>
        <v>1.1586750233429078E-4</v>
      </c>
      <c r="AC54" s="22">
        <f t="shared" si="3"/>
        <v>33.551805579864222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30.825600000000019</v>
      </c>
      <c r="D55" s="11">
        <f t="shared" si="32"/>
        <v>9.5313474288652582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311.52731348597757</v>
      </c>
      <c r="H55" s="67">
        <f t="shared" si="1"/>
        <v>363.62168343860696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39.053454142601367</v>
      </c>
      <c r="T55" s="59">
        <f t="shared" si="34"/>
        <v>225.79068168427801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29.645735391610497</v>
      </c>
      <c r="AA55" s="21">
        <f>EXP(-LN(2)/25)*AA54+(1-EXP(-LN(2)/25))/(LN(2)/25)*Calculateur!V55*Calculateur!X55*VLOOKUP('Données projet'!$B$9,Paramètres!$A$1:$I$89,3,0)*0.475*44/12</f>
        <v>3.2223979627038575</v>
      </c>
      <c r="AB55" s="21">
        <f>EXP(-LN(2)/2)*AB54+(1-EXP(-LN(2)/2))/(LN(2)/2)*V55*Y55*VLOOKUP('Données projet'!$B$9,Paramètres!$A$1:$I$89,3,0)*0.475*44/12</f>
        <v>8.1930696619725131E-5</v>
      </c>
      <c r="AC55" s="22">
        <f t="shared" si="3"/>
        <v>32.868215285010969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31.41840000000002</v>
      </c>
      <c r="D56" s="11">
        <f t="shared" si="32"/>
        <v>9.6931270311445914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317.35213848602859</v>
      </c>
      <c r="H56" s="67">
        <f t="shared" si="1"/>
        <v>364.93590957924351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39.053454142601367</v>
      </c>
      <c r="T56" s="59">
        <f t="shared" si="34"/>
        <v>225.79068168427801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29.064400602694143</v>
      </c>
      <c r="AA56" s="21">
        <f>EXP(-LN(2)/25)*AA55+(1-EXP(-LN(2)/25))/(LN(2)/25)*Calculateur!V56*Calculateur!X56*VLOOKUP('Données projet'!$B$9,Paramètres!$A$1:$I$89,3,0)*0.475*44/12</f>
        <v>3.1342813209551763</v>
      </c>
      <c r="AB56" s="21">
        <f>EXP(-LN(2)/2)*AB55+(1-EXP(-LN(2)/2))/(LN(2)/2)*V56*Y56*VLOOKUP('Données projet'!$B$9,Paramètres!$A$1:$I$89,3,0)*0.475*44/12</f>
        <v>5.7933751167145388E-5</v>
      </c>
      <c r="AC56" s="22">
        <f t="shared" si="3"/>
        <v>32.198739857400483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32.011200000000017</v>
      </c>
      <c r="D57" s="11">
        <f t="shared" si="32"/>
        <v>9.8545516964045827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323.17422362136887</v>
      </c>
      <c r="H57" s="67">
        <f t="shared" si="1"/>
        <v>366.24951753790464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39.053454142601367</v>
      </c>
      <c r="T57" s="59">
        <f t="shared" si="34"/>
        <v>225.79068168427801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28.494465434409229</v>
      </c>
      <c r="AA57" s="21">
        <f>EXP(-LN(2)/25)*AA56+(1-EXP(-LN(2)/25))/(LN(2)/25)*Calculateur!V57*Calculateur!X57*VLOOKUP('Données projet'!$B$9,Paramètres!$A$1:$I$89,3,0)*0.475*44/12</f>
        <v>3.0485742334089658</v>
      </c>
      <c r="AB57" s="21">
        <f>EXP(-LN(2)/2)*AB56+(1-EXP(-LN(2)/2))/(LN(2)/2)*V57*Y57*VLOOKUP('Données projet'!$B$9,Paramètres!$A$1:$I$89,3,0)*0.475*44/12</f>
        <v>4.0965348309862565E-5</v>
      </c>
      <c r="AC57" s="22">
        <f t="shared" si="3"/>
        <v>31.543080633166504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32.604000000000013</v>
      </c>
      <c r="D58" s="11">
        <f t="shared" si="32"/>
        <v>10.015628755581481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328.9936254816817</v>
      </c>
      <c r="H58" s="67">
        <f t="shared" si="1"/>
        <v>367.56252008263777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39.053454142601367</v>
      </c>
      <c r="T58" s="59">
        <f t="shared" si="34"/>
        <v>225.79068168427801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27.935706347148255</v>
      </c>
      <c r="AA58" s="21">
        <f>EXP(-LN(2)/25)*AA57+(1-EXP(-LN(2)/25))/(LN(2)/25)*Calculateur!V58*Calculateur!X58*VLOOKUP('Données projet'!$B$9,Paramètres!$A$1:$I$89,3,0)*0.475*44/12</f>
        <v>2.9652108106788462</v>
      </c>
      <c r="AB58" s="21">
        <f>EXP(-LN(2)/2)*AB57+(1-EXP(-LN(2)/2))/(LN(2)/2)*V58*Y58*VLOOKUP('Données projet'!$B$9,Paramètres!$A$1:$I$89,3,0)*0.475*44/12</f>
        <v>2.8966875583572694E-5</v>
      </c>
      <c r="AC58" s="22">
        <f t="shared" si="3"/>
        <v>30.900946124702685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33.19680000000001</v>
      </c>
      <c r="D59" s="11">
        <f t="shared" si="32"/>
        <v>10.176365257768927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334.81039848102336</v>
      </c>
      <c r="H59" s="67">
        <f t="shared" si="1"/>
        <v>368.87492949061419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39.053454142601367</v>
      </c>
      <c r="T59" s="59">
        <f t="shared" si="34"/>
        <v>225.79068168427801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27.387904184779078</v>
      </c>
      <c r="AA59" s="21">
        <f>EXP(-LN(2)/25)*AA58+(1-EXP(-LN(2)/25))/(LN(2)/25)*Calculateur!V59*Calculateur!X59*VLOOKUP('Données projet'!$B$9,Paramètres!$A$1:$I$89,3,0)*0.475*44/12</f>
        <v>2.8841269651271735</v>
      </c>
      <c r="AB59" s="21">
        <f>EXP(-LN(2)/2)*AB58+(1-EXP(-LN(2)/2))/(LN(2)/2)*V59*Y59*VLOOKUP('Données projet'!$B$9,Paramètres!$A$1:$I$89,3,0)*0.475*44/12</f>
        <v>2.0482674154931283E-5</v>
      </c>
      <c r="AC59" s="22">
        <f t="shared" si="3"/>
        <v>30.272051632580407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33.789600000000007</v>
      </c>
      <c r="D60" s="11">
        <f t="shared" si="32"/>
        <v>10.3367679858895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340.62459497879621</v>
      </c>
      <c r="H60" s="67">
        <f t="shared" si="1"/>
        <v>370.18675757542422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39.053454142601367</v>
      </c>
      <c r="T60" s="59">
        <f t="shared" si="34"/>
        <v>225.79068168427801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26.850844088687634</v>
      </c>
      <c r="AA60" s="21">
        <f>EXP(-LN(2)/25)*AA59+(1-EXP(-LN(2)/25))/(LN(2)/25)*Calculateur!V60*Calculateur!X60*VLOOKUP('Données projet'!$B$9,Paramètres!$A$1:$I$89,3,0)*0.475*44/12</f>
        <v>2.8052603615961256</v>
      </c>
      <c r="AB60" s="21">
        <f>EXP(-LN(2)/2)*AB59+(1-EXP(-LN(2)/2))/(LN(2)/2)*V60*Y60*VLOOKUP('Données projet'!$B$9,Paramètres!$A$1:$I$89,3,0)*0.475*44/12</f>
        <v>1.4483437791786347E-5</v>
      </c>
      <c r="AC60" s="22">
        <f t="shared" si="3"/>
        <v>29.656118933721551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34.382400000000004</v>
      </c>
      <c r="D61" s="11">
        <f t="shared" si="32"/>
        <v>10.496843471235414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346.43626539199272</v>
      </c>
      <c r="H61" s="67">
        <f t="shared" si="1"/>
        <v>371.49801571240164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39.053454142601367</v>
      </c>
      <c r="T61" s="59">
        <f t="shared" si="34"/>
        <v>225.79068168427801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26.32431541350623</v>
      </c>
      <c r="AA61" s="21">
        <f>EXP(-LN(2)/25)*AA60+(1-EXP(-LN(2)/25))/(LN(2)/25)*Calculateur!V61*Calculateur!X61*VLOOKUP('Données projet'!$B$9,Paramètres!$A$1:$I$89,3,0)*0.475*44/12</f>
        <v>2.7285503694860487</v>
      </c>
      <c r="AB61" s="21">
        <f>EXP(-LN(2)/2)*AB60+(1-EXP(-LN(2)/2))/(LN(2)/2)*V61*Y61*VLOOKUP('Données projet'!$B$9,Paramètres!$A$1:$I$89,3,0)*0.475*44/12</f>
        <v>1.0241337077465641E-5</v>
      </c>
      <c r="AC61" s="22">
        <f t="shared" si="3"/>
        <v>29.052876024329354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34.975200000000001</v>
      </c>
      <c r="D62" s="11">
        <f t="shared" si="32"/>
        <v>10.656598006977973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352.24545829947914</v>
      </c>
      <c r="H62" s="67">
        <f t="shared" si="1"/>
        <v>372.80871486215329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39.053454142601367</v>
      </c>
      <c r="T62" s="59">
        <f t="shared" si="34"/>
        <v>225.79068168427801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25.808111644494353</v>
      </c>
      <c r="AA62" s="21">
        <f>EXP(-LN(2)/25)*AA61+(1-EXP(-LN(2)/25))/(LN(2)/25)*Calculateur!V62*Calculateur!X62*VLOOKUP('Données projet'!$B$9,Paramètres!$A$1:$I$89,3,0)*0.475*44/12</f>
        <v>2.6539380161442248</v>
      </c>
      <c r="AB62" s="21">
        <f>EXP(-LN(2)/2)*AB61+(1-EXP(-LN(2)/2))/(LN(2)/2)*V62*Y62*VLOOKUP('Données projet'!$B$9,Paramètres!$A$1:$I$89,3,0)*0.475*44/12</f>
        <v>7.2417188958931735E-6</v>
      </c>
      <c r="AC62" s="22">
        <f t="shared" si="3"/>
        <v>28.462056902357475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63" s="11">
        <f t="shared" si="32"/>
        <v>10.816037660735208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358.0522205390086</v>
      </c>
      <c r="H63" s="67">
        <f t="shared" si="1"/>
        <v>374.11886559244715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39.053454142601367</v>
      </c>
      <c r="T63" s="59">
        <f t="shared" si="34"/>
        <v>225.79068168427801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25.302030316539589</v>
      </c>
      <c r="AA63" s="21">
        <f>EXP(-LN(2)/25)*AA62+(1-EXP(-LN(2)/25))/(LN(2)/25)*Calculateur!V63*Calculateur!X63*VLOOKUP('Données projet'!$B$9,Paramètres!$A$1:$I$89,3,0)*0.475*44/12</f>
        <v>2.5813659415282264</v>
      </c>
      <c r="AB63" s="21">
        <f>EXP(-LN(2)/2)*AB62+(1-EXP(-LN(2)/2))/(LN(2)/2)*V63*Y63*VLOOKUP('Données projet'!$B$9,Paramètres!$A$1:$I$89,3,0)*0.475*44/12</f>
        <v>5.1206685387328207E-6</v>
      </c>
      <c r="AC63" s="22">
        <f t="shared" si="3"/>
        <v>27.883401378736355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36.160799999999995</v>
      </c>
      <c r="D64" s="11">
        <f t="shared" si="32"/>
        <v>10.975168286277908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363.85659729758385</v>
      </c>
      <c r="H64" s="67">
        <f t="shared" si="1"/>
        <v>375.42847809860064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39.053454142601367</v>
      </c>
      <c r="T64" s="59">
        <f t="shared" si="34"/>
        <v>225.79068168427801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24.805872934746887</v>
      </c>
      <c r="AA64" s="21">
        <f>EXP(-LN(2)/25)*AA63+(1-EXP(-LN(2)/25))/(LN(2)/25)*Calculateur!V64*Calculateur!X64*VLOOKUP('Données projet'!$B$9,Paramètres!$A$1:$I$89,3,0)*0.475*44/12</f>
        <v>2.5107783541090019</v>
      </c>
      <c r="AB64" s="21">
        <f>EXP(-LN(2)/2)*AB63+(1-EXP(-LN(2)/2))/(LN(2)/2)*V64*Y64*VLOOKUP('Données projet'!$B$9,Paramètres!$A$1:$I$89,3,0)*0.475*44/12</f>
        <v>3.6208594479465867E-6</v>
      </c>
      <c r="AC64" s="22">
        <f t="shared" si="3"/>
        <v>27.316654909715336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36.753599999999992</v>
      </c>
      <c r="D65" s="11">
        <f t="shared" si="32"/>
        <v>11.133995534446285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369.65863219572566</v>
      </c>
      <c r="H65" s="67">
        <f t="shared" si="1"/>
        <v>376.73756222249392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39.053454142601367</v>
      </c>
      <c r="T65" s="59">
        <f t="shared" si="34"/>
        <v>225.79068168427801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24.319444896585019</v>
      </c>
      <c r="AA65" s="21">
        <f>EXP(-LN(2)/25)*AA64+(1-EXP(-LN(2)/25))/(LN(2)/25)*Calculateur!V65*Calculateur!X65*VLOOKUP('Données projet'!$B$9,Paramètres!$A$1:$I$89,3,0)*0.475*44/12</f>
        <v>2.4421209879797958</v>
      </c>
      <c r="AB65" s="21">
        <f>EXP(-LN(2)/2)*AB64+(1-EXP(-LN(2)/2))/(LN(2)/2)*V65*Y65*VLOOKUP('Données projet'!$B$9,Paramètres!$A$1:$I$89,3,0)*0.475*44/12</f>
        <v>2.5603342693664103E-6</v>
      </c>
      <c r="AC65" s="22">
        <f t="shared" si="3"/>
        <v>26.761568444899083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37.346399999999988</v>
      </c>
      <c r="D66" s="11">
        <f t="shared" si="32"/>
        <v>11.292524863342392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375.45836736615166</v>
      </c>
      <c r="H66" s="67">
        <f t="shared" si="1"/>
        <v>378.04612747032127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39.053454142601367</v>
      </c>
      <c r="T66" s="59">
        <f t="shared" si="34"/>
        <v>225.79068168427801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23.842555415559698</v>
      </c>
      <c r="AA66" s="21">
        <f>EXP(-LN(2)/25)*AA65+(1-EXP(-LN(2)/25))/(LN(2)/25)*Calculateur!V66*Calculateur!X66*VLOOKUP('Données projet'!$B$9,Paramètres!$A$1:$I$89,3,0)*0.475*44/12</f>
        <v>2.3753410611379269</v>
      </c>
      <c r="AB66" s="21">
        <f>EXP(-LN(2)/2)*AB65+(1-EXP(-LN(2)/2))/(LN(2)/2)*V66*Y66*VLOOKUP('Données projet'!$B$9,Paramètres!$A$1:$I$89,3,0)*0.475*44/12</f>
        <v>1.8104297239732934E-6</v>
      </c>
      <c r="AC66" s="22">
        <f t="shared" si="3"/>
        <v>26.217898287127348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37.939199999999985</v>
      </c>
      <c r="D67" s="11">
        <f t="shared" si="32"/>
        <v>11.450761547856988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381.25584352731698</v>
      </c>
      <c r="H67" s="67">
        <f t="shared" si="1"/>
        <v>379.35418302918418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39.053454142601367</v>
      </c>
      <c r="T67" s="59">
        <f t="shared" si="34"/>
        <v>225.79068168427801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23.375017446383421</v>
      </c>
      <c r="AA67" s="21">
        <f>EXP(-LN(2)/25)*AA66+(1-EXP(-LN(2)/25))/(LN(2)/25)*Calculateur!V67*Calculateur!X67*VLOOKUP('Données projet'!$B$9,Paramètres!$A$1:$I$89,3,0)*0.475*44/12</f>
        <v>2.3103872349073526</v>
      </c>
      <c r="AB67" s="21">
        <f>EXP(-LN(2)/2)*AB66+(1-EXP(-LN(2)/2))/(LN(2)/2)*V67*Y67*VLOOKUP('Données projet'!$B$9,Paramètres!$A$1:$I$89,3,0)*0.475*44/12</f>
        <v>1.2801671346832052E-6</v>
      </c>
      <c r="AC67" s="22">
        <f t="shared" si="3"/>
        <v>25.685405961457906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38.531999999999982</v>
      </c>
      <c r="D68" s="11">
        <f t="shared" si="32"/>
        <v>11.60871068858415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387.05110005222849</v>
      </c>
      <c r="H68" s="67">
        <f t="shared" ref="H68:H131" si="56">(B68+E68+F68)*44/12+(C68+D68)*0.475*44/12</f>
        <v>380.66173778261737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39.053454142601367</v>
      </c>
      <c r="T68" s="59">
        <f t="shared" si="34"/>
        <v>225.79068168427801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22.916647611612689</v>
      </c>
      <c r="AA68" s="21">
        <f>EXP(-LN(2)/25)*AA67+(1-EXP(-LN(2)/25))/(LN(2)/25)*Calculateur!V68*Calculateur!X68*VLOOKUP('Données projet'!$B$9,Paramètres!$A$1:$I$89,3,0)*0.475*44/12</f>
        <v>2.2472095744708267</v>
      </c>
      <c r="AB68" s="21">
        <f>EXP(-LN(2)/2)*AB67+(1-EXP(-LN(2)/2))/(LN(2)/2)*V68*Y68*VLOOKUP('Données projet'!$B$9,Paramètres!$A$1:$I$89,3,0)*0.475*44/12</f>
        <v>9.0521486198664668E-7</v>
      </c>
      <c r="AC68" s="22">
        <f t="shared" ref="AC68:AC131" si="57">SUM(Z68:AB68)</f>
        <v>25.163858091298376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39.124799999999979</v>
      </c>
      <c r="D69" s="11">
        <f t="shared" ref="D69:D132" si="86">IFERROR(EXP(-1.0587+0.8836*LN(C69)+0.284),0)</f>
        <v>11.76637722017168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392.84417503290405</v>
      </c>
      <c r="H69" s="67">
        <f t="shared" si="56"/>
        <v>381.96880032513229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39.053454142601367</v>
      </c>
      <c r="T69" s="59">
        <f t="shared" ref="T69:T132" si="88">$T$3</f>
        <v>225.79068168427801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22.467266129723818</v>
      </c>
      <c r="AA69" s="21">
        <f>EXP(-LN(2)/25)*AA68+(1-EXP(-LN(2)/25))/(LN(2)/25)*Calculateur!V69*Calculateur!X69*VLOOKUP('Données projet'!$B$9,Paramètres!$A$1:$I$89,3,0)*0.475*44/12</f>
        <v>2.1857595104813066</v>
      </c>
      <c r="AB69" s="21">
        <f>EXP(-LN(2)/2)*AB68+(1-EXP(-LN(2)/2))/(LN(2)/2)*V69*Y69*VLOOKUP('Données projet'!$B$9,Paramètres!$A$1:$I$89,3,0)*0.475*44/12</f>
        <v>6.4008356734160258E-7</v>
      </c>
      <c r="AC69" s="22">
        <f t="shared" si="57"/>
        <v>24.653026280288692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39.717599999999976</v>
      </c>
      <c r="D70" s="11">
        <f t="shared" si="86"/>
        <v>11.923765919151062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398.63510534081507</v>
      </c>
      <c r="H70" s="67">
        <f t="shared" si="56"/>
        <v>383.27537897585472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39.053454142601367</v>
      </c>
      <c r="T70" s="59">
        <f t="shared" si="88"/>
        <v>225.79068168427801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22.026696744599146</v>
      </c>
      <c r="AA70" s="21">
        <f>EXP(-LN(2)/25)*AA69+(1-EXP(-LN(2)/25))/(LN(2)/25)*Calculateur!V70*Calculateur!X70*VLOOKUP('Données projet'!$B$9,Paramètres!$A$1:$I$89,3,0)*0.475*44/12</f>
        <v>2.1259898017230983</v>
      </c>
      <c r="AB70" s="21">
        <f>EXP(-LN(2)/2)*AB69+(1-EXP(-LN(2)/2))/(LN(2)/2)*V70*Y70*VLOOKUP('Données projet'!$B$9,Paramètres!$A$1:$I$89,3,0)*0.475*44/12</f>
        <v>4.5260743099332334E-7</v>
      </c>
      <c r="AC70" s="22">
        <f t="shared" si="57"/>
        <v>24.152686998929674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40.310399999999973</v>
      </c>
      <c r="D71" s="11">
        <f t="shared" si="86"/>
        <v>12.080881411286709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404.42392668361657</v>
      </c>
      <c r="H71" s="67">
        <f t="shared" si="56"/>
        <v>384.58148179132428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39.053454142601367</v>
      </c>
      <c r="T71" s="59">
        <f t="shared" si="88"/>
        <v>225.79068168427801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21.594766656395979</v>
      </c>
      <c r="AA71" s="21">
        <f>EXP(-LN(2)/25)*AA70+(1-EXP(-LN(2)/25))/(LN(2)/25)*Calculateur!V71*Calculateur!X71*VLOOKUP('Données projet'!$B$9,Paramètres!$A$1:$I$89,3,0)*0.475*44/12</f>
        <v>2.0678544987940355</v>
      </c>
      <c r="AB71" s="21">
        <f>EXP(-LN(2)/2)*AB70+(1-EXP(-LN(2)/2))/(LN(2)/2)*V71*Y71*VLOOKUP('Données projet'!$B$9,Paramètres!$A$1:$I$89,3,0)*0.475*44/12</f>
        <v>3.2004178367080129E-7</v>
      </c>
      <c r="AC71" s="22">
        <f t="shared" si="57"/>
        <v>23.662621475231798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40.90319999999997</v>
      </c>
      <c r="D72" s="11">
        <f t="shared" si="86"/>
        <v>12.237728178480594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410.21067365844647</v>
      </c>
      <c r="H72" s="67">
        <f t="shared" si="56"/>
        <v>385.88711657752032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39.053454142601367</v>
      </c>
      <c r="T72" s="59">
        <f t="shared" si="88"/>
        <v>225.79068168427801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21.171306453771138</v>
      </c>
      <c r="AA72" s="21">
        <f>EXP(-LN(2)/25)*AA71+(1-EXP(-LN(2)/25))/(LN(2)/25)*Calculateur!V72*Calculateur!X72*VLOOKUP('Données projet'!$B$9,Paramètres!$A$1:$I$89,3,0)*0.475*44/12</f>
        <v>2.0113089087807707</v>
      </c>
      <c r="AB72" s="21">
        <f>EXP(-LN(2)/2)*AB71+(1-EXP(-LN(2)/2))/(LN(2)/2)*V72*Y72*VLOOKUP('Données projet'!$B$9,Paramètres!$A$1:$I$89,3,0)*0.475*44/12</f>
        <v>2.2630371549666167E-7</v>
      </c>
      <c r="AC72" s="22">
        <f t="shared" si="57"/>
        <v>23.182615588855622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3" s="11">
        <f t="shared" si="86"/>
        <v>12.394310565265254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415.99537980204735</v>
      </c>
      <c r="H73" s="67">
        <f t="shared" si="56"/>
        <v>387.19229090117022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39.053454142601367</v>
      </c>
      <c r="T73" s="59">
        <f t="shared" si="88"/>
        <v>225.79068168427801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20.756150047434549</v>
      </c>
      <c r="AA73" s="21">
        <f>EXP(-LN(2)/25)*AA72+(1-EXP(-LN(2)/25))/(LN(2)/25)*Calculateur!V73*Calculateur!X73*VLOOKUP('Données projet'!$B$9,Paramètres!$A$1:$I$89,3,0)*0.475*44/12</f>
        <v>1.9563095609000221</v>
      </c>
      <c r="AB73" s="21">
        <f>EXP(-LN(2)/2)*AB72+(1-EXP(-LN(2)/2))/(LN(2)/2)*V73*Y73*VLOOKUP('Données projet'!$B$9,Paramètres!$A$1:$I$89,3,0)*0.475*44/12</f>
        <v>1.6002089183540065E-7</v>
      </c>
      <c r="AC73" s="22">
        <f t="shared" si="57"/>
        <v>22.712459768355462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42.088799999999964</v>
      </c>
      <c r="D74" s="11">
        <f t="shared" si="86"/>
        <v>12.550632784915242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421.77807763794198</v>
      </c>
      <c r="H74" s="67">
        <f t="shared" si="56"/>
        <v>388.49701210039399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39.053454142601367</v>
      </c>
      <c r="T74" s="59">
        <f t="shared" si="88"/>
        <v>225.79068168427801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20.349134605005816</v>
      </c>
      <c r="AA74" s="21">
        <f>EXP(-LN(2)/25)*AA73+(1-EXP(-LN(2)/25))/(LN(2)/25)*Calculateur!V74*Calculateur!X74*VLOOKUP('Données projet'!$B$9,Paramètres!$A$1:$I$89,3,0)*0.475*44/12</f>
        <v>1.9028141730793624</v>
      </c>
      <c r="AB74" s="21">
        <f>EXP(-LN(2)/2)*AB73+(1-EXP(-LN(2)/2))/(LN(2)/2)*V74*Y74*VLOOKUP('Données projet'!$B$9,Paramètres!$A$1:$I$89,3,0)*0.475*44/12</f>
        <v>1.1315185774833084E-7</v>
      </c>
      <c r="AC74" s="22">
        <f t="shared" si="57"/>
        <v>22.251948891237038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42.68159999999996</v>
      </c>
      <c r="D75" s="11">
        <f t="shared" si="86"/>
        <v>12.706698925204419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427.55879872087598</v>
      </c>
      <c r="H75" s="67">
        <f t="shared" si="56"/>
        <v>389.80128729473097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39.053454142601367</v>
      </c>
      <c r="T75" s="59">
        <f t="shared" si="88"/>
        <v>225.79068168427801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19.950100487148202</v>
      </c>
      <c r="AA75" s="21">
        <f>EXP(-LN(2)/25)*AA74+(1-EXP(-LN(2)/25))/(LN(2)/25)*Calculateur!V75*Calculateur!X75*VLOOKUP('Données projet'!$B$9,Paramètres!$A$1:$I$89,3,0)*0.475*44/12</f>
        <v>1.8507816194518587</v>
      </c>
      <c r="AB75" s="21">
        <f>EXP(-LN(2)/2)*AB74+(1-EXP(-LN(2)/2))/(LN(2)/2)*V75*Y75*VLOOKUP('Données projet'!$B$9,Paramètres!$A$1:$I$89,3,0)*0.475*44/12</f>
        <v>8.0010445917700323E-8</v>
      </c>
      <c r="AC75" s="22">
        <f t="shared" si="57"/>
        <v>21.800882186610504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43.274399999999957</v>
      </c>
      <c r="D76" s="11">
        <f t="shared" si="86"/>
        <v>12.862512953834386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433.3375736787213</v>
      </c>
      <c r="H76" s="67">
        <f t="shared" si="56"/>
        <v>391.10512339459478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39.053454142601367</v>
      </c>
      <c r="T76" s="59">
        <f t="shared" si="88"/>
        <v>225.79068168427801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19.558891184954998</v>
      </c>
      <c r="AA76" s="21">
        <f>EXP(-LN(2)/25)*AA75+(1-EXP(-LN(2)/25))/(LN(2)/25)*Calculateur!V76*Calculateur!X76*VLOOKUP('Données projet'!$B$9,Paramètres!$A$1:$I$89,3,0)*0.475*44/12</f>
        <v>1.8001718987395723</v>
      </c>
      <c r="AB76" s="21">
        <f>EXP(-LN(2)/2)*AB75+(1-EXP(-LN(2)/2))/(LN(2)/2)*V76*Y76*VLOOKUP('Données projet'!$B$9,Paramètres!$A$1:$I$89,3,0)*0.475*44/12</f>
        <v>5.6575928874165418E-8</v>
      </c>
      <c r="AC76" s="22">
        <f t="shared" si="57"/>
        <v>21.3590631402705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43.867199999999954</v>
      </c>
      <c r="D77" s="11">
        <f t="shared" si="86"/>
        <v>13.018078723556952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439.11443225201828</v>
      </c>
      <c r="H77" s="67">
        <f t="shared" si="56"/>
        <v>392.40852711019494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39.053454142601367</v>
      </c>
      <c r="T77" s="59">
        <f t="shared" si="88"/>
        <v>225.79068168427801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19.175353258563689</v>
      </c>
      <c r="AA77" s="21">
        <f>EXP(-LN(2)/25)*AA76+(1-EXP(-LN(2)/25))/(LN(2)/25)*Calculateur!V77*Calculateur!X77*VLOOKUP('Données projet'!$B$9,Paramètres!$A$1:$I$89,3,0)*0.475*44/12</f>
        <v>1.7509461035016129</v>
      </c>
      <c r="AB77" s="21">
        <f>EXP(-LN(2)/2)*AB76+(1-EXP(-LN(2)/2))/(LN(2)/2)*V77*Y77*VLOOKUP('Données projet'!$B$9,Paramètres!$A$1:$I$89,3,0)*0.475*44/12</f>
        <v>4.0005222958850162E-8</v>
      </c>
      <c r="AC77" s="22">
        <f t="shared" si="57"/>
        <v>20.926299402070523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44.459999999999951</v>
      </c>
      <c r="D78" s="11">
        <f t="shared" si="86"/>
        <v>13.173399977011842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444.8894033313191</v>
      </c>
      <c r="H78" s="67">
        <f t="shared" si="56"/>
        <v>393.71150495996216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39.053454142601367</v>
      </c>
      <c r="T78" s="59">
        <f t="shared" si="88"/>
        <v>225.79068168427801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18.799336276973879</v>
      </c>
      <c r="AA78" s="21">
        <f>EXP(-LN(2)/25)*AA77+(1-EXP(-LN(2)/25))/(LN(2)/25)*Calculateur!V78*Calculateur!X78*VLOOKUP('Données projet'!$B$9,Paramètres!$A$1:$I$89,3,0)*0.475*44/12</f>
        <v>1.7030663902231076</v>
      </c>
      <c r="AB78" s="21">
        <f>EXP(-LN(2)/2)*AB77+(1-EXP(-LN(2)/2))/(LN(2)/2)*V78*Y78*VLOOKUP('Données projet'!$B$9,Paramètres!$A$1:$I$89,3,0)*0.475*44/12</f>
        <v>2.8287964437082709E-8</v>
      </c>
      <c r="AC78" s="22">
        <f t="shared" si="57"/>
        <v>20.50240269548495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45.052799999999948</v>
      </c>
      <c r="D79" s="11">
        <f t="shared" si="86"/>
        <v>13.32848035129909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450.66251499248386</v>
      </c>
      <c r="H79" s="67">
        <f t="shared" si="56"/>
        <v>395.01406327851248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39.053454142601367</v>
      </c>
      <c r="T79" s="59">
        <f t="shared" si="88"/>
        <v>225.79068168427801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18.430692759045332</v>
      </c>
      <c r="AA79" s="21">
        <f>EXP(-LN(2)/25)*AA78+(1-EXP(-LN(2)/25))/(LN(2)/25)*Calculateur!V79*Calculateur!X79*VLOOKUP('Données projet'!$B$9,Paramètres!$A$1:$I$89,3,0)*0.475*44/12</f>
        <v>1.6564959502220877</v>
      </c>
      <c r="AB79" s="21">
        <f>EXP(-LN(2)/2)*AB78+(1-EXP(-LN(2)/2))/(LN(2)/2)*V79*Y79*VLOOKUP('Données projet'!$B$9,Paramètres!$A$1:$I$89,3,0)*0.475*44/12</f>
        <v>2.0002611479425081E-8</v>
      </c>
      <c r="AC79" s="22">
        <f t="shared" si="57"/>
        <v>20.087188729270032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45.645599999999945</v>
      </c>
      <c r="D80" s="11">
        <f t="shared" si="86"/>
        <v>13.483323382303881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456.43379453006463</v>
      </c>
      <c r="H80" s="67">
        <f t="shared" si="56"/>
        <v>396.31620822417915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39.053454142601367</v>
      </c>
      <c r="T80" s="59">
        <f t="shared" si="88"/>
        <v>225.79068168427801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18.06927811565302</v>
      </c>
      <c r="AA80" s="21">
        <f>EXP(-LN(2)/25)*AA79+(1-EXP(-LN(2)/25))/(LN(2)/25)*Calculateur!V80*Calculateur!X80*VLOOKUP('Données projet'!$B$9,Paramètres!$A$1:$I$89,3,0)*0.475*44/12</f>
        <v>1.6111989813519287</v>
      </c>
      <c r="AB80" s="21">
        <f>EXP(-LN(2)/2)*AB79+(1-EXP(-LN(2)/2))/(LN(2)/2)*V80*Y80*VLOOKUP('Données projet'!$B$9,Paramètres!$A$1:$I$89,3,0)*0.475*44/12</f>
        <v>1.4143982218541354E-8</v>
      </c>
      <c r="AC80" s="22">
        <f t="shared" si="57"/>
        <v>19.680477111148932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46.238399999999942</v>
      </c>
      <c r="D81" s="11">
        <f t="shared" si="86"/>
        <v>13.637932508790342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462.20326848890744</v>
      </c>
      <c r="H81" s="67">
        <f t="shared" si="56"/>
        <v>397.61794578614308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39.053454142601367</v>
      </c>
      <c r="T81" s="59">
        <f t="shared" si="88"/>
        <v>225.79068168427801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17.714950592976464</v>
      </c>
      <c r="AA81" s="21">
        <f>EXP(-LN(2)/25)*AA80+(1-EXP(-LN(2)/25))/(LN(2)/25)*Calculateur!V81*Calculateur!X81*VLOOKUP('Données projet'!$B$9,Paramètres!$A$1:$I$89,3,0)*0.475*44/12</f>
        <v>1.5671406604775882</v>
      </c>
      <c r="AB81" s="21">
        <f>EXP(-LN(2)/2)*AB80+(1-EXP(-LN(2)/2))/(LN(2)/2)*V81*Y81*VLOOKUP('Données projet'!$B$9,Paramètres!$A$1:$I$89,3,0)*0.475*44/12</f>
        <v>1.000130573971254E-8</v>
      </c>
      <c r="AC81" s="22">
        <f t="shared" si="57"/>
        <v>19.282091263455357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46.831199999999939</v>
      </c>
      <c r="D82" s="11">
        <f t="shared" si="86"/>
        <v>13.792311076279473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467.97096269408667</v>
      </c>
      <c r="H82" s="67">
        <f t="shared" si="56"/>
        <v>398.91928179118662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39.053454142601367</v>
      </c>
      <c r="T82" s="59">
        <f t="shared" si="88"/>
        <v>225.79068168427801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17.367571216901148</v>
      </c>
      <c r="AA82" s="21">
        <f>EXP(-LN(2)/25)*AA81+(1-EXP(-LN(2)/25))/(LN(2)/25)*Calculateur!V82*Calculateur!X82*VLOOKUP('Données projet'!$B$9,Paramètres!$A$1:$I$89,3,0)*0.475*44/12</f>
        <v>1.5242871167044829</v>
      </c>
      <c r="AB82" s="21">
        <f>EXP(-LN(2)/2)*AB81+(1-EXP(-LN(2)/2))/(LN(2)/2)*V82*Y82*VLOOKUP('Données projet'!$B$9,Paramètres!$A$1:$I$89,3,0)*0.475*44/12</f>
        <v>7.0719911092706772E-9</v>
      </c>
      <c r="AC82" s="22">
        <f t="shared" si="57"/>
        <v>18.891858340677622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47.423999999999936</v>
      </c>
      <c r="D83" s="11">
        <f t="shared" si="86"/>
        <v>13.946462340725047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473.73690227928063</v>
      </c>
      <c r="H83" s="67">
        <f t="shared" si="56"/>
        <v>400.22022191009597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39.053454142601367</v>
      </c>
      <c r="T83" s="59">
        <f t="shared" si="88"/>
        <v>225.79068168427801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17.027003738510171</v>
      </c>
      <c r="AA83" s="21">
        <f>EXP(-LN(2)/25)*AA82+(1-EXP(-LN(2)/25))/(LN(2)/25)*Calculateur!V83*Calculateur!X83*VLOOKUP('Données projet'!$B$9,Paramètres!$A$1:$I$89,3,0)*0.475*44/12</f>
        <v>1.4826054053394231</v>
      </c>
      <c r="AB83" s="21">
        <f>EXP(-LN(2)/2)*AB82+(1-EXP(-LN(2)/2))/(LN(2)/2)*V83*Y83*VLOOKUP('Données projet'!$B$9,Paramètres!$A$1:$I$89,3,0)*0.475*44/12</f>
        <v>5.0006528698562702E-9</v>
      </c>
      <c r="AC83" s="22">
        <f t="shared" si="57"/>
        <v>18.509609148850249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48.016799999999932</v>
      </c>
      <c r="D84" s="11">
        <f t="shared" si="86"/>
        <v>14.100389472000531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479.50111171368781</v>
      </c>
      <c r="H84" s="67">
        <f t="shared" si="56"/>
        <v>401.52077166373414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39.053454142601367</v>
      </c>
      <c r="T84" s="59">
        <f t="shared" si="88"/>
        <v>225.79068168427801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16.693114580644789</v>
      </c>
      <c r="AA84" s="21">
        <f>EXP(-LN(2)/25)*AA83+(1-EXP(-LN(2)/25))/(LN(2)/25)*Calculateur!V84*Calculateur!X84*VLOOKUP('Données projet'!$B$9,Paramètres!$A$1:$I$89,3,0)*0.475*44/12</f>
        <v>1.4420634825635867</v>
      </c>
      <c r="AB84" s="21">
        <f>EXP(-LN(2)/2)*AB83+(1-EXP(-LN(2)/2))/(LN(2)/2)*V84*Y84*VLOOKUP('Données projet'!$B$9,Paramètres!$A$1:$I$89,3,0)*0.475*44/12</f>
        <v>3.5359955546353386E-9</v>
      </c>
      <c r="AC84" s="22">
        <f t="shared" si="57"/>
        <v>18.13517806674437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48.609599999999929</v>
      </c>
      <c r="D85" s="11">
        <f t="shared" si="86"/>
        <v>14.254095557208933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485.26361482757716</v>
      </c>
      <c r="H85" s="67">
        <f t="shared" si="56"/>
        <v>402.8209364288054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39.053454142601367</v>
      </c>
      <c r="T85" s="59">
        <f t="shared" si="88"/>
        <v>225.79068168427801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16.365772785512871</v>
      </c>
      <c r="AA85" s="21">
        <f>EXP(-LN(2)/25)*AA84+(1-EXP(-LN(2)/25))/(LN(2)/25)*Calculateur!V85*Calculateur!X85*VLOOKUP('Données projet'!$B$9,Paramètres!$A$1:$I$89,3,0)*0.475*44/12</f>
        <v>1.4026301807980628</v>
      </c>
      <c r="AB85" s="21">
        <f>EXP(-LN(2)/2)*AB84+(1-EXP(-LN(2)/2))/(LN(2)/2)*V85*Y85*VLOOKUP('Données projet'!$B$9,Paramètres!$A$1:$I$89,3,0)*0.475*44/12</f>
        <v>2.5003264349281351E-9</v>
      </c>
      <c r="AC85" s="22">
        <f t="shared" si="57"/>
        <v>17.768402968811259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49.202399999999926</v>
      </c>
      <c r="D86" s="11">
        <f t="shared" si="86"/>
        <v>14.40758360382652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491.02443483655514</v>
      </c>
      <c r="H86" s="67">
        <f t="shared" si="56"/>
        <v>404.12072144333104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39.053454142601367</v>
      </c>
      <c r="T86" s="59">
        <f t="shared" si="88"/>
        <v>225.79068168427801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16.044849963324708</v>
      </c>
      <c r="AA86" s="21">
        <f>EXP(-LN(2)/25)*AA85+(1-EXP(-LN(2)/25))/(LN(2)/25)*Calculateur!V86*Calculateur!X86*VLOOKUP('Données projet'!$B$9,Paramètres!$A$1:$I$89,3,0)*0.475*44/12</f>
        <v>1.3642751847430243</v>
      </c>
      <c r="AB86" s="21">
        <f>EXP(-LN(2)/2)*AB85+(1-EXP(-LN(2)/2))/(LN(2)/2)*V86*Y86*VLOOKUP('Données projet'!$B$9,Paramètres!$A$1:$I$89,3,0)*0.475*44/12</f>
        <v>1.7679977773176693E-9</v>
      </c>
      <c r="AC86" s="22">
        <f t="shared" si="57"/>
        <v>17.409125149835731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49.795199999999923</v>
      </c>
      <c r="D87" s="11">
        <f t="shared" si="86"/>
        <v>14.560856542690761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496.78359436462978</v>
      </c>
      <c r="H87" s="67">
        <f t="shared" si="56"/>
        <v>405.42013181185291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39.053454142601367</v>
      </c>
      <c r="T87" s="59">
        <f t="shared" si="88"/>
        <v>225.79068168427801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15.730220241936061</v>
      </c>
      <c r="AA87" s="21">
        <f>EXP(-LN(2)/25)*AA86+(1-EXP(-LN(2)/25))/(LN(2)/25)*Calculateur!V87*Calculateur!X87*VLOOKUP('Données projet'!$B$9,Paramètres!$A$1:$I$89,3,0)*0.475*44/12</f>
        <v>1.3269690080721124</v>
      </c>
      <c r="AB87" s="21">
        <f>EXP(-LN(2)/2)*AB86+(1-EXP(-LN(2)/2))/(LN(2)/2)*V87*Y87*VLOOKUP('Données projet'!$B$9,Paramètres!$A$1:$I$89,3,0)*0.475*44/12</f>
        <v>1.2501632174640675E-9</v>
      </c>
      <c r="AC87" s="22">
        <f t="shared" si="57"/>
        <v>17.05718925125834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50.38799999999992</v>
      </c>
      <c r="D88" s="11">
        <f t="shared" si="86"/>
        <v>14.713917230841947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502.5411154661478</v>
      </c>
      <c r="H88" s="67">
        <f t="shared" si="56"/>
        <v>406.71917251038286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39.053454142601367</v>
      </c>
      <c r="T88" s="59">
        <f t="shared" si="88"/>
        <v>225.79068168427801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15.421760217478665</v>
      </c>
      <c r="AA88" s="21">
        <f>EXP(-LN(2)/25)*AA87+(1-EXP(-LN(2)/25))/(LN(2)/25)*Calculateur!V88*Calculateur!X88*VLOOKUP('Données projet'!$B$9,Paramètres!$A$1:$I$89,3,0)*0.475*44/12</f>
        <v>1.2906829707641132</v>
      </c>
      <c r="AB88" s="21">
        <f>EXP(-LN(2)/2)*AB87+(1-EXP(-LN(2)/2))/(LN(2)/2)*V88*Y88*VLOOKUP('Données projet'!$B$9,Paramètres!$A$1:$I$89,3,0)*0.475*44/12</f>
        <v>8.8399888865883465E-10</v>
      </c>
      <c r="AC88" s="22">
        <f t="shared" si="57"/>
        <v>16.71244318912678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50.980799999999917</v>
      </c>
      <c r="D89" s="11">
        <f t="shared" si="86"/>
        <v>14.866768454227216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508.29701964666555</v>
      </c>
      <c r="H89" s="67">
        <f t="shared" si="56"/>
        <v>408.01784839111224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39.053454142601367</v>
      </c>
      <c r="T89" s="59">
        <f t="shared" si="88"/>
        <v>225.79068168427801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15.119348905958843</v>
      </c>
      <c r="AA89" s="21">
        <f>EXP(-LN(2)/25)*AA88+(1-EXP(-LN(2)/25))/(LN(2)/25)*Calculateur!V89*Calculateur!X89*VLOOKUP('Données projet'!$B$9,Paramètres!$A$1:$I$89,3,0)*0.475*44/12</f>
        <v>1.2553891770545009</v>
      </c>
      <c r="AB89" s="21">
        <f>EXP(-LN(2)/2)*AB88+(1-EXP(-LN(2)/2))/(LN(2)/2)*V89*Y89*VLOOKUP('Données projet'!$B$9,Paramètres!$A$1:$I$89,3,0)*0.475*44/12</f>
        <v>6.2508160873203377E-10</v>
      </c>
      <c r="AC89" s="22">
        <f t="shared" si="57"/>
        <v>16.374738083638427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51.573599999999914</v>
      </c>
      <c r="D90" s="11">
        <f t="shared" si="86"/>
        <v>15.019412930275296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514.05132788282617</v>
      </c>
      <c r="H90" s="67">
        <f t="shared" si="56"/>
        <v>409.31616418689595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39.053454142601367</v>
      </c>
      <c r="T90" s="59">
        <f t="shared" si="88"/>
        <v>225.79068168427801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14.822867695805236</v>
      </c>
      <c r="AA90" s="21">
        <f>EXP(-LN(2)/25)*AA89+(1-EXP(-LN(2)/25))/(LN(2)/25)*Calculateur!V90*Calculateur!X90*VLOOKUP('Données projet'!$B$9,Paramètres!$A$1:$I$89,3,0)*0.475*44/12</f>
        <v>1.2210604939898979</v>
      </c>
      <c r="AB90" s="21">
        <f>EXP(-LN(2)/2)*AB89+(1-EXP(-LN(2)/2))/(LN(2)/2)*V90*Y90*VLOOKUP('Données projet'!$B$9,Paramètres!$A$1:$I$89,3,0)*0.475*44/12</f>
        <v>4.4199944432941733E-10</v>
      </c>
      <c r="AC90" s="22">
        <f t="shared" si="57"/>
        <v>16.043928190237136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52.166399999999911</v>
      </c>
      <c r="D91" s="11">
        <f t="shared" si="86"/>
        <v>15.171853310349414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519.80406064129306</v>
      </c>
      <c r="H91" s="67">
        <f t="shared" si="56"/>
        <v>410.61412451552508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39.053454142601367</v>
      </c>
      <c r="T91" s="59">
        <f t="shared" si="88"/>
        <v>225.79068168427801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14.532200301347059</v>
      </c>
      <c r="AA91" s="21">
        <f>EXP(-LN(2)/25)*AA90+(1-EXP(-LN(2)/25))/(LN(2)/25)*Calculateur!V91*Calculateur!X91*VLOOKUP('Données projet'!$B$9,Paramètres!$A$1:$I$89,3,0)*0.475*44/12</f>
        <v>1.1876705305689634</v>
      </c>
      <c r="AB91" s="21">
        <f>EXP(-LN(2)/2)*AB90+(1-EXP(-LN(2)/2))/(LN(2)/2)*V91*Y91*VLOOKUP('Données projet'!$B$9,Paramètres!$A$1:$I$89,3,0)*0.475*44/12</f>
        <v>3.1254080436601689E-10</v>
      </c>
      <c r="AC91" s="22">
        <f t="shared" si="57"/>
        <v>15.719870832228564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52.759199999999908</v>
      </c>
      <c r="D92" s="11">
        <f t="shared" si="86"/>
        <v>15.324092182085595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525.55523789680035</v>
      </c>
      <c r="H92" s="67">
        <f t="shared" si="56"/>
        <v>411.91173388379889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39.053454142601367</v>
      </c>
      <c r="T92" s="59">
        <f t="shared" si="88"/>
        <v>225.79068168427801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14.247232717204602</v>
      </c>
      <c r="AA92" s="21">
        <f>EXP(-LN(2)/25)*AA91+(1-EXP(-LN(2)/25))/(LN(2)/25)*Calculateur!V92*Calculateur!X92*VLOOKUP('Données projet'!$B$9,Paramètres!$A$1:$I$89,3,0)*0.475*44/12</f>
        <v>1.1551936174536763</v>
      </c>
      <c r="AB92" s="21">
        <f>EXP(-LN(2)/2)*AB91+(1-EXP(-LN(2)/2))/(LN(2)/2)*V92*Y92*VLOOKUP('Données projet'!$B$9,Paramètres!$A$1:$I$89,3,0)*0.475*44/12</f>
        <v>2.2099972216470866E-10</v>
      </c>
      <c r="AC92" s="22">
        <f t="shared" si="57"/>
        <v>15.402426334879278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53.351999999999904</v>
      </c>
      <c r="D93" s="11">
        <f t="shared" si="86"/>
        <v>15.476132071622814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531.30487914936839</v>
      </c>
      <c r="H93" s="67">
        <f t="shared" si="56"/>
        <v>413.20899669140954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39.053454142601367</v>
      </c>
      <c r="T93" s="59">
        <f t="shared" si="88"/>
        <v>225.79068168427801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13.967853173574115</v>
      </c>
      <c r="AA93" s="21">
        <f>EXP(-LN(2)/25)*AA92+(1-EXP(-LN(2)/25))/(LN(2)/25)*Calculateur!V93*Calculateur!X93*VLOOKUP('Données projet'!$B$9,Paramètres!$A$1:$I$89,3,0)*0.475*44/12</f>
        <v>1.1236047872354133</v>
      </c>
      <c r="AB93" s="21">
        <f>EXP(-LN(2)/2)*AB92+(1-EXP(-LN(2)/2))/(LN(2)/2)*V93*Y93*VLOOKUP('Données projet'!$B$9,Paramètres!$A$1:$I$89,3,0)*0.475*44/12</f>
        <v>1.5627040218300844E-10</v>
      </c>
      <c r="AC93" s="22">
        <f t="shared" si="57"/>
        <v>15.091457960965798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53.944799999999901</v>
      </c>
      <c r="D94" s="11">
        <f t="shared" si="86"/>
        <v>15.627975445731293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537.05300344073203</v>
      </c>
      <c r="H94" s="67">
        <f t="shared" si="56"/>
        <v>414.50591723464851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39.053454142601367</v>
      </c>
      <c r="T94" s="59">
        <f t="shared" si="88"/>
        <v>225.79068168427801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13.693952092389527</v>
      </c>
      <c r="AA94" s="21">
        <f>EXP(-LN(2)/25)*AA93+(1-EXP(-LN(2)/25))/(LN(2)/25)*Calculateur!V94*Calculateur!X94*VLOOKUP('Données projet'!$B$9,Paramètres!$A$1:$I$89,3,0)*0.475*44/12</f>
        <v>1.0928797552406533</v>
      </c>
      <c r="AB94" s="21">
        <f>EXP(-LN(2)/2)*AB93+(1-EXP(-LN(2)/2))/(LN(2)/2)*V94*Y94*VLOOKUP('Données projet'!$B$9,Paramètres!$A$1:$I$89,3,0)*0.475*44/12</f>
        <v>1.1049986108235433E-10</v>
      </c>
      <c r="AC94" s="22">
        <f t="shared" si="57"/>
        <v>14.786831847740681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54.537599999999898</v>
      </c>
      <c r="D95" s="11">
        <f t="shared" si="86"/>
        <v>15.779624713844433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542.79962937002642</v>
      </c>
      <c r="H95" s="67">
        <f t="shared" si="56"/>
        <v>415.80249970994549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39.053454142601367</v>
      </c>
      <c r="T95" s="59">
        <f t="shared" si="88"/>
        <v>225.79068168427801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13.425422044343804</v>
      </c>
      <c r="AA95" s="21">
        <f>EXP(-LN(2)/25)*AA94+(1-EXP(-LN(2)/25))/(LN(2)/25)*Calculateur!V95*Calculateur!X95*VLOOKUP('Données projet'!$B$9,Paramètres!$A$1:$I$89,3,0)*0.475*44/12</f>
        <v>1.0629949008615491</v>
      </c>
      <c r="AB95" s="21">
        <f>EXP(-LN(2)/2)*AB94+(1-EXP(-LN(2)/2))/(LN(2)/2)*V95*Y95*VLOOKUP('Données projet'!$B$9,Paramètres!$A$1:$I$89,3,0)*0.475*44/12</f>
        <v>7.8135201091504222E-11</v>
      </c>
      <c r="AC95" s="22">
        <f t="shared" si="57"/>
        <v>14.488416945283488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55.130399999999895</v>
      </c>
      <c r="D96" s="11">
        <f t="shared" si="86"/>
        <v>15.931082230000007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548.5447751087712</v>
      </c>
      <c r="H96" s="67">
        <f t="shared" si="56"/>
        <v>417.09874821724981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39.053454142601367</v>
      </c>
      <c r="T96" s="59">
        <f t="shared" si="88"/>
        <v>225.79068168427801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13.162157706753103</v>
      </c>
      <c r="AA96" s="21">
        <f>EXP(-LN(2)/25)*AA95+(1-EXP(-LN(2)/25))/(LN(2)/25)*Calculateur!V96*Calculateur!X96*VLOOKUP('Données projet'!$B$9,Paramètres!$A$1:$I$89,3,0)*0.475*44/12</f>
        <v>1.0339272493970177</v>
      </c>
      <c r="AB96" s="21">
        <f>EXP(-LN(2)/2)*AB95+(1-EXP(-LN(2)/2))/(LN(2)/2)*V96*Y96*VLOOKUP('Données projet'!$B$9,Paramètres!$A$1:$I$89,3,0)*0.475*44/12</f>
        <v>5.5249930541177166E-11</v>
      </c>
      <c r="AC96" s="22">
        <f t="shared" si="57"/>
        <v>14.19608495620537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55.723199999999892</v>
      </c>
      <c r="D97" s="11">
        <f t="shared" si="86"/>
        <v>16.08235029469542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554.28845841519194</v>
      </c>
      <c r="H97" s="67">
        <f t="shared" si="56"/>
        <v>418.394666763261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39.053454142601367</v>
      </c>
      <c r="T97" s="59">
        <f t="shared" si="88"/>
        <v>225.79068168427801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12.904055822247164</v>
      </c>
      <c r="AA97" s="21">
        <f>EXP(-LN(2)/25)*AA96+(1-EXP(-LN(2)/25))/(LN(2)/25)*Calculateur!V97*Calculateur!X97*VLOOKUP('Données projet'!$B$9,Paramètres!$A$1:$I$89,3,0)*0.475*44/12</f>
        <v>1.0056544543903854</v>
      </c>
      <c r="AB97" s="21">
        <f>EXP(-LN(2)/2)*AB96+(1-EXP(-LN(2)/2))/(LN(2)/2)*V97*Y97*VLOOKUP('Données projet'!$B$9,Paramètres!$A$1:$I$89,3,0)*0.475*44/12</f>
        <v>3.9067600545752111E-11</v>
      </c>
      <c r="AC97" s="22">
        <f t="shared" si="57"/>
        <v>13.909710276676616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56.315999999999889</v>
      </c>
      <c r="D98" s="11">
        <f t="shared" si="86"/>
        <v>16.233431156661798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560.03069664791474</v>
      </c>
      <c r="H98" s="67">
        <f t="shared" si="56"/>
        <v>419.69025926451906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39.053454142601367</v>
      </c>
      <c r="T98" s="59">
        <f t="shared" si="88"/>
        <v>225.79068168427801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12.651015158269782</v>
      </c>
      <c r="AA98" s="21">
        <f>EXP(-LN(2)/25)*AA97+(1-EXP(-LN(2)/25))/(LN(2)/25)*Calculateur!V98*Calculateur!X98*VLOOKUP('Données projet'!$B$9,Paramètres!$A$1:$I$89,3,0)*0.475*44/12</f>
        <v>0.97815478045001103</v>
      </c>
      <c r="AB98" s="21">
        <f>EXP(-LN(2)/2)*AB97+(1-EXP(-LN(2)/2))/(LN(2)/2)*V98*Y98*VLOOKUP('Données projet'!$B$9,Paramètres!$A$1:$I$89,3,0)*0.475*44/12</f>
        <v>2.7624965270588583E-11</v>
      </c>
      <c r="AC98" s="22">
        <f t="shared" si="57"/>
        <v>13.629169938747417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56.908799999999886</v>
      </c>
      <c r="D99" s="11">
        <f t="shared" si="86"/>
        <v>16.384327014561176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565.77150677906786</v>
      </c>
      <c r="H99" s="67">
        <f t="shared" si="56"/>
        <v>420.98552955036052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39.053454142601367</v>
      </c>
      <c r="T99" s="59">
        <f t="shared" si="88"/>
        <v>225.79068168427801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12.402936467373431</v>
      </c>
      <c r="AA99" s="21">
        <f>EXP(-LN(2)/25)*AA98+(1-EXP(-LN(2)/25))/(LN(2)/25)*Calculateur!V99*Calculateur!X99*VLOOKUP('Données projet'!$B$9,Paramètres!$A$1:$I$89,3,0)*0.475*44/12</f>
        <v>0.9514070865396812</v>
      </c>
      <c r="AB99" s="21">
        <f>EXP(-LN(2)/2)*AB98+(1-EXP(-LN(2)/2))/(LN(2)/2)*V99*Y99*VLOOKUP('Données projet'!$B$9,Paramètres!$A$1:$I$89,3,0)*0.475*44/12</f>
        <v>1.9533800272876055E-11</v>
      </c>
      <c r="AC99" s="22">
        <f t="shared" si="57"/>
        <v>13.354343553932647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57.501599999999883</v>
      </c>
      <c r="D100" s="11">
        <f t="shared" si="86"/>
        <v>16.535040018611035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571.51090540682117</v>
      </c>
      <c r="H100" s="67">
        <f t="shared" si="56"/>
        <v>422.28048136574728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39.053454142601367</v>
      </c>
      <c r="T100" s="59">
        <f t="shared" si="88"/>
        <v>225.79068168427801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12.159722448292497</v>
      </c>
      <c r="AA100" s="21">
        <f>EXP(-LN(2)/25)*AA99+(1-EXP(-LN(2)/25))/(LN(2)/25)*Calculateur!V100*Calculateur!X100*VLOOKUP('Données projet'!$B$9,Paramètres!$A$1:$I$89,3,0)*0.475*44/12</f>
        <v>0.92539080972592935</v>
      </c>
      <c r="AB100" s="21">
        <f>EXP(-LN(2)/2)*AB99+(1-EXP(-LN(2)/2))/(LN(2)/2)*V100*Y100*VLOOKUP('Données projet'!$B$9,Paramètres!$A$1:$I$89,3,0)*0.475*44/12</f>
        <v>1.3812482635294291E-11</v>
      </c>
      <c r="AC100" s="22">
        <f t="shared" si="57"/>
        <v>13.085113258032239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58.094399999999879</v>
      </c>
      <c r="D101" s="11">
        <f t="shared" si="86"/>
        <v>16.685572272139861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577.2489087673946</v>
      </c>
      <c r="H101" s="67">
        <f t="shared" si="56"/>
        <v>423.57511837397669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39.053454142601367</v>
      </c>
      <c r="T101" s="59">
        <f t="shared" si="88"/>
        <v>225.79068168427801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11.921277707779836</v>
      </c>
      <c r="AA101" s="21">
        <f>EXP(-LN(2)/25)*AA100+(1-EXP(-LN(2)/25))/(LN(2)/25)*Calculateur!V101*Calculateur!X101*VLOOKUP('Données projet'!$B$9,Paramètres!$A$1:$I$89,3,0)*0.475*44/12</f>
        <v>0.90008594936978614</v>
      </c>
      <c r="AB101" s="21">
        <f>EXP(-LN(2)/2)*AB100+(1-EXP(-LN(2)/2))/(LN(2)/2)*V101*Y101*VLOOKUP('Données projet'!$B$9,Paramètres!$A$1:$I$89,3,0)*0.475*44/12</f>
        <v>9.7669001364380277E-12</v>
      </c>
      <c r="AC101" s="22">
        <f t="shared" si="57"/>
        <v>12.821363657159388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58.687199999999876</v>
      </c>
      <c r="D102" s="11">
        <f t="shared" si="86"/>
        <v>16.835925833077511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582.98553274656228</v>
      </c>
      <c r="H102" s="67">
        <f t="shared" si="56"/>
        <v>424.86944415927644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39.053454142601367</v>
      </c>
      <c r="T102" s="59">
        <f t="shared" si="88"/>
        <v>225.79068168427801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11.687508723191698</v>
      </c>
      <c r="AA102" s="21">
        <f>EXP(-LN(2)/25)*AA101+(1-EXP(-LN(2)/25))/(LN(2)/25)*Calculateur!V102*Calculateur!X102*VLOOKUP('Données projet'!$B$9,Paramètres!$A$1:$I$89,3,0)*0.475*44/12</f>
        <v>0.87547305175080647</v>
      </c>
      <c r="AB102" s="21">
        <f>EXP(-LN(2)/2)*AB101+(1-EXP(-LN(2)/2))/(LN(2)/2)*V102*Y102*VLOOKUP('Données projet'!$B$9,Paramètres!$A$1:$I$89,3,0)*0.475*44/12</f>
        <v>6.9062413176471457E-12</v>
      </c>
      <c r="AC102" s="22">
        <f t="shared" si="57"/>
        <v>12.56298177494941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59.279999999999873</v>
      </c>
      <c r="D103" s="11">
        <f t="shared" si="86"/>
        <v>16.986102715383439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588.72079289067824</v>
      </c>
      <c r="H103" s="67">
        <f t="shared" si="56"/>
        <v>426.16346222929258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39.053454142601367</v>
      </c>
      <c r="T103" s="59">
        <f t="shared" si="88"/>
        <v>225.79068168427801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11.458323805806332</v>
      </c>
      <c r="AA103" s="21">
        <f>EXP(-LN(2)/25)*AA102+(1-EXP(-LN(2)/25))/(LN(2)/25)*Calculateur!V103*Calculateur!X103*VLOOKUP('Données projet'!$B$9,Paramètres!$A$1:$I$89,3,0)*0.475*44/12</f>
        <v>0.85153319511155379</v>
      </c>
      <c r="AB103" s="21">
        <f>EXP(-LN(2)/2)*AB102+(1-EXP(-LN(2)/2))/(LN(2)/2)*V103*Y103*VLOOKUP('Données projet'!$B$9,Paramètres!$A$1:$I$89,3,0)*0.475*44/12</f>
        <v>4.8834500682190139E-12</v>
      </c>
      <c r="AC103" s="22">
        <f t="shared" si="57"/>
        <v>12.309857000922769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59.87279999999987</v>
      </c>
      <c r="D104" s="11">
        <f t="shared" si="86"/>
        <v>17.136104890416402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594.45470441724854</v>
      </c>
      <c r="H104" s="67">
        <f t="shared" si="56"/>
        <v>427.45717601747504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39.053454142601367</v>
      </c>
      <c r="T104" s="59">
        <f t="shared" si="88"/>
        <v>225.79068168427801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11.233633064861897</v>
      </c>
      <c r="AA104" s="21">
        <f>EXP(-LN(2)/25)*AA103+(1-EXP(-LN(2)/25))/(LN(2)/25)*Calculateur!V104*Calculateur!X104*VLOOKUP('Données projet'!$B$9,Paramètres!$A$1:$I$89,3,0)*0.475*44/12</f>
        <v>0.82824797511104387</v>
      </c>
      <c r="AB104" s="21">
        <f>EXP(-LN(2)/2)*AB103+(1-EXP(-LN(2)/2))/(LN(2)/2)*V104*Y104*VLOOKUP('Données projet'!$B$9,Paramètres!$A$1:$I$89,3,0)*0.475*44/12</f>
        <v>3.4531206588235729E-12</v>
      </c>
      <c r="AC104" s="22">
        <f t="shared" si="57"/>
        <v>12.061881039976393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60.465599999999867</v>
      </c>
      <c r="D105" s="11">
        <f t="shared" si="86"/>
        <v>17.285934288248164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600.18728222507252</v>
      </c>
      <c r="H105" s="67">
        <f t="shared" si="56"/>
        <v>428.75058888536529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39.053454142601367</v>
      </c>
      <c r="T105" s="59">
        <f t="shared" si="88"/>
        <v>225.79068168427801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11.013348372299561</v>
      </c>
      <c r="AA105" s="21">
        <f>EXP(-LN(2)/25)*AA104+(1-EXP(-LN(2)/25))/(LN(2)/25)*Calculateur!V105*Calculateur!X105*VLOOKUP('Données projet'!$B$9,Paramètres!$A$1:$I$89,3,0)*0.475*44/12</f>
        <v>0.80559949067596437</v>
      </c>
      <c r="AB105" s="21">
        <f>EXP(-LN(2)/2)*AB104+(1-EXP(-LN(2)/2))/(LN(2)/2)*V105*Y105*VLOOKUP('Données projet'!$B$9,Paramètres!$A$1:$I$89,3,0)*0.475*44/12</f>
        <v>2.4417250341095069E-12</v>
      </c>
      <c r="AC105" s="22">
        <f t="shared" si="57"/>
        <v>11.818947862977968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61.058399999999864</v>
      </c>
      <c r="D106" s="11">
        <f t="shared" si="86"/>
        <v>17.435592798924347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605.91854090397646</v>
      </c>
      <c r="H106" s="67">
        <f t="shared" si="56"/>
        <v>430.04370412479295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39.053454142601367</v>
      </c>
      <c r="T106" s="59">
        <f t="shared" si="88"/>
        <v>225.79068168427801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10.797383328197977</v>
      </c>
      <c r="AA106" s="21">
        <f>EXP(-LN(2)/25)*AA105+(1-EXP(-LN(2)/25))/(LN(2)/25)*Calculateur!V106*Calculateur!X106*VLOOKUP('Données projet'!$B$9,Paramètres!$A$1:$I$89,3,0)*0.475*44/12</f>
        <v>0.78357033023879408</v>
      </c>
      <c r="AB106" s="21">
        <f>EXP(-LN(2)/2)*AB105+(1-EXP(-LN(2)/2))/(LN(2)/2)*V106*Y106*VLOOKUP('Données projet'!$B$9,Paramètres!$A$1:$I$89,3,0)*0.475*44/12</f>
        <v>1.7265603294117864E-12</v>
      </c>
      <c r="AC106" s="22">
        <f t="shared" si="57"/>
        <v>11.580953658438498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61.651199999999861</v>
      </c>
      <c r="D107" s="11">
        <f t="shared" si="86"/>
        <v>17.585082273674864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611.64849474415587</v>
      </c>
      <c r="H107" s="67">
        <f t="shared" si="56"/>
        <v>431.33652495998342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39.053454142601367</v>
      </c>
      <c r="T107" s="59">
        <f t="shared" si="88"/>
        <v>225.79068168427801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10.585653226885556</v>
      </c>
      <c r="AA107" s="21">
        <f>EXP(-LN(2)/25)*AA106+(1-EXP(-LN(2)/25))/(LN(2)/25)*Calculateur!V107*Calculateur!X107*VLOOKUP('Données projet'!$B$9,Paramètres!$A$1:$I$89,3,0)*0.475*44/12</f>
        <v>0.76214355835224146</v>
      </c>
      <c r="AB107" s="21">
        <f>EXP(-LN(2)/2)*AB106+(1-EXP(-LN(2)/2))/(LN(2)/2)*V107*Y107*VLOOKUP('Données projet'!$B$9,Paramètres!$A$1:$I$89,3,0)*0.475*44/12</f>
        <v>1.2208625170547535E-12</v>
      </c>
      <c r="AC107" s="22">
        <f t="shared" si="57"/>
        <v>11.347796785239018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62.243999999999858</v>
      </c>
      <c r="D108" s="11">
        <f t="shared" si="86"/>
        <v>17.734404526076407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617.37715774515016</v>
      </c>
      <c r="H108" s="67">
        <f t="shared" si="56"/>
        <v>432.6290545495828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39.053454142601367</v>
      </c>
      <c r="T108" s="59">
        <f t="shared" si="88"/>
        <v>225.79068168427801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10.378075023717262</v>
      </c>
      <c r="AA108" s="21">
        <f>EXP(-LN(2)/25)*AA107+(1-EXP(-LN(2)/25))/(LN(2)/25)*Calculateur!V108*Calculateur!X108*VLOOKUP('Données projet'!$B$9,Paramètres!$A$1:$I$89,3,0)*0.475*44/12</f>
        <v>0.74130270266971154</v>
      </c>
      <c r="AB108" s="21">
        <f>EXP(-LN(2)/2)*AB107+(1-EXP(-LN(2)/2))/(LN(2)/2)*V108*Y108*VLOOKUP('Données projet'!$B$9,Paramètres!$A$1:$I$89,3,0)*0.475*44/12</f>
        <v>8.6328016470589321E-13</v>
      </c>
      <c r="AC108" s="22">
        <f t="shared" si="57"/>
        <v>11.119377726387837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62.836799999999855</v>
      </c>
      <c r="D109" s="11">
        <f t="shared" si="86"/>
        <v>17.883561333169517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623.10454362446524</v>
      </c>
      <c r="H109" s="67">
        <f t="shared" si="56"/>
        <v>433.92129598860328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39.053454142601367</v>
      </c>
      <c r="T109" s="59">
        <f t="shared" si="88"/>
        <v>225.79068168427801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10.174567302502895</v>
      </c>
      <c r="AA109" s="21">
        <f>EXP(-LN(2)/25)*AA108+(1-EXP(-LN(2)/25))/(LN(2)/25)*Calculateur!V109*Calculateur!X109*VLOOKUP('Données projet'!$B$9,Paramètres!$A$1:$I$89,3,0)*0.475*44/12</f>
        <v>0.72103174128179337</v>
      </c>
      <c r="AB109" s="21">
        <f>EXP(-LN(2)/2)*AB108+(1-EXP(-LN(2)/2))/(LN(2)/2)*V109*Y109*VLOOKUP('Données projet'!$B$9,Paramètres!$A$1:$I$89,3,0)*0.475*44/12</f>
        <v>6.1043125852737673E-13</v>
      </c>
      <c r="AC109" s="22">
        <f t="shared" si="57"/>
        <v>10.8955990437853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63.429599999999851</v>
      </c>
      <c r="D110" s="11">
        <f t="shared" si="86"/>
        <v>18.032554436532184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628.83066582586127</v>
      </c>
      <c r="H110" s="67">
        <f t="shared" si="56"/>
        <v>435.21325231029323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39.053454142601367</v>
      </c>
      <c r="T110" s="59">
        <f t="shared" si="88"/>
        <v>225.79068168427801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9.9750502435740884</v>
      </c>
      <c r="AA110" s="21">
        <f>EXP(-LN(2)/25)*AA109+(1-EXP(-LN(2)/25))/(LN(2)/25)*Calculateur!V110*Calculateur!X110*VLOOKUP('Données projet'!$B$9,Paramètres!$A$1:$I$89,3,0)*0.475*44/12</f>
        <v>0.70131509039903139</v>
      </c>
      <c r="AB110" s="21">
        <f>EXP(-LN(2)/2)*AB109+(1-EXP(-LN(2)/2))/(LN(2)/2)*V110*Y110*VLOOKUP('Données projet'!$B$9,Paramètres!$A$1:$I$89,3,0)*0.475*44/12</f>
        <v>4.3164008235294661E-13</v>
      </c>
      <c r="AC110" s="22">
        <f t="shared" si="57"/>
        <v>10.676365333973552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64.022399999999848</v>
      </c>
      <c r="D111" s="11">
        <f t="shared" si="86"/>
        <v>18.181385543312199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634.55553752732123</v>
      </c>
      <c r="H111" s="67">
        <f t="shared" si="56"/>
        <v>436.50492648793511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39.053454142601367</v>
      </c>
      <c r="T111" s="59">
        <f t="shared" si="88"/>
        <v>225.79068168427801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9.7794455924774866</v>
      </c>
      <c r="AA111" s="21">
        <f>EXP(-LN(2)/25)*AA110+(1-EXP(-LN(2)/25))/(LN(2)/25)*Calculateur!V111*Calculateur!X111*VLOOKUP('Données projet'!$B$9,Paramètres!$A$1:$I$89,3,0)*0.475*44/12</f>
        <v>0.68213759237151217</v>
      </c>
      <c r="AB111" s="21">
        <f>EXP(-LN(2)/2)*AB110+(1-EXP(-LN(2)/2))/(LN(2)/2)*V111*Y111*VLOOKUP('Données projet'!$B$9,Paramètres!$A$1:$I$89,3,0)*0.475*44/12</f>
        <v>3.0521562926368837E-13</v>
      </c>
      <c r="AC111" s="22">
        <f t="shared" si="57"/>
        <v>10.461583184849305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64.615199999999845</v>
      </c>
      <c r="D112" s="11">
        <f t="shared" si="86"/>
        <v>18.330056327220198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640.27917164871621</v>
      </c>
      <c r="H112" s="67">
        <f t="shared" si="56"/>
        <v>437.79632143657489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39.053454142601367</v>
      </c>
      <c r="T112" s="59">
        <f t="shared" si="88"/>
        <v>225.79068168427801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9.5876766292818321</v>
      </c>
      <c r="AA112" s="21">
        <f>EXP(-LN(2)/25)*AA111+(1-EXP(-LN(2)/25))/(LN(2)/25)*Calculateur!V112*Calculateur!X112*VLOOKUP('Données projet'!$B$9,Paramètres!$A$1:$I$89,3,0)*0.475*44/12</f>
        <v>0.66348450403605619</v>
      </c>
      <c r="AB112" s="21">
        <f>EXP(-LN(2)/2)*AB111+(1-EXP(-LN(2)/2))/(LN(2)/2)*V112*Y112*VLOOKUP('Données projet'!$B$9,Paramètres!$A$1:$I$89,3,0)*0.475*44/12</f>
        <v>2.158200411764733E-13</v>
      </c>
      <c r="AC112" s="22">
        <f t="shared" si="57"/>
        <v>10.251161133318103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65.207999999999842</v>
      </c>
      <c r="D113" s="11">
        <f t="shared" si="86"/>
        <v>18.478568429485165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646.00158085918258</v>
      </c>
      <c r="H113" s="67">
        <f t="shared" si="56"/>
        <v>439.08744001468636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39.053454142601367</v>
      </c>
      <c r="T113" s="59">
        <f t="shared" si="88"/>
        <v>225.79068168427801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9.3996681384869269</v>
      </c>
      <c r="AA113" s="21">
        <f>EXP(-LN(2)/25)*AA112+(1-EXP(-LN(2)/25))/(LN(2)/25)*Calculateur!V113*Calculateur!X113*VLOOKUP('Données projet'!$B$9,Paramètres!$A$1:$I$89,3,0)*0.475*44/12</f>
        <v>0.6453414853820566</v>
      </c>
      <c r="AB113" s="21">
        <f>EXP(-LN(2)/2)*AB112+(1-EXP(-LN(2)/2))/(LN(2)/2)*V113*Y113*VLOOKUP('Données projet'!$B$9,Paramètres!$A$1:$I$89,3,0)*0.475*44/12</f>
        <v>1.5260781463184418E-13</v>
      </c>
      <c r="AC113" s="22">
        <f t="shared" si="57"/>
        <v>10.045009623869136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65.800799999999839</v>
      </c>
      <c r="D114" s="11">
        <f t="shared" si="86"/>
        <v>18.626923459774257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651.72277758422115</v>
      </c>
      <c r="H114" s="67">
        <f t="shared" si="56"/>
        <v>440.37828502577315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39.053454142601367</v>
      </c>
      <c r="T114" s="59">
        <f t="shared" si="88"/>
        <v>225.79068168427801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9.2153463795226536</v>
      </c>
      <c r="AA114" s="21">
        <f>EXP(-LN(2)/25)*AA113+(1-EXP(-LN(2)/25))/(LN(2)/25)*Calculateur!V114*Calculateur!X114*VLOOKUP('Données projet'!$B$9,Paramètres!$A$1:$I$89,3,0)*0.475*44/12</f>
        <v>0.62769458852725046</v>
      </c>
      <c r="AB114" s="21">
        <f>EXP(-LN(2)/2)*AB113+(1-EXP(-LN(2)/2))/(LN(2)/2)*V114*Y114*VLOOKUP('Données projet'!$B$9,Paramètres!$A$1:$I$89,3,0)*0.475*44/12</f>
        <v>1.0791002058823665E-13</v>
      </c>
      <c r="AC114" s="22">
        <f t="shared" si="57"/>
        <v>9.8430409680500119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66.393599999999836</v>
      </c>
      <c r="D115" s="11">
        <f t="shared" si="86"/>
        <v>18.775122997078494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657.44277401253464</v>
      </c>
      <c r="H115" s="67">
        <f t="shared" si="56"/>
        <v>441.66885921991138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39.053454142601367</v>
      </c>
      <c r="T115" s="59">
        <f t="shared" si="88"/>
        <v>225.79068168427801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9.0346390578264977</v>
      </c>
      <c r="AA115" s="21">
        <f>EXP(-LN(2)/25)*AA114+(1-EXP(-LN(2)/25))/(LN(2)/25)*Calculateur!V115*Calculateur!X115*VLOOKUP('Données projet'!$B$9,Paramètres!$A$1:$I$89,3,0)*0.475*44/12</f>
        <v>0.61053024699494896</v>
      </c>
      <c r="AB115" s="21">
        <f>EXP(-LN(2)/2)*AB114+(1-EXP(-LN(2)/2))/(LN(2)/2)*V115*Y115*VLOOKUP('Données projet'!$B$9,Paramètres!$A$1:$I$89,3,0)*0.475*44/12</f>
        <v>7.6303907315922092E-14</v>
      </c>
      <c r="AC115" s="22">
        <f t="shared" si="57"/>
        <v>9.6451693048215237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66.986399999999833</v>
      </c>
      <c r="D116" s="11">
        <f t="shared" si="86"/>
        <v>18.923168590565947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663.16158210261312</v>
      </c>
      <c r="H116" s="67">
        <f t="shared" si="56"/>
        <v>442.95916529523538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39.053454142601367</v>
      </c>
      <c r="T116" s="59">
        <f t="shared" si="88"/>
        <v>225.79068168427801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8.8574752964882197</v>
      </c>
      <c r="AA116" s="21">
        <f>EXP(-LN(2)/25)*AA115+(1-EXP(-LN(2)/25))/(LN(2)/25)*Calculateur!V116*Calculateur!X116*VLOOKUP('Données projet'!$B$9,Paramètres!$A$1:$I$89,3,0)*0.475*44/12</f>
        <v>0.59383526528448172</v>
      </c>
      <c r="AB116" s="21">
        <f>EXP(-LN(2)/2)*AB115+(1-EXP(-LN(2)/2))/(LN(2)/2)*V116*Y116*VLOOKUP('Données projet'!$B$9,Paramètres!$A$1:$I$89,3,0)*0.475*44/12</f>
        <v>5.3955010294118326E-14</v>
      </c>
      <c r="AC116" s="22">
        <f t="shared" si="57"/>
        <v>9.451310561772754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67.57919999999983</v>
      </c>
      <c r="D117" s="11">
        <f t="shared" si="86"/>
        <v>19.071061760403797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668.87921358908068</v>
      </c>
      <c r="H117" s="67">
        <f t="shared" si="56"/>
        <v>444.2492058993696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39.053454142601367</v>
      </c>
      <c r="T117" s="59">
        <f t="shared" si="88"/>
        <v>225.79068168427801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8.6837856084505614</v>
      </c>
      <c r="AA117" s="21">
        <f>EXP(-LN(2)/25)*AA116+(1-EXP(-LN(2)/25))/(LN(2)/25)*Calculateur!V117*Calculateur!X117*VLOOKUP('Données projet'!$B$9,Paramètres!$A$1:$I$89,3,0)*0.475*44/12</f>
        <v>0.57759680872683816</v>
      </c>
      <c r="AB117" s="21">
        <f>EXP(-LN(2)/2)*AB116+(1-EXP(-LN(2)/2))/(LN(2)/2)*V117*Y117*VLOOKUP('Données projet'!$B$9,Paramètres!$A$1:$I$89,3,0)*0.475*44/12</f>
        <v>3.8151953657961046E-14</v>
      </c>
      <c r="AC117" s="22">
        <f t="shared" si="57"/>
        <v>9.2613824171774368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68.171999999999827</v>
      </c>
      <c r="D118" s="11">
        <f t="shared" si="86"/>
        <v>19.218803998550797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674.59567998881187</v>
      </c>
      <c r="H118" s="67">
        <f t="shared" si="56"/>
        <v>445.53898363080896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39.053454142601367</v>
      </c>
      <c r="T118" s="59">
        <f t="shared" si="88"/>
        <v>225.79068168427801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8.513501869255073</v>
      </c>
      <c r="AA118" s="21">
        <f>EXP(-LN(2)/25)*AA117+(1-EXP(-LN(2)/25))/(LN(2)/25)*Calculateur!V118*Calculateur!X118*VLOOKUP('Données projet'!$B$9,Paramètres!$A$1:$I$89,3,0)*0.475*44/12</f>
        <v>0.56180239361770667</v>
      </c>
      <c r="AB118" s="21">
        <f>EXP(-LN(2)/2)*AB117+(1-EXP(-LN(2)/2))/(LN(2)/2)*V118*Y118*VLOOKUP('Données projet'!$B$9,Paramètres!$A$1:$I$89,3,0)*0.475*44/12</f>
        <v>2.6977505147059163E-14</v>
      </c>
      <c r="AC118" s="22">
        <f t="shared" si="57"/>
        <v>9.0753042628728071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68.764799999999823</v>
      </c>
      <c r="D119" s="11">
        <f t="shared" si="86"/>
        <v>19.366396769521327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680.31099260682993</v>
      </c>
      <c r="H119" s="67">
        <f t="shared" si="56"/>
        <v>446.82850104024931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39.053454142601367</v>
      </c>
      <c r="T119" s="59">
        <f t="shared" si="88"/>
        <v>225.79068168427801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8.3465572903223819</v>
      </c>
      <c r="AA119" s="21">
        <f>EXP(-LN(2)/25)*AA118+(1-EXP(-LN(2)/25))/(LN(2)/25)*Calculateur!V119*Calculateur!X119*VLOOKUP('Données projet'!$B$9,Paramètres!$A$1:$I$89,3,0)*0.475*44/12</f>
        <v>0.54643987762032664</v>
      </c>
      <c r="AB119" s="21">
        <f>EXP(-LN(2)/2)*AB118+(1-EXP(-LN(2)/2))/(LN(2)/2)*V119*Y119*VLOOKUP('Données projet'!$B$9,Paramètres!$A$1:$I$89,3,0)*0.475*44/12</f>
        <v>1.9075976828980523E-14</v>
      </c>
      <c r="AC119" s="22">
        <f t="shared" si="57"/>
        <v>8.8929971679427275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69.35759999999982</v>
      </c>
      <c r="D120" s="11">
        <f t="shared" si="86"/>
        <v>19.51384151112239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686.02516254199611</v>
      </c>
      <c r="H120" s="67">
        <f t="shared" si="56"/>
        <v>448.11776063187119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39.053454142601367</v>
      </c>
      <c r="T120" s="59">
        <f t="shared" si="88"/>
        <v>225.79068168427801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8.1828863927564228</v>
      </c>
      <c r="AA120" s="21">
        <f>EXP(-LN(2)/25)*AA119+(1-EXP(-LN(2)/25))/(LN(2)/25)*Calculateur!V120*Calculateur!X120*VLOOKUP('Données projet'!$B$9,Paramètres!$A$1:$I$89,3,0)*0.475*44/12</f>
        <v>0.53149745043077457</v>
      </c>
      <c r="AB120" s="21">
        <f>EXP(-LN(2)/2)*AB119+(1-EXP(-LN(2)/2))/(LN(2)/2)*V120*Y120*VLOOKUP('Données projet'!$B$9,Paramètres!$A$1:$I$89,3,0)*0.475*44/12</f>
        <v>1.3488752573529581E-14</v>
      </c>
      <c r="AC120" s="22">
        <f t="shared" si="57"/>
        <v>8.7143838431872123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69.950399999999817</v>
      </c>
      <c r="D121" s="11">
        <f t="shared" si="86"/>
        <v>19.661139635164631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691.73820069249757</v>
      </c>
      <c r="H121" s="67">
        <f t="shared" si="56"/>
        <v>449.40676486457801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39.053454142601367</v>
      </c>
      <c r="T121" s="59">
        <f t="shared" si="88"/>
        <v>225.79068168427801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8.0224249816623416</v>
      </c>
      <c r="AA121" s="21">
        <f>EXP(-LN(2)/25)*AA120+(1-EXP(-LN(2)/25))/(LN(2)/25)*Calculateur!V121*Calculateur!X121*VLOOKUP('Données projet'!$B$9,Paramètres!$A$1:$I$89,3,0)*0.475*44/12</f>
        <v>0.51696362469850887</v>
      </c>
      <c r="AB121" s="21">
        <f>EXP(-LN(2)/2)*AB120+(1-EXP(-LN(2)/2))/(LN(2)/2)*V121*Y121*VLOOKUP('Données projet'!$B$9,Paramètres!$A$1:$I$89,3,0)*0.475*44/12</f>
        <v>9.5379884144902614E-15</v>
      </c>
      <c r="AC121" s="22">
        <f t="shared" si="57"/>
        <v>8.5393886063608591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70.543199999999814</v>
      </c>
      <c r="D122" s="11">
        <f t="shared" si="86"/>
        <v>19.808292528148627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697.45011776114598</v>
      </c>
      <c r="H122" s="67">
        <f t="shared" si="56"/>
        <v>450.69551615319187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39.053454142601367</v>
      </c>
      <c r="T122" s="59">
        <f t="shared" si="88"/>
        <v>225.79068168427801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7.8651101209680192</v>
      </c>
      <c r="AA122" s="21">
        <f>EXP(-LN(2)/25)*AA121+(1-EXP(-LN(2)/25))/(LN(2)/25)*Calculateur!V122*Calculateur!X122*VLOOKUP('Données projet'!$B$9,Paramètres!$A$1:$I$89,3,0)*0.475*44/12</f>
        <v>0.50282722719519268</v>
      </c>
      <c r="AB122" s="21">
        <f>EXP(-LN(2)/2)*AB121+(1-EXP(-LN(2)/2))/(LN(2)/2)*V122*Y122*VLOOKUP('Données projet'!$B$9,Paramètres!$A$1:$I$89,3,0)*0.475*44/12</f>
        <v>6.7443762867647907E-15</v>
      </c>
      <c r="AC122" s="22">
        <f t="shared" si="57"/>
        <v>8.3679373481632187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71.135999999999811</v>
      </c>
      <c r="D123" s="11">
        <f t="shared" si="86"/>
        <v>19.955301551927427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703.16092426049102</v>
      </c>
      <c r="H123" s="67">
        <f t="shared" si="56"/>
        <v>451.98401686960659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39.053454142601367</v>
      </c>
      <c r="T123" s="59">
        <f t="shared" si="88"/>
        <v>225.79068168427801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7.7108801087393219</v>
      </c>
      <c r="AA123" s="21">
        <f>EXP(-LN(2)/25)*AA122+(1-EXP(-LN(2)/25))/(LN(2)/25)*Calculateur!V123*Calculateur!X123*VLOOKUP('Données projet'!$B$9,Paramètres!$A$1:$I$89,3,0)*0.475*44/12</f>
        <v>0.48907739022500551</v>
      </c>
      <c r="AB123" s="21">
        <f>EXP(-LN(2)/2)*AB122+(1-EXP(-LN(2)/2))/(LN(2)/2)*V123*Y123*VLOOKUP('Données projet'!$B$9,Paramètres!$A$1:$I$89,3,0)*0.475*44/12</f>
        <v>4.7689942072451307E-15</v>
      </c>
      <c r="AC123" s="22">
        <f t="shared" si="57"/>
        <v>8.1999574989643325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71.728799999999808</v>
      </c>
      <c r="D124" s="11">
        <f t="shared" si="86"/>
        <v>20.102168044346346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708.87063051775976</v>
      </c>
      <c r="H124" s="67">
        <f t="shared" si="56"/>
        <v>453.27226934390285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39.053454142601367</v>
      </c>
      <c r="T124" s="59">
        <f t="shared" si="88"/>
        <v>225.79068168427801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7.5596744529794107</v>
      </c>
      <c r="AA124" s="21">
        <f>EXP(-LN(2)/25)*AA123+(1-EXP(-LN(2)/25))/(LN(2)/25)*Calculateur!V124*Calculateur!X124*VLOOKUP('Données projet'!$B$9,Paramètres!$A$1:$I$89,3,0)*0.475*44/12</f>
        <v>0.4757035432698406</v>
      </c>
      <c r="AB124" s="21">
        <f>EXP(-LN(2)/2)*AB123+(1-EXP(-LN(2)/2))/(LN(2)/2)*V124*Y124*VLOOKUP('Données projet'!$B$9,Paramètres!$A$1:$I$89,3,0)*0.475*44/12</f>
        <v>3.3721881433823954E-15</v>
      </c>
      <c r="AC124" s="22">
        <f t="shared" si="57"/>
        <v>8.0353779962492542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72.321599999999805</v>
      </c>
      <c r="D125" s="11">
        <f t="shared" si="86"/>
        <v>20.248893319861008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714.57924667962732</v>
      </c>
      <c r="H125" s="67">
        <f t="shared" si="56"/>
        <v>454.56027586542427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39.053454142601367</v>
      </c>
      <c r="T125" s="59">
        <f t="shared" si="88"/>
        <v>225.79068168427801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7.4114338479026074</v>
      </c>
      <c r="AA125" s="21">
        <f>EXP(-LN(2)/25)*AA124+(1-EXP(-LN(2)/25))/(LN(2)/25)*Calculateur!V125*Calculateur!X125*VLOOKUP('Données projet'!$B$9,Paramètres!$A$1:$I$89,3,0)*0.475*44/12</f>
        <v>0.46269540486296468</v>
      </c>
      <c r="AB125" s="21">
        <f>EXP(-LN(2)/2)*AB124+(1-EXP(-LN(2)/2))/(LN(2)/2)*V125*Y125*VLOOKUP('Données projet'!$B$9,Paramètres!$A$1:$I$89,3,0)*0.475*44/12</f>
        <v>2.3844971036225654E-15</v>
      </c>
      <c r="AC125" s="22">
        <f t="shared" si="57"/>
        <v>7.8741292527655746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72.914399999999802</v>
      </c>
      <c r="D126" s="11">
        <f t="shared" si="86"/>
        <v>20.395478670134604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720.28678271682702</v>
      </c>
      <c r="H126" s="67">
        <f t="shared" si="56"/>
        <v>455.84803868381744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39.053454142601367</v>
      </c>
      <c r="T126" s="59">
        <f t="shared" si="88"/>
        <v>225.79068168427801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7.2661001506735197</v>
      </c>
      <c r="AA126" s="21">
        <f>EXP(-LN(2)/25)*AA125+(1-EXP(-LN(2)/25))/(LN(2)/25)*Calculateur!V126*Calculateur!X126*VLOOKUP('Données projet'!$B$9,Paramètres!$A$1:$I$89,3,0)*0.475*44/12</f>
        <v>0.45004297468489307</v>
      </c>
      <c r="AB126" s="21">
        <f>EXP(-LN(2)/2)*AB125+(1-EXP(-LN(2)/2))/(LN(2)/2)*V126*Y126*VLOOKUP('Données projet'!$B$9,Paramètres!$A$1:$I$89,3,0)*0.475*44/12</f>
        <v>1.6860940716911977E-15</v>
      </c>
      <c r="AC126" s="22">
        <f t="shared" si="57"/>
        <v>7.7161431253584141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73.507199999999798</v>
      </c>
      <c r="D127" s="11">
        <f t="shared" si="86"/>
        <v>20.541925364615139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725.99324842860653</v>
      </c>
      <c r="H127" s="67">
        <f t="shared" si="56"/>
        <v>457.13556001003769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39.053454142601367</v>
      </c>
      <c r="T127" s="59">
        <f t="shared" si="88"/>
        <v>225.79068168427801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7.123616358602292</v>
      </c>
      <c r="AA127" s="21">
        <f>EXP(-LN(2)/25)*AA126+(1-EXP(-LN(2)/25))/(LN(2)/25)*Calculateur!V127*Calculateur!X127*VLOOKUP('Données projet'!$B$9,Paramètres!$A$1:$I$89,3,0)*0.475*44/12</f>
        <v>0.43773652587540324</v>
      </c>
      <c r="AB127" s="21">
        <f>EXP(-LN(2)/2)*AB126+(1-EXP(-LN(2)/2))/(LN(2)/2)*V127*Y127*VLOOKUP('Données projet'!$B$9,Paramètres!$A$1:$I$89,3,0)*0.475*44/12</f>
        <v>1.1922485518112827E-15</v>
      </c>
      <c r="AC127" s="22">
        <f t="shared" si="57"/>
        <v>7.5613528844776958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74.099999999999795</v>
      </c>
      <c r="D128" s="11">
        <f t="shared" si="86"/>
        <v>20.688234651093392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731.69865344703521</v>
      </c>
      <c r="H128" s="67">
        <f t="shared" si="56"/>
        <v>458.42284201732059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39.053454142601367</v>
      </c>
      <c r="T128" s="59">
        <f t="shared" si="88"/>
        <v>225.79068168427801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6.9839265867870486</v>
      </c>
      <c r="AA128" s="21">
        <f>EXP(-LN(2)/25)*AA127+(1-EXP(-LN(2)/25))/(LN(2)/25)*Calculateur!V128*Calculateur!X128*VLOOKUP('Données projet'!$B$9,Paramètres!$A$1:$I$89,3,0)*0.475*44/12</f>
        <v>0.42576659755577689</v>
      </c>
      <c r="AB128" s="21">
        <f>EXP(-LN(2)/2)*AB127+(1-EXP(-LN(2)/2))/(LN(2)/2)*V128*Y128*VLOOKUP('Données projet'!$B$9,Paramètres!$A$1:$I$89,3,0)*0.475*44/12</f>
        <v>8.4304703584559884E-16</v>
      </c>
      <c r="AC128" s="22">
        <f t="shared" si="57"/>
        <v>7.4096931843428262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74.692799999999792</v>
      </c>
      <c r="D129" s="11">
        <f t="shared" si="86"/>
        <v>20.834407756242776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737.40300724117071</v>
      </c>
      <c r="H129" s="67">
        <f t="shared" si="56"/>
        <v>459.7098868421225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39.053454142601367</v>
      </c>
      <c r="T129" s="59">
        <f t="shared" si="88"/>
        <v>225.79068168427801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6.8469760461947544</v>
      </c>
      <c r="AA129" s="21">
        <f>EXP(-LN(2)/25)*AA128+(1-EXP(-LN(2)/25))/(LN(2)/25)*Calculateur!V129*Calculateur!X129*VLOOKUP('Données projet'!$B$9,Paramètres!$A$1:$I$89,3,0)*0.475*44/12</f>
        <v>0.41412398755552193</v>
      </c>
      <c r="AB129" s="21">
        <f>EXP(-LN(2)/2)*AB128+(1-EXP(-LN(2)/2))/(LN(2)/2)*V129*Y129*VLOOKUP('Données projet'!$B$9,Paramètres!$A$1:$I$89,3,0)*0.475*44/12</f>
        <v>5.9612427590564134E-16</v>
      </c>
      <c r="AC129" s="22">
        <f t="shared" si="57"/>
        <v>7.2611000337502771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75.285599999999789</v>
      </c>
      <c r="D130" s="11">
        <f t="shared" si="86"/>
        <v>20.980445886141347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743.10631912108954</v>
      </c>
      <c r="H130" s="67">
        <f t="shared" si="56"/>
        <v>460.9966965850291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39.053454142601367</v>
      </c>
      <c r="T130" s="59">
        <f t="shared" si="88"/>
        <v>225.79068168427801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6.7127110221718933</v>
      </c>
      <c r="AA130" s="21">
        <f>EXP(-LN(2)/25)*AA129+(1-EXP(-LN(2)/25))/(LN(2)/25)*Calculateur!V130*Calculateur!X130*VLOOKUP('Données projet'!$B$9,Paramètres!$A$1:$I$89,3,0)*0.475*44/12</f>
        <v>0.40279974533798218</v>
      </c>
      <c r="AB130" s="21">
        <f>EXP(-LN(2)/2)*AB129+(1-EXP(-LN(2)/2))/(LN(2)/2)*V130*Y130*VLOOKUP('Données projet'!$B$9,Paramètres!$A$1:$I$89,3,0)*0.475*44/12</f>
        <v>4.2152351792279942E-16</v>
      </c>
      <c r="AC130" s="22">
        <f t="shared" si="57"/>
        <v>7.1155107675098757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75.878399999999786</v>
      </c>
      <c r="D131" s="11">
        <f t="shared" si="86"/>
        <v>21.126350226776974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748.8085982417856</v>
      </c>
      <c r="H131" s="67">
        <f t="shared" si="56"/>
        <v>462.28327331163621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39.053454142601367</v>
      </c>
      <c r="T131" s="59">
        <f t="shared" si="88"/>
        <v>225.79068168427801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6.5810788533765425</v>
      </c>
      <c r="AA131" s="21">
        <f>EXP(-LN(2)/25)*AA130+(1-EXP(-LN(2)/25))/(LN(2)/25)*Calculateur!V131*Calculateur!X131*VLOOKUP('Données projet'!$B$9,Paramètres!$A$1:$I$89,3,0)*0.475*44/12</f>
        <v>0.39178516511939704</v>
      </c>
      <c r="AB131" s="21">
        <f>EXP(-LN(2)/2)*AB130+(1-EXP(-LN(2)/2))/(LN(2)/2)*V131*Y131*VLOOKUP('Données projet'!$B$9,Paramètres!$A$1:$I$89,3,0)*0.475*44/12</f>
        <v>2.9806213795282067E-16</v>
      </c>
      <c r="AC131" s="22">
        <f t="shared" si="57"/>
        <v>6.9728640184959394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76.471199999999783</v>
      </c>
      <c r="D132" s="11">
        <f t="shared" si="86"/>
        <v>21.272121944536288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754.50985360694506</v>
      </c>
      <c r="H132" s="67">
        <f t="shared" ref="H132:H195" si="110">(B132+E132+F132)*44/12+(C132+D132)*0.475*44/12</f>
        <v>463.56961905340029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39.053454142601367</v>
      </c>
      <c r="T132" s="59">
        <f t="shared" si="88"/>
        <v>225.79068168427801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6.4520279111235732</v>
      </c>
      <c r="AA132" s="21">
        <f>EXP(-LN(2)/25)*AA131+(1-EXP(-LN(2)/25))/(LN(2)/25)*Calculateur!V132*Calculateur!X132*VLOOKUP('Données projet'!$B$9,Paramètres!$A$1:$I$89,3,0)*0.475*44/12</f>
        <v>0.38107177917612073</v>
      </c>
      <c r="AB132" s="21">
        <f>EXP(-LN(2)/2)*AB131+(1-EXP(-LN(2)/2))/(LN(2)/2)*V132*Y132*VLOOKUP('Données projet'!$B$9,Paramètres!$A$1:$I$89,3,0)*0.475*44/12</f>
        <v>2.1076175896139971E-16</v>
      </c>
      <c r="AC132" s="22">
        <f t="shared" ref="AC132:AC153" si="111">SUM(Z132:AB132)</f>
        <v>6.8330996902996937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77.06399999999978</v>
      </c>
      <c r="D133" s="11">
        <f t="shared" ref="D133:D196" si="140">IFERROR(EXP(-1.0587+0.8836*LN(C133)+0.284),0)</f>
        <v>21.417762186678019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760.21009407260055</v>
      </c>
      <c r="H133" s="67">
        <f t="shared" si="110"/>
        <v>464.85573580846381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39.053454142601367</v>
      </c>
      <c r="T133" s="59">
        <f t="shared" ref="T133:T196" si="142">$T$3</f>
        <v>225.79068168427801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6.3255075791348823</v>
      </c>
      <c r="AA133" s="21">
        <f>EXP(-LN(2)/25)*AA132+(1-EXP(-LN(2)/25))/(LN(2)/25)*Calculateur!V133*Calculateur!X133*VLOOKUP('Données projet'!$B$9,Paramètres!$A$1:$I$89,3,0)*0.475*44/12</f>
        <v>0.37065135133485577</v>
      </c>
      <c r="AB133" s="21">
        <f>EXP(-LN(2)/2)*AB132+(1-EXP(-LN(2)/2))/(LN(2)/2)*V133*Y133*VLOOKUP('Données projet'!$B$9,Paramètres!$A$1:$I$89,3,0)*0.475*44/12</f>
        <v>1.4903106897641034E-16</v>
      </c>
      <c r="AC133" s="22">
        <f t="shared" si="111"/>
        <v>6.6961589304697382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77.656799999999777</v>
      </c>
      <c r="D134" s="11">
        <f t="shared" si="140"/>
        <v>21.563272081791311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765.90932835066803</v>
      </c>
      <c r="H134" s="67">
        <f t="shared" si="110"/>
        <v>466.1416255424528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39.053454142601367</v>
      </c>
      <c r="T134" s="59">
        <f t="shared" si="142"/>
        <v>225.79068168427801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6.2014682336867066</v>
      </c>
      <c r="AA134" s="21">
        <f>EXP(-LN(2)/25)*AA133+(1-EXP(-LN(2)/25))/(LN(2)/25)*Calculateur!V134*Calculateur!X134*VLOOKUP('Données projet'!$B$9,Paramètres!$A$1:$I$89,3,0)*0.475*44/12</f>
        <v>0.36051587064089669</v>
      </c>
      <c r="AB134" s="21">
        <f>EXP(-LN(2)/2)*AB133+(1-EXP(-LN(2)/2))/(LN(2)/2)*V134*Y134*VLOOKUP('Données projet'!$B$9,Paramètres!$A$1:$I$89,3,0)*0.475*44/12</f>
        <v>1.0538087948069986E-16</v>
      </c>
      <c r="AC134" s="22">
        <f t="shared" si="111"/>
        <v>6.5619841043276033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78.249599999999774</v>
      </c>
      <c r="D135" s="11">
        <f t="shared" si="140"/>
        <v>21.708652740239735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771.60756501237518</v>
      </c>
      <c r="H135" s="67">
        <f t="shared" si="110"/>
        <v>467.42729018925047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39.053454142601367</v>
      </c>
      <c r="T135" s="59">
        <f t="shared" si="142"/>
        <v>225.79068168427801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6.0798612241462395</v>
      </c>
      <c r="AA135" s="21">
        <f>EXP(-LN(2)/25)*AA134+(1-EXP(-LN(2)/25))/(LN(2)/25)*Calculateur!V135*Calculateur!X135*VLOOKUP('Données projet'!$B$9,Paramètres!$A$1:$I$89,3,0)*0.475*44/12</f>
        <v>0.3506575451995157</v>
      </c>
      <c r="AB135" s="21">
        <f>EXP(-LN(2)/2)*AB134+(1-EXP(-LN(2)/2))/(LN(2)/2)*V135*Y135*VLOOKUP('Données projet'!$B$9,Paramètres!$A$1:$I$89,3,0)*0.475*44/12</f>
        <v>7.4515534488205168E-17</v>
      </c>
      <c r="AC135" s="22">
        <f t="shared" si="111"/>
        <v>6.4305187693457553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78.84239999999977</v>
      </c>
      <c r="D136" s="11">
        <f t="shared" si="140"/>
        <v>21.853905254591357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777.30481249158072</v>
      </c>
      <c r="H136" s="67">
        <f t="shared" si="110"/>
        <v>468.71273165174614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39.053454142601367</v>
      </c>
      <c r="T136" s="59">
        <f t="shared" si="142"/>
        <v>225.79068168427801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5.9606388538899093</v>
      </c>
      <c r="AA136" s="21">
        <f>EXP(-LN(2)/25)*AA135+(1-EXP(-LN(2)/25))/(LN(2)/25)*Calculateur!V136*Calculateur!X136*VLOOKUP('Données projet'!$B$9,Paramètres!$A$1:$I$89,3,0)*0.475*44/12</f>
        <v>0.34106879618575608</v>
      </c>
      <c r="AB136" s="21">
        <f>EXP(-LN(2)/2)*AB135+(1-EXP(-LN(2)/2))/(LN(2)/2)*V136*Y136*VLOOKUP('Données projet'!$B$9,Paramètres!$A$1:$I$89,3,0)*0.475*44/12</f>
        <v>5.2690439740349928E-17</v>
      </c>
      <c r="AC136" s="22">
        <f t="shared" si="111"/>
        <v>6.3017076500756657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79.435199999999767</v>
      </c>
      <c r="D137" s="11">
        <f t="shared" si="140"/>
        <v>21.999030700035558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783.00107908799203</v>
      </c>
      <c r="H137" s="67">
        <f t="shared" si="110"/>
        <v>469.99795180256149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39.053454142601367</v>
      </c>
      <c r="T137" s="59">
        <f t="shared" si="142"/>
        <v>225.79068168427801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5.8437543615958401</v>
      </c>
      <c r="AA137" s="21">
        <f>EXP(-LN(2)/25)*AA136+(1-EXP(-LN(2)/25))/(LN(2)/25)*Calculateur!V137*Calculateur!X137*VLOOKUP('Données projet'!$B$9,Paramètres!$A$1:$I$89,3,0)*0.475*44/12</f>
        <v>0.33174225201802809</v>
      </c>
      <c r="AB137" s="21">
        <f>EXP(-LN(2)/2)*AB136+(1-EXP(-LN(2)/2))/(LN(2)/2)*V137*Y137*VLOOKUP('Données projet'!$B$9,Paramètres!$A$1:$I$89,3,0)*0.475*44/12</f>
        <v>3.7257767244102584E-17</v>
      </c>
      <c r="AC137" s="22">
        <f t="shared" si="111"/>
        <v>6.175496613613868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80.027999999999764</v>
      </c>
      <c r="D138" s="11">
        <f t="shared" si="140"/>
        <v>22.144030134787098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788.69637297028464</v>
      </c>
      <c r="H138" s="67">
        <f t="shared" si="110"/>
        <v>471.28295248475376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39.053454142601367</v>
      </c>
      <c r="T138" s="59">
        <f t="shared" si="142"/>
        <v>225.79068168427801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5.7291619029031571</v>
      </c>
      <c r="AA138" s="21">
        <f>EXP(-LN(2)/25)*AA137+(1-EXP(-LN(2)/25))/(LN(2)/25)*Calculateur!V138*Calculateur!X138*VLOOKUP('Données projet'!$B$9,Paramètres!$A$1:$I$89,3,0)*0.475*44/12</f>
        <v>0.3226707426910283</v>
      </c>
      <c r="AB138" s="21">
        <f>EXP(-LN(2)/2)*AB137+(1-EXP(-LN(2)/2))/(LN(2)/2)*V138*Y138*VLOOKUP('Données projet'!$B$9,Paramètres!$A$1:$I$89,3,0)*0.475*44/12</f>
        <v>2.6345219870174964E-17</v>
      </c>
      <c r="AC138" s="22">
        <f t="shared" si="111"/>
        <v>6.0518326455941853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80.620799999999761</v>
      </c>
      <c r="D139" s="11">
        <f t="shared" si="140"/>
        <v>22.288904600477693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794.39070217912433</v>
      </c>
      <c r="H139" s="67">
        <f t="shared" si="110"/>
        <v>472.56773551249819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39.053454142601367</v>
      </c>
      <c r="T139" s="59">
        <f t="shared" si="142"/>
        <v>225.79068168427801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5.6168165324309394</v>
      </c>
      <c r="AA139" s="21">
        <f>EXP(-LN(2)/25)*AA138+(1-EXP(-LN(2)/25))/(LN(2)/25)*Calculateur!V139*Calculateur!X139*VLOOKUP('Données projet'!$B$9,Paramètres!$A$1:$I$89,3,0)*0.475*44/12</f>
        <v>0.31384729426362523</v>
      </c>
      <c r="AB139" s="21">
        <f>EXP(-LN(2)/2)*AB138+(1-EXP(-LN(2)/2))/(LN(2)/2)*V139*Y139*VLOOKUP('Données projet'!$B$9,Paramètres!$A$1:$I$89,3,0)*0.475*44/12</f>
        <v>1.8628883622051292E-17</v>
      </c>
      <c r="AC139" s="22">
        <f t="shared" si="111"/>
        <v>5.9306638266945644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81.213599999999758</v>
      </c>
      <c r="D140" s="11">
        <f t="shared" si="140"/>
        <v>22.43365512253602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800.08407463010087</v>
      </c>
      <c r="H140" s="67">
        <f t="shared" si="110"/>
        <v>473.85230267174978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39.053454142601367</v>
      </c>
      <c r="T140" s="59">
        <f t="shared" si="142"/>
        <v>225.79068168427801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5.5066741861497723</v>
      </c>
      <c r="AA140" s="21">
        <f>EXP(-LN(2)/25)*AA139+(1-EXP(-LN(2)/25))/(LN(2)/25)*Calculateur!V140*Calculateur!X140*VLOOKUP('Données projet'!$B$9,Paramètres!$A$1:$I$89,3,0)*0.475*44/12</f>
        <v>0.30526512349747448</v>
      </c>
      <c r="AB140" s="21">
        <f>EXP(-LN(2)/2)*AB139+(1-EXP(-LN(2)/2))/(LN(2)/2)*V140*Y140*VLOOKUP('Données projet'!$B$9,Paramètres!$A$1:$I$89,3,0)*0.475*44/12</f>
        <v>1.3172609935087482E-17</v>
      </c>
      <c r="AC140" s="22">
        <f t="shared" si="111"/>
        <v>5.8119393096472471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81.806399999999755</v>
      </c>
      <c r="D141" s="11">
        <f t="shared" si="140"/>
        <v>22.578282710555964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805.77649811657045</v>
      </c>
      <c r="H141" s="67">
        <f t="shared" si="110"/>
        <v>475.13665572088451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39.053454142601367</v>
      </c>
      <c r="T141" s="59">
        <f t="shared" si="142"/>
        <v>225.79068168427801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5.3986916640989806</v>
      </c>
      <c r="AA141" s="21">
        <f>EXP(-LN(2)/25)*AA140+(1-EXP(-LN(2)/25))/(LN(2)/25)*Calculateur!V141*Calculateur!X141*VLOOKUP('Données projet'!$B$9,Paramètres!$A$1:$I$89,3,0)*0.475*44/12</f>
        <v>0.29691763264224086</v>
      </c>
      <c r="AB141" s="21">
        <f>EXP(-LN(2)/2)*AB140+(1-EXP(-LN(2)/2))/(LN(2)/2)*V141*Y141*VLOOKUP('Données projet'!$B$9,Paramètres!$A$1:$I$89,3,0)*0.475*44/12</f>
        <v>9.3144418110256459E-18</v>
      </c>
      <c r="AC141" s="22">
        <f t="shared" si="111"/>
        <v>5.6956092967412211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82.399199999999752</v>
      </c>
      <c r="D142" s="11">
        <f t="shared" si="140"/>
        <v>22.722788358654274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811.4679803124169</v>
      </c>
      <c r="H142" s="67">
        <f t="shared" si="110"/>
        <v>476.42079639132237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39.053454142601367</v>
      </c>
      <c r="T142" s="59">
        <f t="shared" si="142"/>
        <v>225.79068168427801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5.2928266134427702</v>
      </c>
      <c r="AA142" s="21">
        <f>EXP(-LN(2)/25)*AA141+(1-EXP(-LN(2)/25))/(LN(2)/25)*Calculateur!V142*Calculateur!X142*VLOOKUP('Données projet'!$B$9,Paramètres!$A$1:$I$89,3,0)*0.475*44/12</f>
        <v>0.28879840436341908</v>
      </c>
      <c r="AB142" s="21">
        <f>EXP(-LN(2)/2)*AB141+(1-EXP(-LN(2)/2))/(LN(2)/2)*V142*Y142*VLOOKUP('Données projet'!$B$9,Paramètres!$A$1:$I$89,3,0)*0.475*44/12</f>
        <v>6.586304967543741E-18</v>
      </c>
      <c r="AC142" s="22">
        <f t="shared" si="111"/>
        <v>5.5816250178061892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82.991999999999749</v>
      </c>
      <c r="D143" s="11">
        <f t="shared" si="140"/>
        <v>22.867173045817253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817.15852877472787</v>
      </c>
      <c r="H143" s="67">
        <f t="shared" si="110"/>
        <v>477.70472638813123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39.053454142601367</v>
      </c>
      <c r="T143" s="59">
        <f t="shared" si="142"/>
        <v>225.79068168427801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5.1890375118586229</v>
      </c>
      <c r="AA143" s="21">
        <f>EXP(-LN(2)/25)*AA142+(1-EXP(-LN(2)/25))/(LN(2)/25)*Calculateur!V143*Calculateur!X143*VLOOKUP('Données projet'!$B$9,Paramètres!$A$1:$I$89,3,0)*0.475*44/12</f>
        <v>0.28090119680885334</v>
      </c>
      <c r="AB143" s="21">
        <f>EXP(-LN(2)/2)*AB142+(1-EXP(-LN(2)/2))/(LN(2)/2)*V143*Y143*VLOOKUP('Données projet'!$B$9,Paramètres!$A$1:$I$89,3,0)*0.475*44/12</f>
        <v>4.657220905512823E-18</v>
      </c>
      <c r="AC143" s="22">
        <f t="shared" si="111"/>
        <v>5.4699387086674767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83.584799999999746</v>
      </c>
      <c r="D144" s="11">
        <f t="shared" si="140"/>
        <v>23.011437736237546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822.84815094639316</v>
      </c>
      <c r="H144" s="67">
        <f t="shared" si="110"/>
        <v>478.98844739061326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39.053454142601367</v>
      </c>
      <c r="T144" s="59">
        <f t="shared" si="142"/>
        <v>225.79068168427801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5.0872836512514397</v>
      </c>
      <c r="AA144" s="21">
        <f>EXP(-LN(2)/25)*AA143+(1-EXP(-LN(2)/25))/(LN(2)/25)*Calculateur!V144*Calculateur!X144*VLOOKUP('Données projet'!$B$9,Paramètres!$A$1:$I$89,3,0)*0.475*44/12</f>
        <v>0.27321993881016332</v>
      </c>
      <c r="AB144" s="21">
        <f>EXP(-LN(2)/2)*AB143+(1-EXP(-LN(2)/2))/(LN(2)/2)*V144*Y144*VLOOKUP('Données projet'!$B$9,Paramètres!$A$1:$I$89,3,0)*0.475*44/12</f>
        <v>3.2931524837718705E-18</v>
      </c>
      <c r="AC144" s="22">
        <f t="shared" si="111"/>
        <v>5.3605035900616027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84.177599999999742</v>
      </c>
      <c r="D145" s="11">
        <f t="shared" si="140"/>
        <v>23.155583379640923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828.53685415862981</v>
      </c>
      <c r="H145" s="67">
        <f t="shared" si="110"/>
        <v>480.27196105287413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39.053454142601367</v>
      </c>
      <c r="T145" s="59">
        <f t="shared" si="142"/>
        <v>225.79068168427801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4.9875251217870362</v>
      </c>
      <c r="AA145" s="21">
        <f>EXP(-LN(2)/25)*AA144+(1-EXP(-LN(2)/25))/(LN(2)/25)*Calculateur!V145*Calculateur!X145*VLOOKUP('Données projet'!$B$9,Paramètres!$A$1:$I$89,3,0)*0.475*44/12</f>
        <v>0.26574872521538728</v>
      </c>
      <c r="AB145" s="21">
        <f>EXP(-LN(2)/2)*AB144+(1-EXP(-LN(2)/2))/(LN(2)/2)*V145*Y145*VLOOKUP('Données projet'!$B$9,Paramètres!$A$1:$I$89,3,0)*0.475*44/12</f>
        <v>2.3286104527564115E-18</v>
      </c>
      <c r="AC145" s="22">
        <f t="shared" si="111"/>
        <v>5.2532738470024238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84.770399999999739</v>
      </c>
      <c r="D146" s="11">
        <f t="shared" si="140"/>
        <v>23.299610911603711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834.2246456334301</v>
      </c>
      <c r="H146" s="67">
        <f t="shared" si="110"/>
        <v>481.55526900437599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39.053454142601367</v>
      </c>
      <c r="T146" s="59">
        <f t="shared" si="142"/>
        <v>225.79068168427801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4.8897227962387353</v>
      </c>
      <c r="AA146" s="21">
        <f>EXP(-LN(2)/25)*AA145+(1-EXP(-LN(2)/25))/(LN(2)/25)*Calculateur!V146*Calculateur!X146*VLOOKUP('Données projet'!$B$9,Paramètres!$A$1:$I$89,3,0)*0.475*44/12</f>
        <v>0.25848181234925444</v>
      </c>
      <c r="AB146" s="21">
        <f>EXP(-LN(2)/2)*AB145+(1-EXP(-LN(2)/2))/(LN(2)/2)*V146*Y146*VLOOKUP('Données projet'!$B$9,Paramètres!$A$1:$I$89,3,0)*0.475*44/12</f>
        <v>1.6465762418859352E-18</v>
      </c>
      <c r="AC146" s="22">
        <f t="shared" si="111"/>
        <v>5.1482046085879896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85.363199999999736</v>
      </c>
      <c r="D147" s="11">
        <f t="shared" si="140"/>
        <v>23.443521253860958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839.9115324859423</v>
      </c>
      <c r="H147" s="67">
        <f t="shared" si="110"/>
        <v>482.838372850474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39.053454142601367</v>
      </c>
      <c r="T147" s="59">
        <f t="shared" si="142"/>
        <v>225.79068168427801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4.793838314640908</v>
      </c>
      <c r="AA147" s="21">
        <f>EXP(-LN(2)/25)*AA146+(1-EXP(-LN(2)/25))/(LN(2)/25)*Calculateur!V147*Calculateur!X147*VLOOKUP('Données projet'!$B$9,Paramètres!$A$1:$I$89,3,0)*0.475*44/12</f>
        <v>0.25141361359759634</v>
      </c>
      <c r="AB147" s="21">
        <f>EXP(-LN(2)/2)*AB146+(1-EXP(-LN(2)/2))/(LN(2)/2)*V147*Y147*VLOOKUP('Données projet'!$B$9,Paramètres!$A$1:$I$89,3,0)*0.475*44/12</f>
        <v>1.1643052263782057E-18</v>
      </c>
      <c r="AC147" s="22">
        <f t="shared" si="111"/>
        <v>5.0452519282385042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85.955999999999733</v>
      </c>
      <c r="D148" s="11">
        <f t="shared" si="140"/>
        <v>23.587315314605984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845.597521726781</v>
      </c>
      <c r="H148" s="67">
        <f t="shared" si="110"/>
        <v>484.12127417293829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39.053454142601367</v>
      </c>
      <c r="T148" s="59">
        <f t="shared" si="142"/>
        <v>225.79068168427801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4.6998340692434555</v>
      </c>
      <c r="AA148" s="21">
        <f>EXP(-LN(2)/25)*AA147+(1-EXP(-LN(2)/25))/(LN(2)/25)*Calculateur!V148*Calculateur!X148*VLOOKUP('Données projet'!$B$9,Paramètres!$A$1:$I$89,3,0)*0.475*44/12</f>
        <v>0.24453869511250276</v>
      </c>
      <c r="AB148" s="21">
        <f>EXP(-LN(2)/2)*AB147+(1-EXP(-LN(2)/2))/(LN(2)/2)*V148*Y148*VLOOKUP('Données projet'!$B$9,Paramètres!$A$1:$I$89,3,0)*0.475*44/12</f>
        <v>8.2328812094296762E-19</v>
      </c>
      <c r="AC148" s="22">
        <f t="shared" si="111"/>
        <v>4.9443727643559585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86.54879999999973</v>
      </c>
      <c r="D149" s="11">
        <f t="shared" si="140"/>
        <v>23.73099398878119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851.28262026427376</v>
      </c>
      <c r="H149" s="67">
        <f t="shared" si="110"/>
        <v>485.40397453046012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39.053454142601367</v>
      </c>
      <c r="T149" s="59">
        <f t="shared" si="142"/>
        <v>225.79068168427801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4.6076731897613188</v>
      </c>
      <c r="AA149" s="21">
        <f>EXP(-LN(2)/25)*AA148+(1-EXP(-LN(2)/25))/(LN(2)/25)*Calculateur!V149*Calculateur!X149*VLOOKUP('Données projet'!$B$9,Paramètres!$A$1:$I$89,3,0)*0.475*44/12</f>
        <v>0.2378517716349203</v>
      </c>
      <c r="AB149" s="21">
        <f>EXP(-LN(2)/2)*AB148+(1-EXP(-LN(2)/2))/(LN(2)/2)*V149*Y149*VLOOKUP('Données projet'!$B$9,Paramètres!$A$1:$I$89,3,0)*0.475*44/12</f>
        <v>5.8215261318910287E-19</v>
      </c>
      <c r="AC149" s="22">
        <f t="shared" si="111"/>
        <v>4.8455249613962392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87.141599999999727</v>
      </c>
      <c r="D150" s="11">
        <f t="shared" si="140"/>
        <v>23.874558158360891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856.96683490664338</v>
      </c>
      <c r="H150" s="67">
        <f t="shared" si="110"/>
        <v>486.68647545914467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39.053454142601367</v>
      </c>
      <c r="T150" s="59">
        <f t="shared" si="142"/>
        <v>225.79068168427801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4.5173195289132408</v>
      </c>
      <c r="AA150" s="21">
        <f>EXP(-LN(2)/25)*AA149+(1-EXP(-LN(2)/25))/(LN(2)/25)*Calculateur!V150*Calculateur!X150*VLOOKUP('Données projet'!$B$9,Paramètres!$A$1:$I$89,3,0)*0.475*44/12</f>
        <v>0.23134770243148234</v>
      </c>
      <c r="AB150" s="21">
        <f>EXP(-LN(2)/2)*AB149+(1-EXP(-LN(2)/2))/(LN(2)/2)*V150*Y150*VLOOKUP('Données projet'!$B$9,Paramètres!$A$1:$I$89,3,0)*0.475*44/12</f>
        <v>4.1164406047148381E-19</v>
      </c>
      <c r="AC150" s="22">
        <f t="shared" si="111"/>
        <v>4.7486672313447231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87.734399999999724</v>
      </c>
      <c r="D151" s="11">
        <f t="shared" si="140"/>
        <v>24.018008692626115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862.65017236412939</v>
      </c>
      <c r="H151" s="67">
        <f t="shared" si="110"/>
        <v>487.96877847298998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39.053454142601367</v>
      </c>
      <c r="T151" s="59">
        <f t="shared" si="142"/>
        <v>225.79068168427801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4.4287376482441019</v>
      </c>
      <c r="AA151" s="21">
        <f>EXP(-LN(2)/25)*AA150+(1-EXP(-LN(2)/25))/(LN(2)/25)*Calculateur!V151*Calculateur!X151*VLOOKUP('Données projet'!$B$9,Paramètres!$A$1:$I$89,3,0)*0.475*44/12</f>
        <v>0.22502148734244654</v>
      </c>
      <c r="AB151" s="21">
        <f>EXP(-LN(2)/2)*AB150+(1-EXP(-LN(2)/2))/(LN(2)/2)*V151*Y151*VLOOKUP('Données projet'!$B$9,Paramètres!$A$1:$I$89,3,0)*0.475*44/12</f>
        <v>2.9107630659455144E-19</v>
      </c>
      <c r="AC151" s="22">
        <f t="shared" si="111"/>
        <v>4.6537591355865482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88.327199999999721</v>
      </c>
      <c r="D152" s="11">
        <f t="shared" si="140"/>
        <v>24.16134644843174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868.33263925104995</v>
      </c>
      <c r="H152" s="67">
        <f t="shared" si="110"/>
        <v>489.25088506435145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39.053454142601367</v>
      </c>
      <c r="T152" s="59">
        <f t="shared" si="142"/>
        <v>225.79068168427801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4.3418928042252727</v>
      </c>
      <c r="AA152" s="21">
        <f>EXP(-LN(2)/25)*AA151+(1-EXP(-LN(2)/25))/(LN(2)/25)*Calculateur!V152*Calculateur!X152*VLOOKUP('Données projet'!$B$9,Paramètres!$A$1:$I$89,3,0)*0.475*44/12</f>
        <v>0.21886826293770162</v>
      </c>
      <c r="AB152" s="21">
        <f>EXP(-LN(2)/2)*AB151+(1-EXP(-LN(2)/2))/(LN(2)/2)*V152*Y152*VLOOKUP('Données projet'!$B$9,Paramètres!$A$1:$I$89,3,0)*0.475*44/12</f>
        <v>2.058220302357419E-19</v>
      </c>
      <c r="AC152" s="22">
        <f t="shared" si="111"/>
        <v>4.5607610671629741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88.919999999999717</v>
      </c>
      <c r="D153" s="11">
        <f t="shared" si="140"/>
        <v>24.304572270466412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874.01424208780873</v>
      </c>
      <c r="H153" s="67">
        <f t="shared" si="110"/>
        <v>490.53279670439514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39.053454142601367</v>
      </c>
      <c r="T153" s="59">
        <f t="shared" si="142"/>
        <v>225.79068168427801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4.2567509346275285</v>
      </c>
      <c r="AA153" s="21">
        <f>EXP(-LN(2)/25)*AA152+(1-EXP(-LN(2)/25))/(LN(2)/25)*Calculateur!V153*Calculateur!X153*VLOOKUP('Données projet'!$B$9,Paramètres!$A$1:$I$89,3,0)*0.475*44/12</f>
        <v>0.21288329877788845</v>
      </c>
      <c r="AB153" s="21">
        <f>EXP(-LN(2)/2)*AB152+(1-EXP(-LN(2)/2))/(LN(2)/2)*V153*Y153*VLOOKUP('Données projet'!$B$9,Paramètres!$A$1:$I$89,3,0)*0.475*44/12</f>
        <v>1.4553815329727572E-19</v>
      </c>
      <c r="AC153" s="22">
        <f t="shared" si="111"/>
        <v>4.4696342334054169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89.512799999999714</v>
      </c>
      <c r="D154" s="11">
        <f t="shared" si="140"/>
        <v>24.447686991505069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879.69498730284397</v>
      </c>
      <c r="H154" s="67">
        <f t="shared" si="110"/>
        <v>491.81451484353744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39.053454142601367</v>
      </c>
      <c r="T154" s="59">
        <f t="shared" si="142"/>
        <v>225.79068168427801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4.173278645161183</v>
      </c>
      <c r="AA154" s="21">
        <f>EXP(-LN(2)/25)*AA153+(1-EXP(-LN(2)/25))/(LN(2)/25)*Calculateur!V154*Calculateur!X154*VLOOKUP('Données projet'!$B$9,Paramètres!$A$1:$I$89,3,0)*0.475*44/12</f>
        <v>0.20706199377776097</v>
      </c>
      <c r="AB154" s="21">
        <f>EXP(-LN(2)/2)*AB153+(1-EXP(-LN(2)/2))/(LN(2)/2)*V154*Y154*VLOOKUP('Données projet'!$B$9,Paramètres!$A$1:$I$89,3,0)*0.475*44/12</f>
        <v>1.0291101511787095E-19</v>
      </c>
      <c r="AC154" s="22">
        <f t="shared" ref="AC154:AC203" si="163">SUM(Z154:AB154)</f>
        <v>4.3803406389389439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90.105599999999711</v>
      </c>
      <c r="D155" s="11">
        <f t="shared" si="140"/>
        <v>24.590691432654811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885.37488123452613</v>
      </c>
      <c r="H155" s="67">
        <f t="shared" si="110"/>
        <v>493.09604091187327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39.053454142601367</v>
      </c>
      <c r="T155" s="59">
        <f t="shared" si="142"/>
        <v>225.79068168427801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4.0914431963782034</v>
      </c>
      <c r="AA155" s="21">
        <f>EXP(-LN(2)/25)*AA154+(1-EXP(-LN(2)/25))/(LN(2)/25)*Calculateur!V155*Calculateur!X155*VLOOKUP('Données projet'!$B$9,Paramètres!$A$1:$I$89,3,0)*0.475*44/12</f>
        <v>0.20139987266899109</v>
      </c>
      <c r="AB155" s="21">
        <f>EXP(-LN(2)/2)*AB154+(1-EXP(-LN(2)/2))/(LN(2)/2)*V155*Y155*VLOOKUP('Données projet'!$B$9,Paramètres!$A$1:$I$89,3,0)*0.475*44/12</f>
        <v>7.2769076648637859E-20</v>
      </c>
      <c r="AC155" s="22">
        <f t="shared" si="163"/>
        <v>4.2928430690471941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90.698399999999708</v>
      </c>
      <c r="D156" s="11">
        <f t="shared" si="140"/>
        <v>24.733586403594121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891.053930133005</v>
      </c>
      <c r="H156" s="67">
        <f t="shared" si="110"/>
        <v>494.37737631959254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39.053454142601367</v>
      </c>
      <c r="T156" s="59">
        <f t="shared" si="142"/>
        <v>225.79068168427801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4.0112124908311628</v>
      </c>
      <c r="AA156" s="21">
        <f>EXP(-LN(2)/25)*AA155+(1-EXP(-LN(2)/25))/(LN(2)/25)*Calculateur!V156*Calculateur!X156*VLOOKUP('Données projet'!$B$9,Paramètres!$A$1:$I$89,3,0)*0.475*44/12</f>
        <v>0.19589258255969852</v>
      </c>
      <c r="AB156" s="21">
        <f>EXP(-LN(2)/2)*AB155+(1-EXP(-LN(2)/2))/(LN(2)/2)*V156*Y156*VLOOKUP('Données projet'!$B$9,Paramètres!$A$1:$I$89,3,0)*0.475*44/12</f>
        <v>5.1455507558935476E-20</v>
      </c>
      <c r="AC156" s="22">
        <f t="shared" si="163"/>
        <v>4.2071050733908617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91.291199999999705</v>
      </c>
      <c r="D157" s="11">
        <f t="shared" si="140"/>
        <v>24.876372702805362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896.73214016200416</v>
      </c>
      <c r="H157" s="67">
        <f t="shared" si="110"/>
        <v>495.65852245738552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39.053454142601367</v>
      </c>
      <c r="T157" s="59">
        <f t="shared" si="142"/>
        <v>225.79068168427801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3.9325550604840016</v>
      </c>
      <c r="AA157" s="21">
        <f>EXP(-LN(2)/25)*AA156+(1-EXP(-LN(2)/25))/(LN(2)/25)*Calculateur!V157*Calculateur!X157*VLOOKUP('Données projet'!$B$9,Paramètres!$A$1:$I$89,3,0)*0.475*44/12</f>
        <v>0.19053588958806036</v>
      </c>
      <c r="AB157" s="21">
        <f>EXP(-LN(2)/2)*AB156+(1-EXP(-LN(2)/2))/(LN(2)/2)*V157*Y157*VLOOKUP('Données projet'!$B$9,Paramètres!$A$1:$I$89,3,0)*0.475*44/12</f>
        <v>3.6384538324318929E-20</v>
      </c>
      <c r="AC157" s="22">
        <f t="shared" si="163"/>
        <v>4.1230909500720623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91.883999999999702</v>
      </c>
      <c r="D158" s="11">
        <f t="shared" si="140"/>
        <v>25.019051117801485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902.40951740057062</v>
      </c>
      <c r="H158" s="67">
        <f t="shared" si="110"/>
        <v>496.93948069683699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39.053454142601367</v>
      </c>
      <c r="T158" s="59">
        <f t="shared" si="142"/>
        <v>225.79068168427801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3.855440054369653</v>
      </c>
      <c r="AA158" s="21">
        <f>EXP(-LN(2)/25)*AA157+(1-EXP(-LN(2)/25))/(LN(2)/25)*Calculateur!V158*Calculateur!X158*VLOOKUP('Données projet'!$B$9,Paramètres!$A$1:$I$89,3,0)*0.475*44/12</f>
        <v>0.18532567566742789</v>
      </c>
      <c r="AB158" s="21">
        <f>EXP(-LN(2)/2)*AB157+(1-EXP(-LN(2)/2))/(LN(2)/2)*V158*Y158*VLOOKUP('Données projet'!$B$9,Paramètres!$A$1:$I$89,3,0)*0.475*44/12</f>
        <v>2.5727753779467738E-20</v>
      </c>
      <c r="AC158" s="22">
        <f t="shared" si="163"/>
        <v>4.0407657300370809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92.476799999999699</v>
      </c>
      <c r="D159" s="11">
        <f t="shared" si="140"/>
        <v>25.161622425346334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908.08606784477649</v>
      </c>
      <c r="H159" s="67">
        <f t="shared" si="110"/>
        <v>498.22025239081097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39.053454142601367</v>
      </c>
      <c r="T159" s="59">
        <f t="shared" si="142"/>
        <v>225.79068168427801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3.7798372264896973</v>
      </c>
      <c r="AA159" s="21">
        <f>EXP(-LN(2)/25)*AA158+(1-EXP(-LN(2)/25))/(LN(2)/25)*Calculateur!V159*Calculateur!X159*VLOOKUP('Données projet'!$B$9,Paramètres!$A$1:$I$89,3,0)*0.475*44/12</f>
        <v>0.18025793532044834</v>
      </c>
      <c r="AB159" s="21">
        <f>EXP(-LN(2)/2)*AB158+(1-EXP(-LN(2)/2))/(LN(2)/2)*V159*Y159*VLOOKUP('Données projet'!$B$9,Paramètres!$A$1:$I$89,3,0)*0.475*44/12</f>
        <v>1.8192269162159465E-20</v>
      </c>
      <c r="AC159" s="22">
        <f t="shared" si="163"/>
        <v>3.9600951618101456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93.069599999999696</v>
      </c>
      <c r="D160" s="11">
        <f t="shared" si="140"/>
        <v>25.304087391669444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913.76179740937584</v>
      </c>
      <c r="H160" s="67">
        <f t="shared" si="110"/>
        <v>499.50083887382374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39.053454142601367</v>
      </c>
      <c r="T160" s="59">
        <f t="shared" si="142"/>
        <v>225.79068168427801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3.7057169239512961</v>
      </c>
      <c r="AA160" s="21">
        <f>EXP(-LN(2)/25)*AA159+(1-EXP(-LN(2)/25))/(LN(2)/25)*Calculateur!V160*Calculateur!X160*VLOOKUP('Données projet'!$B$9,Paramètres!$A$1:$I$89,3,0)*0.475*44/12</f>
        <v>0.17532877259975785</v>
      </c>
      <c r="AB160" s="21">
        <f>EXP(-LN(2)/2)*AB159+(1-EXP(-LN(2)/2))/(LN(2)/2)*V160*Y160*VLOOKUP('Données projet'!$B$9,Paramètres!$A$1:$I$89,3,0)*0.475*44/12</f>
        <v>1.2863876889733869E-20</v>
      </c>
      <c r="AC160" s="22">
        <f t="shared" si="163"/>
        <v>3.881045696551054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93.662399999999693</v>
      </c>
      <c r="D161" s="11">
        <f t="shared" si="140"/>
        <v>25.446446772674911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919.43671192941804</v>
      </c>
      <c r="H161" s="67">
        <f t="shared" si="110"/>
        <v>500.78124146240827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39.053454142601367</v>
      </c>
      <c r="T161" s="59">
        <f t="shared" si="142"/>
        <v>225.79068168427801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3.6330500753367523</v>
      </c>
      <c r="AA161" s="21">
        <f>EXP(-LN(2)/25)*AA160+(1-EXP(-LN(2)/25))/(LN(2)/25)*Calculateur!V161*Calculateur!X161*VLOOKUP('Données projet'!$B$9,Paramètres!$A$1:$I$89,3,0)*0.475*44/12</f>
        <v>0.17053439809287804</v>
      </c>
      <c r="AB161" s="21">
        <f>EXP(-LN(2)/2)*AB160+(1-EXP(-LN(2)/2))/(LN(2)/2)*V161*Y161*VLOOKUP('Données projet'!$B$9,Paramètres!$A$1:$I$89,3,0)*0.475*44/12</f>
        <v>9.0961345810797324E-21</v>
      </c>
      <c r="AC161" s="22">
        <f t="shared" si="163"/>
        <v>3.8035844734296305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94.255199999999689</v>
      </c>
      <c r="D162" s="11">
        <f t="shared" si="140"/>
        <v>25.588701314145158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925.1108171618198</v>
      </c>
      <c r="H162" s="67">
        <f t="shared" si="110"/>
        <v>502.06146145546893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39.053454142601367</v>
      </c>
      <c r="T162" s="59">
        <f t="shared" si="142"/>
        <v>225.79068168427801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3.5618081793011385</v>
      </c>
      <c r="AA162" s="21">
        <f>EXP(-LN(2)/25)*AA161+(1-EXP(-LN(2)/25))/(LN(2)/25)*Calculateur!V162*Calculateur!X162*VLOOKUP('Données projet'!$B$9,Paramètres!$A$1:$I$89,3,0)*0.475*44/12</f>
        <v>0.16587112600901405</v>
      </c>
      <c r="AB162" s="21">
        <f>EXP(-LN(2)/2)*AB161+(1-EXP(-LN(2)/2))/(LN(2)/2)*V162*Y162*VLOOKUP('Données projet'!$B$9,Paramètres!$A$1:$I$89,3,0)*0.475*44/12</f>
        <v>6.4319384448669345E-21</v>
      </c>
      <c r="AC162" s="22">
        <f t="shared" si="163"/>
        <v>3.7276793053101525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94.847999999999686</v>
      </c>
      <c r="D163" s="11">
        <f t="shared" si="140"/>
        <v>25.730851751939131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930.7841187868961</v>
      </c>
      <c r="H163" s="67">
        <f t="shared" si="110"/>
        <v>503.34150013462676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39.053454142601367</v>
      </c>
      <c r="T163" s="59">
        <f t="shared" si="142"/>
        <v>225.79068168427801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3.4919632933935172</v>
      </c>
      <c r="AA163" s="21">
        <f>EXP(-LN(2)/25)*AA162+(1-EXP(-LN(2)/25))/(LN(2)/25)*Calculateur!V163*Calculateur!X163*VLOOKUP('Données projet'!$B$9,Paramètres!$A$1:$I$89,3,0)*0.475*44/12</f>
        <v>0.16133537134551415</v>
      </c>
      <c r="AB163" s="21">
        <f>EXP(-LN(2)/2)*AB162+(1-EXP(-LN(2)/2))/(LN(2)/2)*V163*Y163*VLOOKUP('Données projet'!$B$9,Paramètres!$A$1:$I$89,3,0)*0.475*44/12</f>
        <v>4.5480672905398662E-21</v>
      </c>
      <c r="AC163" s="22">
        <f t="shared" si="163"/>
        <v>3.6532986647390313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95.440799999999683</v>
      </c>
      <c r="D164" s="11">
        <f t="shared" si="140"/>
        <v>25.872898812185536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936.45662240985087</v>
      </c>
      <c r="H164" s="67">
        <f t="shared" si="110"/>
        <v>504.62135876455591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39.053454142601367</v>
      </c>
      <c r="T164" s="59">
        <f t="shared" si="142"/>
        <v>225.79068168427801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3.4234880230973705</v>
      </c>
      <c r="AA164" s="21">
        <f>EXP(-LN(2)/25)*AA163+(1-EXP(-LN(2)/25))/(LN(2)/25)*Calculateur!V164*Calculateur!X164*VLOOKUP('Données projet'!$B$9,Paramètres!$A$1:$I$89,3,0)*0.475*44/12</f>
        <v>0.15692364713181262</v>
      </c>
      <c r="AB164" s="21">
        <f>EXP(-LN(2)/2)*AB163+(1-EXP(-LN(2)/2))/(LN(2)/2)*V164*Y164*VLOOKUP('Données projet'!$B$9,Paramètres!$A$1:$I$89,3,0)*0.475*44/12</f>
        <v>3.2159692224334673E-21</v>
      </c>
      <c r="AC164" s="22">
        <f t="shared" si="163"/>
        <v>3.5804116702291831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96.03359999999968</v>
      </c>
      <c r="D165" s="11">
        <f t="shared" si="140"/>
        <v>26.01484321147116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942.12833356223121</v>
      </c>
      <c r="H165" s="67">
        <f t="shared" si="110"/>
        <v>505.90103859331168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39.053454142601367</v>
      </c>
      <c r="T165" s="59">
        <f t="shared" si="142"/>
        <v>225.79068168427801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3.3563555110859404</v>
      </c>
      <c r="AA165" s="21">
        <f>EXP(-LN(2)/25)*AA164+(1-EXP(-LN(2)/25))/(LN(2)/25)*Calculateur!V165*Calculateur!X165*VLOOKUP('Données projet'!$B$9,Paramètres!$A$1:$I$89,3,0)*0.475*44/12</f>
        <v>0.15263256174873724</v>
      </c>
      <c r="AB165" s="21">
        <f>EXP(-LN(2)/2)*AB164+(1-EXP(-LN(2)/2))/(LN(2)/2)*V165*Y165*VLOOKUP('Données projet'!$B$9,Paramètres!$A$1:$I$89,3,0)*0.475*44/12</f>
        <v>2.2740336452699331E-21</v>
      </c>
      <c r="AC165" s="22">
        <f t="shared" si="163"/>
        <v>3.5089880728346778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96.626399999999677</v>
      </c>
      <c r="D166" s="11">
        <f t="shared" si="140"/>
        <v>26.156685657024326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947.79925770334319</v>
      </c>
      <c r="H166" s="67">
        <f t="shared" si="110"/>
        <v>507.1805408526501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39.053454142601367</v>
      </c>
      <c r="T166" s="59">
        <f t="shared" si="142"/>
        <v>225.79068168427801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3.290539426688265</v>
      </c>
      <c r="AA166" s="21">
        <f>EXP(-LN(2)/25)*AA165+(1-EXP(-LN(2)/25))/(LN(2)/25)*Calculateur!V166*Calculateur!X166*VLOOKUP('Données projet'!$B$9,Paramètres!$A$1:$I$89,3,0)*0.475*44/12</f>
        <v>0.14845881632112043</v>
      </c>
      <c r="AB166" s="21">
        <f>EXP(-LN(2)/2)*AB165+(1-EXP(-LN(2)/2))/(LN(2)/2)*V166*Y166*VLOOKUP('Données projet'!$B$9,Paramètres!$A$1:$I$89,3,0)*0.475*44/12</f>
        <v>1.6079846112167336E-21</v>
      </c>
      <c r="AC166" s="22">
        <f t="shared" si="163"/>
        <v>3.4389982430093853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97.219199999999674</v>
      </c>
      <c r="D167" s="11">
        <f t="shared" si="140"/>
        <v>26.298426846893836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953.46940022163415</v>
      </c>
      <c r="H167" s="67">
        <f t="shared" si="110"/>
        <v>508.4598667583395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39.053454142601367</v>
      </c>
      <c r="T167" s="59">
        <f t="shared" si="142"/>
        <v>225.79068168427801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3.2260139555617804</v>
      </c>
      <c r="AA167" s="21">
        <f>EXP(-LN(2)/25)*AA166+(1-EXP(-LN(2)/25))/(LN(2)/25)*Calculateur!V167*Calculateur!X167*VLOOKUP('Données projet'!$B$9,Paramètres!$A$1:$I$89,3,0)*0.475*44/12</f>
        <v>0.14439920218170954</v>
      </c>
      <c r="AB167" s="21">
        <f>EXP(-LN(2)/2)*AB166+(1-EXP(-LN(2)/2))/(LN(2)/2)*V167*Y167*VLOOKUP('Données projet'!$B$9,Paramètres!$A$1:$I$89,3,0)*0.475*44/12</f>
        <v>1.1370168226349665E-21</v>
      </c>
      <c r="AC167" s="22">
        <f t="shared" si="163"/>
        <v>3.3704131577434899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97.811999999999671</v>
      </c>
      <c r="D168" s="11">
        <f t="shared" si="140"/>
        <v>26.440067470123214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959.13876643603635</v>
      </c>
      <c r="H168" s="67">
        <f t="shared" si="110"/>
        <v>509.73901751046401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39.053454142601367</v>
      </c>
      <c r="T168" s="59">
        <f t="shared" si="142"/>
        <v>225.79068168427801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3.1627537895674349</v>
      </c>
      <c r="AA168" s="21">
        <f>EXP(-LN(2)/25)*AA167+(1-EXP(-LN(2)/25))/(LN(2)/25)*Calculateur!V168*Calculateur!X168*VLOOKUP('Données projet'!$B$9,Paramètres!$A$1:$I$89,3,0)*0.475*44/12</f>
        <v>0.14045059840442667</v>
      </c>
      <c r="AB168" s="21">
        <f>EXP(-LN(2)/2)*AB167+(1-EXP(-LN(2)/2))/(LN(2)/2)*V168*Y168*VLOOKUP('Données projet'!$B$9,Paramètres!$A$1:$I$89,3,0)*0.475*44/12</f>
        <v>8.0399230560836682E-22</v>
      </c>
      <c r="AC168" s="22">
        <f t="shared" si="163"/>
        <v>3.3032043879718618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98.404799999999668</v>
      </c>
      <c r="D169" s="11">
        <f t="shared" si="140"/>
        <v>26.581608206920826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964.8073615972811</v>
      </c>
      <c r="H169" s="67">
        <f t="shared" si="110"/>
        <v>511.01799429371982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39.053454142601367</v>
      </c>
      <c r="T169" s="59">
        <f t="shared" si="142"/>
        <v>225.79068168427801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3.1007341168433475</v>
      </c>
      <c r="AA169" s="21">
        <f>EXP(-LN(2)/25)*AA168+(1-EXP(-LN(2)/25))/(LN(2)/25)*Calculateur!V169*Calculateur!X169*VLOOKUP('Données projet'!$B$9,Paramètres!$A$1:$I$89,3,0)*0.475*44/12</f>
        <v>0.13660996940508166</v>
      </c>
      <c r="AB169" s="21">
        <f>EXP(-LN(2)/2)*AB168+(1-EXP(-LN(2)/2))/(LN(2)/2)*V169*Y169*VLOOKUP('Données projet'!$B$9,Paramètres!$A$1:$I$89,3,0)*0.475*44/12</f>
        <v>5.6850841131748327E-22</v>
      </c>
      <c r="AC169" s="22">
        <f t="shared" si="163"/>
        <v>3.2373440862484291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98.997599999999665</v>
      </c>
      <c r="D170" s="11">
        <f t="shared" si="140"/>
        <v>26.723049728825711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970.47519088917841</v>
      </c>
      <c r="H170" s="67">
        <f t="shared" si="110"/>
        <v>512.29679827770417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39.053454142601367</v>
      </c>
      <c r="T170" s="59">
        <f t="shared" si="142"/>
        <v>225.79068168427801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3.0399306120731144</v>
      </c>
      <c r="AA170" s="21">
        <f>EXP(-LN(2)/25)*AA169+(1-EXP(-LN(2)/25))/(LN(2)/25)*Calculateur!V170*Calculateur!X170*VLOOKUP('Données projet'!$B$9,Paramètres!$A$1:$I$89,3,0)*0.475*44/12</f>
        <v>0.13287436260769364</v>
      </c>
      <c r="AB170" s="21">
        <f>EXP(-LN(2)/2)*AB169+(1-EXP(-LN(2)/2))/(LN(2)/2)*V170*Y170*VLOOKUP('Données projet'!$B$9,Paramètres!$A$1:$I$89,3,0)*0.475*44/12</f>
        <v>4.0199615280418341E-22</v>
      </c>
      <c r="AC170" s="22">
        <f t="shared" si="163"/>
        <v>3.1728049746808082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99.590399999999661</v>
      </c>
      <c r="D171" s="11">
        <f t="shared" si="140"/>
        <v>26.864392698869253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976.14225942986525</v>
      </c>
      <c r="H171" s="67">
        <f t="shared" si="110"/>
        <v>513.57543061719662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39.053454142601367</v>
      </c>
      <c r="T171" s="59">
        <f t="shared" si="142"/>
        <v>225.79068168427801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2.9803194269449493</v>
      </c>
      <c r="AA171" s="21">
        <f>EXP(-LN(2)/25)*AA170+(1-EXP(-LN(2)/25))/(LN(2)/25)*Calculateur!V171*Calculateur!X171*VLOOKUP('Données projet'!$B$9,Paramètres!$A$1:$I$89,3,0)*0.475*44/12</f>
        <v>0.12924090617462722</v>
      </c>
      <c r="AB171" s="21">
        <f>EXP(-LN(2)/2)*AB170+(1-EXP(-LN(2)/2))/(LN(2)/2)*V171*Y171*VLOOKUP('Données projet'!$B$9,Paramètres!$A$1:$I$89,3,0)*0.475*44/12</f>
        <v>2.8425420565874164E-22</v>
      </c>
      <c r="AC171" s="22">
        <f t="shared" si="163"/>
        <v>3.1095603331195765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100.18319999999966</v>
      </c>
      <c r="D172" s="11">
        <f t="shared" si="140"/>
        <v>27.005637771732946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981.80857227302374</v>
      </c>
      <c r="H172" s="67">
        <f t="shared" si="110"/>
        <v>514.85389245243425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39.053454142601367</v>
      </c>
      <c r="T172" s="59">
        <f t="shared" si="142"/>
        <v>225.79068168427801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2.9218771807979151</v>
      </c>
      <c r="AA172" s="21">
        <f>EXP(-LN(2)/25)*AA171+(1-EXP(-LN(2)/25))/(LN(2)/25)*Calculateur!V172*Calculateur!X172*VLOOKUP('Données projet'!$B$9,Paramètres!$A$1:$I$89,3,0)*0.475*44/12</f>
        <v>0.12570680679879817</v>
      </c>
      <c r="AB172" s="21">
        <f>EXP(-LN(2)/2)*AB171+(1-EXP(-LN(2)/2))/(LN(2)/2)*V172*Y172*VLOOKUP('Données projet'!$B$9,Paramètres!$A$1:$I$89,3,0)*0.475*44/12</f>
        <v>2.009980764020917E-22</v>
      </c>
      <c r="AC172" s="22">
        <f t="shared" si="163"/>
        <v>3.0475839875967132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100.77599999999966</v>
      </c>
      <c r="D173" s="11">
        <f t="shared" si="140"/>
        <v>27.146785593902401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987.4741344090686</v>
      </c>
      <c r="H173" s="67">
        <f t="shared" si="110"/>
        <v>516.13218490937948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39.053454142601367</v>
      </c>
      <c r="T173" s="59">
        <f t="shared" si="142"/>
        <v>225.79068168427801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2.8645809514515737</v>
      </c>
      <c r="AA173" s="21">
        <f>EXP(-LN(2)/25)*AA172+(1-EXP(-LN(2)/25))/(LN(2)/25)*Calculateur!V173*Calculateur!X173*VLOOKUP('Données projet'!$B$9,Paramètres!$A$1:$I$89,3,0)*0.475*44/12</f>
        <v>0.12226934755625138</v>
      </c>
      <c r="AB173" s="21">
        <f>EXP(-LN(2)/2)*AB172+(1-EXP(-LN(2)/2))/(LN(2)/2)*V173*Y173*VLOOKUP('Données projet'!$B$9,Paramètres!$A$1:$I$89,3,0)*0.475*44/12</f>
        <v>1.4212710282937082E-22</v>
      </c>
      <c r="AC173" s="22">
        <f t="shared" si="163"/>
        <v>2.9868502990078252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101.36879999999965</v>
      </c>
      <c r="D174" s="11">
        <f t="shared" si="140"/>
        <v>27.287836803817378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993.13895076630706</v>
      </c>
      <c r="H174" s="67">
        <f t="shared" si="110"/>
        <v>517.4103090999813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39.053454142601367</v>
      </c>
      <c r="T174" s="59">
        <f t="shared" si="142"/>
        <v>225.79068168427801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2.8084082662154648</v>
      </c>
      <c r="AA174" s="21">
        <f>EXP(-LN(2)/25)*AA173+(1-EXP(-LN(2)/25))/(LN(2)/25)*Calculateur!V174*Calculateur!X174*VLOOKUP('Données projet'!$B$9,Paramètres!$A$1:$I$89,3,0)*0.475*44/12</f>
        <v>0.11892588581746015</v>
      </c>
      <c r="AB174" s="21">
        <f>EXP(-LN(2)/2)*AB173+(1-EXP(-LN(2)/2))/(LN(2)/2)*V174*Y174*VLOOKUP('Données projet'!$B$9,Paramètres!$A$1:$I$89,3,0)*0.475*44/12</f>
        <v>1.0049903820104585E-22</v>
      </c>
      <c r="AC174" s="22">
        <f t="shared" si="163"/>
        <v>2.927334152032925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101.96159999999965</v>
      </c>
      <c r="D175" s="11">
        <f t="shared" si="140"/>
        <v>27.428792032018549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998.80302621207045</v>
      </c>
      <c r="H175" s="67">
        <f t="shared" si="110"/>
        <v>518.68826612243174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39.053454142601367</v>
      </c>
      <c r="T175" s="59">
        <f t="shared" si="142"/>
        <v>225.79068168427801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2.7533370930748813</v>
      </c>
      <c r="AA175" s="21">
        <f>EXP(-LN(2)/25)*AA174+(1-EXP(-LN(2)/25))/(LN(2)/25)*Calculateur!V175*Calculateur!X175*VLOOKUP('Données projet'!$B$9,Paramètres!$A$1:$I$89,3,0)*0.475*44/12</f>
        <v>0.11567385121574117</v>
      </c>
      <c r="AB175" s="21">
        <f>EXP(-LN(2)/2)*AB174+(1-EXP(-LN(2)/2))/(LN(2)/2)*V175*Y175*VLOOKUP('Données projet'!$B$9,Paramètres!$A$1:$I$89,3,0)*0.475*44/12</f>
        <v>7.1063551414685409E-23</v>
      </c>
      <c r="AC175" s="22">
        <f t="shared" si="163"/>
        <v>2.8690109442906224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102.55439999999965</v>
      </c>
      <c r="D176" s="11">
        <f t="shared" si="140"/>
        <v>27.569651901290516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1004.4663655538188</v>
      </c>
      <c r="H176" s="67">
        <f t="shared" si="110"/>
        <v>519.96605706141372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39.053454142601367</v>
      </c>
      <c r="T176" s="59">
        <f t="shared" si="142"/>
        <v>225.79068168427801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2.6993458320494859</v>
      </c>
      <c r="AA176" s="21">
        <f>EXP(-LN(2)/25)*AA175+(1-EXP(-LN(2)/25))/(LN(2)/25)*Calculateur!V176*Calculateur!X176*VLOOKUP('Données projet'!$B$9,Paramètres!$A$1:$I$89,3,0)*0.475*44/12</f>
        <v>0.11251074367122327</v>
      </c>
      <c r="AB176" s="21">
        <f>EXP(-LN(2)/2)*AB175+(1-EXP(-LN(2)/2))/(LN(2)/2)*V176*Y176*VLOOKUP('Données projet'!$B$9,Paramètres!$A$1:$I$89,3,0)*0.475*44/12</f>
        <v>5.0249519100522926E-23</v>
      </c>
      <c r="AC176" s="22">
        <f t="shared" si="163"/>
        <v>2.811856575720709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103.14719999999964</v>
      </c>
      <c r="D177" s="11">
        <f t="shared" si="140"/>
        <v>27.710417026801377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1010.1289735402185</v>
      </c>
      <c r="H177" s="67">
        <f t="shared" si="110"/>
        <v>521.24368298834509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39.053454142601367</v>
      </c>
      <c r="T177" s="59">
        <f t="shared" si="142"/>
        <v>225.79068168427801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2.6464133067213806</v>
      </c>
      <c r="AA177" s="21">
        <f>EXP(-LN(2)/25)*AA176+(1-EXP(-LN(2)/25))/(LN(2)/25)*Calculateur!V177*Calculateur!X177*VLOOKUP('Données projet'!$B$9,Paramètres!$A$1:$I$89,3,0)*0.475*44/12</f>
        <v>0.10943413146885081</v>
      </c>
      <c r="AB177" s="21">
        <f>EXP(-LN(2)/2)*AB176+(1-EXP(-LN(2)/2))/(LN(2)/2)*V177*Y177*VLOOKUP('Données projet'!$B$9,Paramètres!$A$1:$I$89,3,0)*0.475*44/12</f>
        <v>3.5531775707342705E-23</v>
      </c>
      <c r="AC177" s="22">
        <f t="shared" si="163"/>
        <v>2.7558474381902314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103.73999999999964</v>
      </c>
      <c r="D178" s="11">
        <f t="shared" si="140"/>
        <v>27.851088016239277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1015.7908548621953</v>
      </c>
      <c r="H178" s="67">
        <f t="shared" si="110"/>
        <v>522.52114496161607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39.053454142601367</v>
      </c>
      <c r="T178" s="59">
        <f t="shared" si="142"/>
        <v>225.79068168427801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2.594518755929307</v>
      </c>
      <c r="AA178" s="21">
        <f>EXP(-LN(2)/25)*AA177+(1-EXP(-LN(2)/25))/(LN(2)/25)*Calculateur!V178*Calculateur!X178*VLOOKUP('Données projet'!$B$9,Paramètres!$A$1:$I$89,3,0)*0.475*44/12</f>
        <v>0.10644164938894422</v>
      </c>
      <c r="AB178" s="21">
        <f>EXP(-LN(2)/2)*AB177+(1-EXP(-LN(2)/2))/(LN(2)/2)*V178*Y178*VLOOKUP('Données projet'!$B$9,Paramètres!$A$1:$I$89,3,0)*0.475*44/12</f>
        <v>2.5124759550261463E-23</v>
      </c>
      <c r="AC178" s="22">
        <f t="shared" si="163"/>
        <v>2.7009604053182512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104.33279999999964</v>
      </c>
      <c r="D179" s="11">
        <f t="shared" si="140"/>
        <v>27.991665469945453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1021.4520141539623</v>
      </c>
      <c r="H179" s="67">
        <f t="shared" si="110"/>
        <v>523.79844402682102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39.053454142601367</v>
      </c>
      <c r="T179" s="59">
        <f t="shared" si="142"/>
        <v>225.79068168427801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2.5436418256257154</v>
      </c>
      <c r="AA179" s="21">
        <f>EXP(-LN(2)/25)*AA178+(1-EXP(-LN(2)/25))/(LN(2)/25)*Calculateur!V179*Calculateur!X179*VLOOKUP('Données projet'!$B$9,Paramètres!$A$1:$I$89,3,0)*0.475*44/12</f>
        <v>0.10353099688888048</v>
      </c>
      <c r="AB179" s="21">
        <f>EXP(-LN(2)/2)*AB178+(1-EXP(-LN(2)/2))/(LN(2)/2)*V179*Y179*VLOOKUP('Données projet'!$B$9,Paramètres!$A$1:$I$89,3,0)*0.475*44/12</f>
        <v>1.7765887853671352E-23</v>
      </c>
      <c r="AC179" s="22">
        <f t="shared" si="163"/>
        <v>2.6471728225145958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104.92559999999963</v>
      </c>
      <c r="D180" s="11">
        <f t="shared" si="140"/>
        <v>28.132149981044268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1027.1124559940233</v>
      </c>
      <c r="H180" s="67">
        <f t="shared" si="110"/>
        <v>525.0755812169848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39.053454142601367</v>
      </c>
      <c r="T180" s="59">
        <f t="shared" si="142"/>
        <v>225.79068168427801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2.4937625608935141</v>
      </c>
      <c r="AA180" s="21">
        <f>EXP(-LN(2)/25)*AA179+(1-EXP(-LN(2)/25))/(LN(2)/25)*Calculateur!V180*Calculateur!X180*VLOOKUP('Données projet'!$B$9,Paramètres!$A$1:$I$89,3,0)*0.475*44/12</f>
        <v>0.10069993633449555</v>
      </c>
      <c r="AB180" s="21">
        <f>EXP(-LN(2)/2)*AB179+(1-EXP(-LN(2)/2))/(LN(2)/2)*V180*Y180*VLOOKUP('Données projet'!$B$9,Paramètres!$A$1:$I$89,3,0)*0.475*44/12</f>
        <v>1.2562379775130731E-23</v>
      </c>
      <c r="AC180" s="22">
        <f t="shared" si="163"/>
        <v>2.5944624972280095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105.51839999999963</v>
      </c>
      <c r="D181" s="11">
        <f t="shared" si="140"/>
        <v>28.272542135570333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1032.7721849061541</v>
      </c>
      <c r="H181" s="67">
        <f t="shared" si="110"/>
        <v>526.35255755278433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39.053454142601367</v>
      </c>
      <c r="T181" s="59">
        <f t="shared" si="142"/>
        <v>225.79068168427801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2.4448613981193636</v>
      </c>
      <c r="AA181" s="21">
        <f>EXP(-LN(2)/25)*AA180+(1-EXP(-LN(2)/25))/(LN(2)/25)*Calculateur!V181*Calculateur!X181*VLOOKUP('Données projet'!$B$9,Paramètres!$A$1:$I$89,3,0)*0.475*44/12</f>
        <v>9.794629127984926E-2</v>
      </c>
      <c r="AB181" s="21">
        <f>EXP(-LN(2)/2)*AB180+(1-EXP(-LN(2)/2))/(LN(2)/2)*V181*Y181*VLOOKUP('Données projet'!$B$9,Paramètres!$A$1:$I$89,3,0)*0.475*44/12</f>
        <v>8.8829439268356761E-24</v>
      </c>
      <c r="AC181" s="22">
        <f t="shared" si="163"/>
        <v>2.5428076893992131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106.11119999999963</v>
      </c>
      <c r="D182" s="11">
        <f t="shared" si="140"/>
        <v>28.41284251259254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1038.4312053603605</v>
      </c>
      <c r="H182" s="67">
        <f t="shared" si="110"/>
        <v>527.62937404276465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39.053454142601367</v>
      </c>
      <c r="T182" s="59">
        <f t="shared" si="142"/>
        <v>225.79068168427801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2.39691915732045</v>
      </c>
      <c r="AA182" s="21">
        <f>EXP(-LN(2)/25)*AA181+(1-EXP(-LN(2)/25))/(LN(2)/25)*Calculateur!V182*Calculateur!X182*VLOOKUP('Données projet'!$B$9,Paramètres!$A$1:$I$89,3,0)*0.475*44/12</f>
        <v>9.5267944794030182E-2</v>
      </c>
      <c r="AB182" s="21">
        <f>EXP(-LN(2)/2)*AB181+(1-EXP(-LN(2)/2))/(LN(2)/2)*V182*Y182*VLOOKUP('Données projet'!$B$9,Paramètres!$A$1:$I$89,3,0)*0.475*44/12</f>
        <v>6.2811898875653657E-24</v>
      </c>
      <c r="AC182" s="22">
        <f t="shared" si="163"/>
        <v>2.4921871021144804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106.70399999999962</v>
      </c>
      <c r="D183" s="11">
        <f t="shared" si="140"/>
        <v>28.553051684335252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1044.089521773813</v>
      </c>
      <c r="H183" s="67">
        <f t="shared" si="110"/>
        <v>528.90603168354983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39.053454142601367</v>
      </c>
      <c r="T183" s="59">
        <f t="shared" si="142"/>
        <v>225.79068168427801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2.3499170346217237</v>
      </c>
      <c r="AA183" s="21">
        <f>EXP(-LN(2)/25)*AA182+(1-EXP(-LN(2)/25))/(LN(2)/25)*Calculateur!V183*Calculateur!X183*VLOOKUP('Données projet'!$B$9,Paramètres!$A$1:$I$89,3,0)*0.475*44/12</f>
        <v>9.2662837833713943E-2</v>
      </c>
      <c r="AB183" s="21">
        <f>EXP(-LN(2)/2)*AB182+(1-EXP(-LN(2)/2))/(LN(2)/2)*V183*Y183*VLOOKUP('Données projet'!$B$9,Paramètres!$A$1:$I$89,3,0)*0.475*44/12</f>
        <v>4.4414719634178381E-24</v>
      </c>
      <c r="AC183" s="22">
        <f t="shared" si="163"/>
        <v>2.4425798724554375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107.29679999999962</v>
      </c>
      <c r="D184" s="11">
        <f t="shared" si="140"/>
        <v>28.693170216296874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1049.7471385117624</v>
      </c>
      <c r="H184" s="67">
        <f t="shared" si="110"/>
        <v>530.18253146004963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39.053454142601367</v>
      </c>
      <c r="T184" s="59">
        <f t="shared" si="142"/>
        <v>225.79068168427801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2.3038365948806554</v>
      </c>
      <c r="AA184" s="21">
        <f>EXP(-LN(2)/25)*AA183+(1-EXP(-LN(2)/25))/(LN(2)/25)*Calculateur!V184*Calculateur!X184*VLOOKUP('Données projet'!$B$9,Paramètres!$A$1:$I$89,3,0)*0.475*44/12</f>
        <v>9.0128967660224171E-2</v>
      </c>
      <c r="AB184" s="21">
        <f>EXP(-LN(2)/2)*AB183+(1-EXP(-LN(2)/2))/(LN(2)/2)*V184*Y184*VLOOKUP('Données projet'!$B$9,Paramètres!$A$1:$I$89,3,0)*0.475*44/12</f>
        <v>3.1405949437826829E-24</v>
      </c>
      <c r="AC184" s="22">
        <f t="shared" si="163"/>
        <v>2.3939655625408798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107.88959999999962</v>
      </c>
      <c r="D185" s="11">
        <f t="shared" si="140"/>
        <v>28.833198667365519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1055.4040598884328</v>
      </c>
      <c r="H185" s="67">
        <f t="shared" si="110"/>
        <v>531.45887434566089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39.053454142601367</v>
      </c>
      <c r="T185" s="59">
        <f t="shared" si="142"/>
        <v>225.79068168427801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2.2586597644566164</v>
      </c>
      <c r="AA185" s="21">
        <f>EXP(-LN(2)/25)*AA184+(1-EXP(-LN(2)/25))/(LN(2)/25)*Calculateur!V185*Calculateur!X185*VLOOKUP('Données projet'!$B$9,Paramètres!$A$1:$I$89,3,0)*0.475*44/12</f>
        <v>8.7664386299878924E-2</v>
      </c>
      <c r="AB185" s="21">
        <f>EXP(-LN(2)/2)*AB184+(1-EXP(-LN(2)/2))/(LN(2)/2)*V185*Y185*VLOOKUP('Données projet'!$B$9,Paramètres!$A$1:$I$89,3,0)*0.475*44/12</f>
        <v>2.220735981708919E-24</v>
      </c>
      <c r="AC185" s="22">
        <f t="shared" si="163"/>
        <v>2.3463241507564954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108.48239999999961</v>
      </c>
      <c r="D186" s="11">
        <f t="shared" si="140"/>
        <v>28.973137589932264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1061.0602901678953</v>
      </c>
      <c r="H186" s="67">
        <f t="shared" si="110"/>
        <v>532.7350613024646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39.053454142601367</v>
      </c>
      <c r="T186" s="59">
        <f t="shared" si="142"/>
        <v>225.79068168427801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2.2143688241220474</v>
      </c>
      <c r="AA186" s="21">
        <f>EXP(-LN(2)/25)*AA185+(1-EXP(-LN(2)/25))/(LN(2)/25)*Calculateur!V186*Calculateur!X186*VLOOKUP('Données projet'!$B$9,Paramètres!$A$1:$I$89,3,0)*0.475*44/12</f>
        <v>8.5267199046439021E-2</v>
      </c>
      <c r="AB186" s="21">
        <f>EXP(-LN(2)/2)*AB185+(1-EXP(-LN(2)/2))/(LN(2)/2)*V186*Y186*VLOOKUP('Données projet'!$B$9,Paramètres!$A$1:$I$89,3,0)*0.475*44/12</f>
        <v>1.5702974718913414E-24</v>
      </c>
      <c r="AC186" s="22">
        <f t="shared" si="163"/>
        <v>2.2996360231684863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109.07519999999961</v>
      </c>
      <c r="D187" s="11">
        <f t="shared" si="140"/>
        <v>29.112987530001661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1066.7158335649221</v>
      </c>
      <c r="H187" s="67">
        <f t="shared" si="110"/>
        <v>534.01109328141888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39.053454142601367</v>
      </c>
      <c r="T187" s="59">
        <f t="shared" si="142"/>
        <v>225.79068168427801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2.1709464021126328</v>
      </c>
      <c r="AA187" s="21">
        <f>EXP(-LN(2)/25)*AA186+(1-EXP(-LN(2)/25))/(LN(2)/25)*Calculateur!V187*Calculateur!X187*VLOOKUP('Données projet'!$B$9,Paramètres!$A$1:$I$89,3,0)*0.475*44/12</f>
        <v>8.2935563004507024E-2</v>
      </c>
      <c r="AB187" s="21">
        <f>EXP(-LN(2)/2)*AB186+(1-EXP(-LN(2)/2))/(LN(2)/2)*V187*Y187*VLOOKUP('Données projet'!$B$9,Paramètres!$A$1:$I$89,3,0)*0.475*44/12</f>
        <v>1.1103679908544595E-24</v>
      </c>
      <c r="AC187" s="22">
        <f t="shared" si="163"/>
        <v>2.2538819651171398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109.66799999999961</v>
      </c>
      <c r="D188" s="11">
        <f t="shared" si="140"/>
        <v>29.252749027299927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1072.3706942458211</v>
      </c>
      <c r="H188" s="67">
        <f t="shared" si="110"/>
        <v>535.28697122254664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39.053454142601367</v>
      </c>
      <c r="T188" s="59">
        <f t="shared" si="142"/>
        <v>225.79068168427801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2.1283754673137607</v>
      </c>
      <c r="AA188" s="21">
        <f>EXP(-LN(2)/25)*AA187+(1-EXP(-LN(2)/25))/(LN(2)/25)*Calculateur!V188*Calculateur!X188*VLOOKUP('Données projet'!$B$9,Paramètres!$A$1:$I$89,3,0)*0.475*44/12</f>
        <v>8.0667685672757075E-2</v>
      </c>
      <c r="AB188" s="21">
        <f>EXP(-LN(2)/2)*AB187+(1-EXP(-LN(2)/2))/(LN(2)/2)*V188*Y188*VLOOKUP('Données projet'!$B$9,Paramètres!$A$1:$I$89,3,0)*0.475*44/12</f>
        <v>7.8514873594567072E-25</v>
      </c>
      <c r="AC188" s="22">
        <f t="shared" si="163"/>
        <v>2.209043152986518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110.26079999999961</v>
      </c>
      <c r="D189" s="11">
        <f t="shared" si="140"/>
        <v>29.392422615380696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1078.0248763292514</v>
      </c>
      <c r="H189" s="67">
        <f t="shared" si="110"/>
        <v>536.56269605512057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39.053454142601367</v>
      </c>
      <c r="T189" s="59">
        <f t="shared" si="142"/>
        <v>225.79068168427801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2.0866393225805884</v>
      </c>
      <c r="AA189" s="21">
        <f>EXP(-LN(2)/25)*AA188+(1-EXP(-LN(2)/25))/(LN(2)/25)*Calculateur!V189*Calculateur!X189*VLOOKUP('Données projet'!$B$9,Paramètres!$A$1:$I$89,3,0)*0.475*44/12</f>
        <v>7.8461823565906308E-2</v>
      </c>
      <c r="AB189" s="21">
        <f>EXP(-LN(2)/2)*AB188+(1-EXP(-LN(2)/2))/(LN(2)/2)*V189*Y189*VLOOKUP('Données projet'!$B$9,Paramètres!$A$1:$I$89,3,0)*0.475*44/12</f>
        <v>5.5518399542722976E-25</v>
      </c>
      <c r="AC189" s="22">
        <f t="shared" si="163"/>
        <v>2.1651011461464948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110.8535999999996</v>
      </c>
      <c r="D190" s="11">
        <f t="shared" si="140"/>
        <v>29.532008821728336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1083.6783838870226</v>
      </c>
      <c r="H190" s="67">
        <f t="shared" si="110"/>
        <v>537.83826869784275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39.053454142601367</v>
      </c>
      <c r="T190" s="59">
        <f t="shared" si="142"/>
        <v>225.79068168427801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2.0457215981890986</v>
      </c>
      <c r="AA190" s="21">
        <f>EXP(-LN(2)/25)*AA189+(1-EXP(-LN(2)/25))/(LN(2)/25)*Calculateur!V190*Calculateur!X190*VLOOKUP('Données projet'!$B$9,Paramètres!$A$1:$I$89,3,0)*0.475*44/12</f>
        <v>7.6316280874368619E-2</v>
      </c>
      <c r="AB190" s="21">
        <f>EXP(-LN(2)/2)*AB189+(1-EXP(-LN(2)/2))/(LN(2)/2)*V190*Y190*VLOOKUP('Données projet'!$B$9,Paramètres!$A$1:$I$89,3,0)*0.475*44/12</f>
        <v>3.9257436797283536E-25</v>
      </c>
      <c r="AC190" s="22">
        <f t="shared" si="163"/>
        <v>2.1220378790634671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</v>
      </c>
      <c r="D191" s="11">
        <f t="shared" si="140"/>
        <v>29.671508167859105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1089.3312209448743</v>
      </c>
      <c r="H191" s="67">
        <f t="shared" si="110"/>
        <v>539.11369005902054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39.053454142601367</v>
      </c>
      <c r="T191" s="59">
        <f t="shared" si="142"/>
        <v>225.79068168427801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2.0056062454155783</v>
      </c>
      <c r="AA191" s="21">
        <f>EXP(-LN(2)/25)*AA190+(1-EXP(-LN(2)/25))/(LN(2)/25)*Calculateur!V191*Calculateur!X191*VLOOKUP('Données projet'!$B$9,Paramètres!$A$1:$I$89,3,0)*0.475*44/12</f>
        <v>7.4229408160560215E-2</v>
      </c>
      <c r="AB191" s="21">
        <f>EXP(-LN(2)/2)*AB190+(1-EXP(-LN(2)/2))/(LN(2)/2)*V191*Y191*VLOOKUP('Données projet'!$B$9,Paramètres!$A$1:$I$89,3,0)*0.475*44/12</f>
        <v>2.7759199771361488E-25</v>
      </c>
      <c r="AC191" s="22">
        <f t="shared" si="163"/>
        <v>2.0798356535761386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112.0391999999996</v>
      </c>
      <c r="D192" s="11">
        <f t="shared" si="140"/>
        <v>29.810921169420094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1094.9833914832398</v>
      </c>
      <c r="H192" s="67">
        <f t="shared" si="110"/>
        <v>540.38896103673915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39.053454142601367</v>
      </c>
      <c r="T192" s="59">
        <f t="shared" si="142"/>
        <v>225.79068168427801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1.9662775302419977</v>
      </c>
      <c r="AA192" s="21">
        <f>EXP(-LN(2)/25)*AA191+(1-EXP(-LN(2)/25))/(LN(2)/25)*Calculateur!V192*Calculateur!X192*VLOOKUP('Données projet'!$B$9,Paramètres!$A$1:$I$89,3,0)*0.475*44/12</f>
        <v>7.219960109085477E-2</v>
      </c>
      <c r="AB192" s="21">
        <f>EXP(-LN(2)/2)*AB191+(1-EXP(-LN(2)/2))/(LN(2)/2)*V192*Y192*VLOOKUP('Données projet'!$B$9,Paramètres!$A$1:$I$89,3,0)*0.475*44/12</f>
        <v>1.9628718398641768E-25</v>
      </c>
      <c r="AC192" s="22">
        <f t="shared" si="163"/>
        <v>2.0384771313328525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112.63199999999959</v>
      </c>
      <c r="D193" s="11">
        <f t="shared" si="140"/>
        <v>29.950248336285927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1100.6348994379935</v>
      </c>
      <c r="H193" s="67">
        <f t="shared" si="110"/>
        <v>541.66408251903056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39.053454142601367</v>
      </c>
      <c r="T193" s="59">
        <f t="shared" si="142"/>
        <v>225.79068168427801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1.9277200271848234</v>
      </c>
      <c r="AA193" s="21">
        <f>EXP(-LN(2)/25)*AA192+(1-EXP(-LN(2)/25))/(LN(2)/25)*Calculateur!V193*Calculateur!X193*VLOOKUP('Données projet'!$B$9,Paramètres!$A$1:$I$89,3,0)*0.475*44/12</f>
        <v>7.0225299202213334E-2</v>
      </c>
      <c r="AB193" s="21">
        <f>EXP(-LN(2)/2)*AB192+(1-EXP(-LN(2)/2))/(LN(2)/2)*V193*Y193*VLOOKUP('Données projet'!$B$9,Paramètres!$A$1:$I$89,3,0)*0.475*44/12</f>
        <v>1.3879599885680744E-25</v>
      </c>
      <c r="AC193" s="22">
        <f t="shared" si="163"/>
        <v>1.9979453263870368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113.22479999999959</v>
      </c>
      <c r="D194" s="11">
        <f t="shared" si="140"/>
        <v>30.089490172653377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1106.2857487011809</v>
      </c>
      <c r="H194" s="67">
        <f t="shared" si="110"/>
        <v>542.93905538403715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39.053454142601367</v>
      </c>
      <c r="T194" s="59">
        <f t="shared" si="142"/>
        <v>225.79068168427801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1.8899186132448456</v>
      </c>
      <c r="AA194" s="21">
        <f>EXP(-LN(2)/25)*AA193+(1-EXP(-LN(2)/25))/(LN(2)/25)*Calculateur!V194*Calculateur!X194*VLOOKUP('Données projet'!$B$9,Paramètres!$A$1:$I$89,3,0)*0.475*44/12</f>
        <v>6.830498470254083E-2</v>
      </c>
      <c r="AB194" s="21">
        <f>EXP(-LN(2)/2)*AB193+(1-EXP(-LN(2)/2))/(LN(2)/2)*V194*Y194*VLOOKUP('Données projet'!$B$9,Paramètres!$A$1:$I$89,3,0)*0.475*44/12</f>
        <v>9.814359199320884E-26</v>
      </c>
      <c r="AC194" s="22">
        <f t="shared" si="163"/>
        <v>1.9582235979473863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113.81759999999959</v>
      </c>
      <c r="D195" s="11">
        <f t="shared" si="140"/>
        <v>30.228647177134089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1111.9359431217338</v>
      </c>
      <c r="H195" s="67">
        <f t="shared" si="110"/>
        <v>544.21388050017447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39.053454142601367</v>
      </c>
      <c r="T195" s="59">
        <f t="shared" si="142"/>
        <v>225.79068168427801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1.852858461975645</v>
      </c>
      <c r="AA195" s="21">
        <f>EXP(-LN(2)/25)*AA194+(1-EXP(-LN(2)/25))/(LN(2)/25)*Calculateur!V195*Calculateur!X195*VLOOKUP('Données projet'!$B$9,Paramètres!$A$1:$I$89,3,0)*0.475*44/12</f>
        <v>6.6437181303846821E-2</v>
      </c>
      <c r="AB195" s="21">
        <f>EXP(-LN(2)/2)*AB194+(1-EXP(-LN(2)/2))/(LN(2)/2)*V195*Y195*VLOOKUP('Données projet'!$B$9,Paramètres!$A$1:$I$89,3,0)*0.475*44/12</f>
        <v>6.939799942840372E-26</v>
      </c>
      <c r="AC195" s="22">
        <f t="shared" si="163"/>
        <v>1.9192956432794919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114.41039999999958</v>
      </c>
      <c r="D196" s="11">
        <f t="shared" si="140"/>
        <v>30.36771984284513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1117.5854865061699</v>
      </c>
      <c r="H196" s="67">
        <f t="shared" ref="H196:H203" si="192">(B196+E196+F196)*44/12+(C196+D196)*0.475*44/12</f>
        <v>545.48855872628792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39.053454142601367</v>
      </c>
      <c r="T196" s="59">
        <f t="shared" si="142"/>
        <v>225.79068168427801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1.816525037668373</v>
      </c>
      <c r="AA196" s="21">
        <f>EXP(-LN(2)/25)*AA195+(1-EXP(-LN(2)/25))/(LN(2)/25)*Calculateur!V196*Calculateur!X196*VLOOKUP('Données projet'!$B$9,Paramètres!$A$1:$I$89,3,0)*0.475*44/12</f>
        <v>6.4620453087313609E-2</v>
      </c>
      <c r="AB196" s="21">
        <f>EXP(-LN(2)/2)*AB195+(1-EXP(-LN(2)/2))/(LN(2)/2)*V196*Y196*VLOOKUP('Données projet'!$B$9,Paramètres!$A$1:$I$89,3,0)*0.475*44/12</f>
        <v>4.907179599660442E-26</v>
      </c>
      <c r="AC196" s="22">
        <f t="shared" si="163"/>
        <v>1.8811454907556866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115.00319999999958</v>
      </c>
      <c r="D197" s="11">
        <f t="shared" ref="D197:D203" si="202">IFERROR(EXP(-1.0587+0.8836*LN(C197)+0.284),0)</f>
        <v>30.50670865749764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1123.2343826192769</v>
      </c>
      <c r="H197" s="67">
        <f t="shared" si="192"/>
        <v>546.76309091180769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39.053454142601367</v>
      </c>
      <c r="T197" s="59">
        <f t="shared" ref="T197:T203" si="204">$T$3</f>
        <v>225.79068168427801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1.7809040896505661</v>
      </c>
      <c r="AA197" s="21">
        <f>EXP(-LN(2)/25)*AA196+(1-EXP(-LN(2)/25))/(LN(2)/25)*Calculateur!V197*Calculateur!X197*VLOOKUP('Données projet'!$B$9,Paramètres!$A$1:$I$89,3,0)*0.475*44/12</f>
        <v>6.2853403399399085E-2</v>
      </c>
      <c r="AB197" s="21">
        <f>EXP(-LN(2)/2)*AB196+(1-EXP(-LN(2)/2))/(LN(2)/2)*V197*Y197*VLOOKUP('Données projet'!$B$9,Paramètres!$A$1:$I$89,3,0)*0.475*44/12</f>
        <v>3.469899971420186E-26</v>
      </c>
      <c r="AC197" s="22">
        <f t="shared" si="163"/>
        <v>1.8437574930499652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115.59599999999958</v>
      </c>
      <c r="D198" s="11">
        <f t="shared" si="202"/>
        <v>30.645614103483769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1128.8826351847838</v>
      </c>
      <c r="H198" s="67">
        <f t="shared" si="192"/>
        <v>548.0374778969001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39.053454142601367</v>
      </c>
      <c r="T198" s="59">
        <f t="shared" si="204"/>
        <v>225.79068168427801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1.7459816466967555</v>
      </c>
      <c r="AA198" s="21">
        <f>EXP(-LN(2)/25)*AA197+(1-EXP(-LN(2)/25))/(LN(2)/25)*Calculateur!V198*Calculateur!X198*VLOOKUP('Données projet'!$B$9,Paramètres!$A$1:$I$89,3,0)*0.475*44/12</f>
        <v>6.1134673778125689E-2</v>
      </c>
      <c r="AB198" s="21">
        <f>EXP(-LN(2)/2)*AB197+(1-EXP(-LN(2)/2))/(LN(2)/2)*V198*Y198*VLOOKUP('Données projet'!$B$9,Paramètres!$A$1:$I$89,3,0)*0.475*44/12</f>
        <v>2.453589799830221E-26</v>
      </c>
      <c r="AC198" s="22">
        <f t="shared" si="163"/>
        <v>1.8071163204748812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116.18879999999957</v>
      </c>
      <c r="D199" s="11">
        <f t="shared" si="202"/>
        <v>30.784436657961592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1134.530247886016</v>
      </c>
      <c r="H199" s="67">
        <f t="shared" si="192"/>
        <v>549.31172051261569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39.053454142601367</v>
      </c>
      <c r="T199" s="59">
        <f t="shared" si="204"/>
        <v>225.79068168427801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1.7117440115486822</v>
      </c>
      <c r="AA199" s="21">
        <f>EXP(-LN(2)/25)*AA198+(1-EXP(-LN(2)/25))/(LN(2)/25)*Calculateur!V199*Calculateur!X199*VLOOKUP('Données projet'!$B$9,Paramètres!$A$1:$I$89,3,0)*0.475*44/12</f>
        <v>5.9462942908730075E-2</v>
      </c>
      <c r="AB199" s="21">
        <f>EXP(-LN(2)/2)*AB198+(1-EXP(-LN(2)/2))/(LN(2)/2)*V199*Y199*VLOOKUP('Données projet'!$B$9,Paramètres!$A$1:$I$89,3,0)*0.475*44/12</f>
        <v>1.734949985710093E-26</v>
      </c>
      <c r="AC199" s="22">
        <f t="shared" si="163"/>
        <v>1.7712069544574123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116.78159999999957</v>
      </c>
      <c r="D200" s="11">
        <f t="shared" si="202"/>
        <v>30.923176792938367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1140.1772243665384</v>
      </c>
      <c r="H200" s="67">
        <f t="shared" si="192"/>
        <v>550.58581958103355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39.053454142601367</v>
      </c>
      <c r="T200" s="59">
        <f t="shared" si="204"/>
        <v>225.79068168427801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1.6781777555429671</v>
      </c>
      <c r="AA200" s="21">
        <f>EXP(-LN(2)/25)*AA199+(1-EXP(-LN(2)/25))/(LN(2)/25)*Calculateur!V200*Calculateur!X200*VLOOKUP('Données projet'!$B$9,Paramètres!$A$1:$I$89,3,0)*0.475*44/12</f>
        <v>5.7836925607870585E-2</v>
      </c>
      <c r="AB200" s="21">
        <f>EXP(-LN(2)/2)*AB199+(1-EXP(-LN(2)/2))/(LN(2)/2)*V200*Y200*VLOOKUP('Données projet'!$B$9,Paramètres!$A$1:$I$89,3,0)*0.475*44/12</f>
        <v>1.2267948999151105E-26</v>
      </c>
      <c r="AC200" s="22">
        <f t="shared" si="163"/>
        <v>1.7360146811508377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117.37439999999957</v>
      </c>
      <c r="D201" s="11">
        <f t="shared" si="202"/>
        <v>31.061834975351793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1145.8235682307825</v>
      </c>
      <c r="H201" s="67">
        <f t="shared" si="192"/>
        <v>551.85977591540359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39.053454142601367</v>
      </c>
      <c r="T201" s="59">
        <f t="shared" si="204"/>
        <v>225.79068168427801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1.6452697133441296</v>
      </c>
      <c r="AA201" s="21">
        <f>EXP(-LN(2)/25)*AA200+(1-EXP(-LN(2)/25))/(LN(2)/25)*Calculateur!V201*Calculateur!X201*VLOOKUP('Données projet'!$B$9,Paramètres!$A$1:$I$89,3,0)*0.475*44/12</f>
        <v>5.6255371835611634E-2</v>
      </c>
      <c r="AB201" s="21">
        <f>EXP(-LN(2)/2)*AB200+(1-EXP(-LN(2)/2))/(LN(2)/2)*V201*Y201*VLOOKUP('Données projet'!$B$9,Paramètres!$A$1:$I$89,3,0)*0.475*44/12</f>
        <v>8.674749928550465E-27</v>
      </c>
      <c r="AC201" s="22">
        <f t="shared" si="163"/>
        <v>1.7015250851797412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117.96719999999956</v>
      </c>
      <c r="D202" s="11">
        <f t="shared" si="202"/>
        <v>31.200411667150068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1151.4692830446638</v>
      </c>
      <c r="H202" s="67">
        <f t="shared" si="192"/>
        <v>553.13359032028552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39.053454142601367</v>
      </c>
      <c r="T202" s="59">
        <f t="shared" si="204"/>
        <v>225.79068168427801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1.6130069777808875</v>
      </c>
      <c r="AA202" s="21">
        <f>EXP(-LN(2)/25)*AA201+(1-EXP(-LN(2)/25))/(LN(2)/25)*Calculateur!V202*Calculateur!X202*VLOOKUP('Données projet'!$B$9,Paramètres!$A$1:$I$89,3,0)*0.475*44/12</f>
        <v>5.4717065734425405E-2</v>
      </c>
      <c r="AB202" s="21">
        <f>EXP(-LN(2)/2)*AB201+(1-EXP(-LN(2)/2))/(LN(2)/2)*V202*Y202*VLOOKUP('Données projet'!$B$9,Paramètres!$A$1:$I$89,3,0)*0.475*44/12</f>
        <v>6.1339744995755525E-27</v>
      </c>
      <c r="AC202" s="22">
        <f t="shared" si="163"/>
        <v>1.6677240435153129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118.55999999999956</v>
      </c>
      <c r="D203" s="11">
        <f t="shared" si="202"/>
        <v>31.338907325369796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1157.1143723361845</v>
      </c>
      <c r="H203" s="67">
        <f t="shared" si="192"/>
        <v>554.40726359168491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39.053454142601367</v>
      </c>
      <c r="T203" s="59">
        <f t="shared" si="204"/>
        <v>225.79068168427801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1.581376894783715</v>
      </c>
      <c r="AA203" s="21">
        <f>EXP(-LN(2)/25)*AA202+(1-EXP(-LN(2)/25))/(LN(2)/25)*Calculateur!V203*Calculateur!X203*VLOOKUP('Données projet'!$B$9,Paramètres!$A$1:$I$89,3,0)*0.475*44/12</f>
        <v>5.3220824694472112E-2</v>
      </c>
      <c r="AB203" s="21">
        <f>EXP(-LN(2)/2)*AB202+(1-EXP(-LN(2)/2))/(LN(2)/2)*V203*Y203*VLOOKUP('Données projet'!$B$9,Paramètres!$A$1:$I$89,3,0)*0.475*44/12</f>
        <v>4.3373749642752325E-27</v>
      </c>
      <c r="AC203" s="22">
        <f t="shared" si="163"/>
        <v>1.6345977194781871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1.3506654238248872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20" zoomScale="80" zoomScaleNormal="80" workbookViewId="0">
      <selection activeCell="J21" sqref="J21:J23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4026.3008797880425</v>
      </c>
      <c r="U10" s="178">
        <f>'Données projet'!D9</f>
        <v>3.18</v>
      </c>
      <c r="V10" s="177">
        <f>U10*T10</f>
        <v>12803.636797725976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>
        <v>18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18.000000000000007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360.00000000000011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1</v>
      </c>
      <c r="I20" s="191">
        <v>4500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3</v>
      </c>
      <c r="I21" s="191">
        <v>1080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5</v>
      </c>
      <c r="I22" s="191">
        <v>800</v>
      </c>
      <c r="J22" s="257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18</v>
      </c>
      <c r="B23" s="181">
        <f>'Données projet'!D36</f>
        <v>223.8</v>
      </c>
      <c r="C23" s="193">
        <v>40</v>
      </c>
      <c r="D23" s="182">
        <f>B23*C23</f>
        <v>8952</v>
      </c>
      <c r="E23" s="193">
        <v>60</v>
      </c>
      <c r="F23" s="230"/>
      <c r="H23" s="190"/>
      <c r="I23" s="191"/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-5941.1316258441657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518.36586225611256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0">
        <f ca="1">T23-T24</f>
        <v>-6459.4974881002781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 t="str">
        <f>IF(O51+1&lt;=MIN('Données projet'!$E$9:$E$18),O51+1,"STOP")</f>
        <v>STOP</v>
      </c>
      <c r="P52" s="185" t="e">
        <f t="shared" si="3"/>
        <v>#VALUE!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B1C03E-3D10-4674-B4A1-16C0580D1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REE</vt:lpstr>
      <vt:lpstr>Scénario référence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2025-03-18T16:40:04Z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