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4 - STOCKEURS/02-FORET-VERGERS/2-NOTIFIE/283-B-CAPPELAERE-NOR(61)-LIVET-GFdeLivet-deNazelle-Beaufai/"/>
    </mc:Choice>
  </mc:AlternateContent>
  <xr:revisionPtr revIDLastSave="0" documentId="13_ncr:1_{3CE3E089-DC88-154C-B229-3BCC4A317F10}" xr6:coauthVersionLast="47" xr6:coauthVersionMax="47" xr10:uidLastSave="{00000000-0000-0000-0000-000000000000}"/>
  <bookViews>
    <workbookView xWindow="1940" yWindow="1980" windowWidth="25520" windowHeight="171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48" i="6" l="1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I20" i="6"/>
  <c r="G144" i="1"/>
  <c r="F144" i="1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23" i="6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Q4" i="2"/>
  <c r="EC4" i="2"/>
  <c r="FQ4" i="2"/>
  <c r="GL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C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EA6" i="2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EX7" i="2"/>
  <c r="HI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FS10" i="2"/>
  <c r="EB10" i="2"/>
  <c r="EA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HG18" i="2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H20" i="2" l="1"/>
  <c r="HG20" i="2"/>
  <c r="EW20" i="2"/>
  <c r="EV20" i="2"/>
  <c r="FS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HH21" i="2"/>
  <c r="EV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H22" i="2"/>
  <c r="EW22" i="2"/>
  <c r="HG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G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EC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HH33" i="2"/>
  <c r="EV33" i="2"/>
  <c r="EB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EB35" i="2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B37" i="2" l="1"/>
  <c r="EA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W38" i="2" l="1"/>
  <c r="HI38" i="2"/>
  <c r="HG38" i="2"/>
  <c r="EA38" i="2"/>
  <c r="HH38" i="2"/>
  <c r="EX38" i="2"/>
  <c r="FS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DG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HH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EB45" i="2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I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FS57" i="2"/>
  <c r="HH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B59" i="2"/>
  <c r="HH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H60" i="2"/>
  <c r="HI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A61" i="2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A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H71" i="2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HG74" i="2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FS75" i="2"/>
  <c r="EA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B78" i="2" l="1"/>
  <c r="EW78" i="2"/>
  <c r="HI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G85" i="2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A107" i="2"/>
  <c r="HG107" i="2"/>
  <c r="EX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C112" i="2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W113" i="2" l="1"/>
  <c r="HI113" i="2"/>
  <c r="EX113" i="2"/>
  <c r="FS113" i="2"/>
  <c r="EC113" i="2"/>
  <c r="HG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EX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G117" i="2" l="1"/>
  <c r="EA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HH118" i="2"/>
  <c r="FS118" i="2"/>
  <c r="EC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H120" i="2" l="1"/>
  <c r="FQ120" i="2"/>
  <c r="FR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FS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FS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W130" i="2"/>
  <c r="HH130" i="2"/>
  <c r="HI130" i="2"/>
  <c r="EB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HI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V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HH139" i="2"/>
  <c r="EB139" i="2"/>
  <c r="EW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HH140" i="2"/>
  <c r="FR140" i="2"/>
  <c r="HG140" i="2"/>
  <c r="EC140" i="2"/>
  <c r="FS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EB144" i="2"/>
  <c r="EX144" i="2"/>
  <c r="FR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HG146" i="2"/>
  <c r="EA146" i="2"/>
  <c r="FS146" i="2"/>
  <c r="HI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HG149" i="2"/>
  <c r="HH149" i="2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V150" i="2"/>
  <c r="HI150" i="2"/>
  <c r="HG150" i="2"/>
  <c r="FS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X151" i="2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HI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H154" i="2"/>
  <c r="EB154" i="2"/>
  <c r="HG154" i="2"/>
  <c r="HJ154" i="2" s="1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HH155" i="2"/>
  <c r="EA155" i="2"/>
  <c r="EW155" i="2"/>
  <c r="EX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DH156" i="2" l="1"/>
  <c r="HH156" i="2"/>
  <c r="FS156" i="2"/>
  <c r="HG156" i="2"/>
  <c r="AB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HH157" i="2"/>
  <c r="EC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C158" i="2" l="1"/>
  <c r="EV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D158" i="2"/>
  <c r="HI159" i="2"/>
  <c r="EC159" i="2"/>
  <c r="EA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HG160" i="2"/>
  <c r="EC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HH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EB162" i="2"/>
  <c r="HH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G163" i="2" l="1"/>
  <c r="EV163" i="2"/>
  <c r="HI163" i="2"/>
  <c r="EB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FS164" i="2"/>
  <c r="EA164" i="2"/>
  <c r="EV164" i="2"/>
  <c r="DH164" i="2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DI167" i="2"/>
  <c r="EW168" i="2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A172" i="2"/>
  <c r="ED172" i="2" s="1"/>
  <c r="EW172" i="2"/>
  <c r="HG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G174" i="2" l="1"/>
  <c r="EC174" i="2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FS175" i="2"/>
  <c r="EA175" i="2"/>
  <c r="HI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W177" i="2"/>
  <c r="EC177" i="2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W178" i="2"/>
  <c r="HG178" i="2"/>
  <c r="FS178" i="2"/>
  <c r="HH178" i="2"/>
  <c r="FQ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G179" i="2" l="1"/>
  <c r="EV179" i="2"/>
  <c r="HI179" i="2"/>
  <c r="HH179" i="2"/>
  <c r="DF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HI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DG182" i="2"/>
  <c r="EA182" i="2"/>
  <c r="ED182" i="2" s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EB183" i="2" l="1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EA185" i="2"/>
  <c r="HH185" i="2"/>
  <c r="HG185" i="2"/>
  <c r="EW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HG186" i="2"/>
  <c r="FS186" i="2"/>
  <c r="EB186" i="2"/>
  <c r="FR186" i="2"/>
  <c r="EW186" i="2"/>
  <c r="EA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HG187" i="2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EB189" i="2" l="1"/>
  <c r="EV189" i="2"/>
  <c r="AA189" i="2"/>
  <c r="EC189" i="2"/>
  <c r="FS189" i="2"/>
  <c r="HI189" i="2"/>
  <c r="EX189" i="2"/>
  <c r="EA189" i="2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EB190" i="2"/>
  <c r="HH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HH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W192" i="2" l="1"/>
  <c r="EB192" i="2"/>
  <c r="HG192" i="2"/>
  <c r="EV192" i="2"/>
  <c r="HH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DI192" i="2" l="1"/>
  <c r="EX193" i="2"/>
  <c r="FQ193" i="2"/>
  <c r="EA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EB194" i="2" l="1"/>
  <c r="FQ194" i="2"/>
  <c r="CN193" i="2"/>
  <c r="HG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EA195" i="2"/>
  <c r="EB195" i="2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C197" i="2" l="1"/>
  <c r="EW197" i="2"/>
  <c r="EA197" i="2"/>
  <c r="HH197" i="2"/>
  <c r="AA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FS199" i="2"/>
  <c r="HG199" i="2"/>
  <c r="EA199" i="2"/>
  <c r="EW199" i="2"/>
  <c r="EB199" i="2"/>
  <c r="EV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BC4" i="2" a="1"/>
  <c r="BC4" i="2" s="1"/>
  <c r="BD4" i="2" s="1"/>
  <c r="AB199" i="2"/>
  <c r="BX4" i="2" a="1"/>
  <c r="BX4" i="2" s="1"/>
  <c r="BY4" i="2" s="1"/>
  <c r="AA199" i="2"/>
  <c r="AX197" i="2"/>
  <c r="EW200" i="2" l="1"/>
  <c r="EX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EI4" i="2" a="1"/>
  <c r="EI4" i="2" s="1"/>
  <c r="EJ4" i="2" s="1"/>
  <c r="AX198" i="2"/>
  <c r="EY200" i="2"/>
  <c r="DI200" i="2" l="1"/>
  <c r="FS201" i="2"/>
  <c r="EB201" i="2"/>
  <c r="HG201" i="2"/>
  <c r="HH201" i="2"/>
  <c r="EA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EX202" i="2" l="1"/>
  <c r="EW202" i="2"/>
  <c r="HH202" i="2"/>
  <c r="FR202" i="2"/>
  <c r="HG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84" i="2" a="1"/>
  <c r="GT184" i="2" s="1"/>
  <c r="GT122" i="2" a="1"/>
  <c r="GT122" i="2" s="1"/>
  <c r="GT152" i="2" a="1"/>
  <c r="GT152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21" i="2" a="1"/>
  <c r="GT21" i="2" s="1"/>
  <c r="GT198" i="2" a="1"/>
  <c r="GT198" i="2" s="1"/>
  <c r="GT189" i="2" a="1"/>
  <c r="GT189" i="2" s="1"/>
  <c r="GT74" i="2" a="1"/>
  <c r="GT74" i="2" s="1"/>
  <c r="GT126" i="2" a="1"/>
  <c r="GT126" i="2" s="1"/>
  <c r="GT38" i="2" a="1"/>
  <c r="GT38" i="2" s="1"/>
  <c r="GT190" i="2" a="1"/>
  <c r="GT190" i="2" s="1"/>
  <c r="GT174" i="2" a="1"/>
  <c r="GT174" i="2" s="1"/>
  <c r="GT107" i="2" a="1"/>
  <c r="GT107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CS129" i="2" l="1" a="1"/>
  <c r="CS129" i="2" s="1"/>
  <c r="CS52" i="2" a="1"/>
  <c r="CS52" i="2" s="1"/>
  <c r="HG203" i="2"/>
  <c r="GT138" i="2" a="1"/>
  <c r="GT138" i="2" s="1"/>
  <c r="GT191" i="2" a="1"/>
  <c r="GT191" i="2" s="1"/>
  <c r="GT178" i="2" a="1"/>
  <c r="GT178" i="2" s="1"/>
  <c r="GT12" i="2" a="1"/>
  <c r="GT12" i="2" s="1"/>
  <c r="GT11" i="2" a="1"/>
  <c r="GT11" i="2" s="1"/>
  <c r="GT33" i="2" a="1"/>
  <c r="GT33" i="2" s="1"/>
  <c r="GT51" i="2" a="1"/>
  <c r="GT51" i="2" s="1"/>
  <c r="GT115" i="2" a="1"/>
  <c r="GT115" i="2" s="1"/>
  <c r="GT102" i="2" a="1"/>
  <c r="GT102" i="2" s="1"/>
  <c r="GT133" i="2" a="1"/>
  <c r="GT133" i="2" s="1"/>
  <c r="GT68" i="2" a="1"/>
  <c r="GT68" i="2" s="1"/>
  <c r="GT147" i="2" a="1"/>
  <c r="GT147" i="2" s="1"/>
  <c r="GT121" i="2" a="1"/>
  <c r="GT121" i="2" s="1"/>
  <c r="GT181" i="2" a="1"/>
  <c r="GT181" i="2" s="1"/>
  <c r="FR203" i="2"/>
  <c r="AH166" i="2" a="1"/>
  <c r="AH166" i="2" s="1"/>
  <c r="AH163" i="2" a="1"/>
  <c r="AH163" i="2" s="1"/>
  <c r="AH19" i="2" a="1"/>
  <c r="AH19" i="2" s="1"/>
  <c r="AH92" i="2" a="1"/>
  <c r="AH92" i="2" s="1"/>
  <c r="AH151" i="2" a="1"/>
  <c r="AH151" i="2" s="1"/>
  <c r="AH199" i="2" a="1"/>
  <c r="AH199" i="2" s="1"/>
  <c r="BP203" i="2"/>
  <c r="DN56" i="2" a="1"/>
  <c r="DN56" i="2" s="1"/>
  <c r="DN155" i="2" a="1"/>
  <c r="DN155" i="2" s="1"/>
  <c r="FS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DI203" i="2" l="1"/>
  <c r="FZ11" i="2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<sst xmlns="http://schemas.openxmlformats.org/spreadsheetml/2006/main" count="1174" uniqueCount="324">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</sst>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9.5169979671789093</c:v>
                </c:pt>
                <c:pt idx="2">
                  <c:v>18.617705008577001</c:v>
                </c:pt>
                <c:pt idx="3">
                  <c:v>27.583970977445158</c:v>
                </c:pt>
                <c:pt idx="4">
                  <c:v>36.467364341107171</c:v>
                </c:pt>
                <c:pt idx="5">
                  <c:v>45.291257619480326</c:v>
                </c:pt>
                <c:pt idx="6">
                  <c:v>54.068983473755416</c:v>
                </c:pt>
                <c:pt idx="7">
                  <c:v>62.80913695508724</c:v>
                </c:pt>
                <c:pt idx="8">
                  <c:v>71.517704855937595</c:v>
                </c:pt>
                <c:pt idx="9">
                  <c:v>80.19908754492397</c:v>
                </c:pt>
                <c:pt idx="10">
                  <c:v>88.85665016470476</c:v>
                </c:pt>
                <c:pt idx="11">
                  <c:v>97.493045883044317</c:v>
                </c:pt>
                <c:pt idx="12">
                  <c:v>106.11041780502711</c:v>
                </c:pt>
                <c:pt idx="13">
                  <c:v>114.71053148340779</c:v>
                </c:pt>
                <c:pt idx="14">
                  <c:v>123.29486541747771</c:v>
                </c:pt>
                <c:pt idx="15">
                  <c:v>131.86467492395187</c:v>
                </c:pt>
                <c:pt idx="16">
                  <c:v>140.42103847477497</c:v>
                </c:pt>
                <c:pt idx="17">
                  <c:v>148.96489211346997</c:v>
                </c:pt>
                <c:pt idx="18">
                  <c:v>157.4970555398767</c:v>
                </c:pt>
                <c:pt idx="19">
                  <c:v>166.01825223209946</c:v>
                </c:pt>
                <c:pt idx="20">
                  <c:v>174.52912521140465</c:v>
                </c:pt>
                <c:pt idx="21">
                  <c:v>183.0302495645376</c:v>
                </c:pt>
                <c:pt idx="22">
                  <c:v>191.52214251325447</c:v>
                </c:pt>
                <c:pt idx="23">
                  <c:v>200.00527160127737</c:v>
                </c:pt>
                <c:pt idx="24">
                  <c:v>208.48006141725565</c:v>
                </c:pt>
                <c:pt idx="25">
                  <c:v>216.94689916565926</c:v>
                </c:pt>
                <c:pt idx="26">
                  <c:v>225.40613932124006</c:v>
                </c:pt>
                <c:pt idx="27">
                  <c:v>233.85810754728024</c:v>
                </c:pt>
                <c:pt idx="28">
                  <c:v>242.30310401704142</c:v>
                </c:pt>
                <c:pt idx="29">
                  <c:v>250.74140624738729</c:v>
                </c:pt>
                <c:pt idx="30">
                  <c:v>259.17327153058113</c:v>
                </c:pt>
                <c:pt idx="31">
                  <c:v>267.59893903273559</c:v>
                </c:pt>
                <c:pt idx="32">
                  <c:v>276.01863161388769</c:v>
                </c:pt>
                <c:pt idx="33">
                  <c:v>284.43255741417448</c:v>
                </c:pt>
                <c:pt idx="34">
                  <c:v>292.84091124234214</c:v>
                </c:pt>
                <c:pt idx="35">
                  <c:v>301.24387579631144</c:v>
                </c:pt>
                <c:pt idx="36">
                  <c:v>309.64162274032839</c:v>
                </c:pt>
                <c:pt idx="37">
                  <c:v>318.03431365906772</c:v>
                </c:pt>
                <c:pt idx="38">
                  <c:v>326.42210090568886</c:v>
                </c:pt>
                <c:pt idx="39">
                  <c:v>334.8051283581114</c:v>
                </c:pt>
                <c:pt idx="40">
                  <c:v>343.18353209554238</c:v>
                </c:pt>
                <c:pt idx="41">
                  <c:v>351.55744100544524</c:v>
                </c:pt>
                <c:pt idx="42">
                  <c:v>359.926977329625</c:v>
                </c:pt>
                <c:pt idx="43">
                  <c:v>368.29225715684197</c:v>
                </c:pt>
                <c:pt idx="44">
                  <c:v>376.65339086830772</c:v>
                </c:pt>
                <c:pt idx="45">
                  <c:v>250.57709463171037</c:v>
                </c:pt>
                <c:pt idx="46">
                  <c:v>267.87528559675684</c:v>
                </c:pt>
                <c:pt idx="47">
                  <c:v>285.1483240025587</c:v>
                </c:pt>
                <c:pt idx="48">
                  <c:v>302.39794771293754</c:v>
                </c:pt>
                <c:pt idx="49">
                  <c:v>319.62568011522256</c:v>
                </c:pt>
                <c:pt idx="50">
                  <c:v>336.83286696636702</c:v>
                </c:pt>
                <c:pt idx="51">
                  <c:v>354.02070531132603</c:v>
                </c:pt>
                <c:pt idx="52">
                  <c:v>280.77479448156629</c:v>
                </c:pt>
                <c:pt idx="53">
                  <c:v>296.84856431347328</c:v>
                </c:pt>
                <c:pt idx="54">
                  <c:v>312.90293466909122</c:v>
                </c:pt>
                <c:pt idx="55">
                  <c:v>328.93904092472866</c:v>
                </c:pt>
                <c:pt idx="56">
                  <c:v>344.95789871482958</c:v>
                </c:pt>
                <c:pt idx="57">
                  <c:v>360.96042165106059</c:v>
                </c:pt>
                <c:pt idx="58">
                  <c:v>376.94743573394459</c:v>
                </c:pt>
                <c:pt idx="59">
                  <c:v>392.91969119131994</c:v>
                </c:pt>
                <c:pt idx="60">
                  <c:v>313.20060005742351</c:v>
                </c:pt>
                <c:pt idx="61">
                  <c:v>328.05424844901307</c:v>
                </c:pt>
                <c:pt idx="62">
                  <c:v>342.89305423749806</c:v>
                </c:pt>
                <c:pt idx="63">
                  <c:v>357.71775017102681</c:v>
                </c:pt>
                <c:pt idx="64">
                  <c:v>372.52900330652966</c:v>
                </c:pt>
                <c:pt idx="65">
                  <c:v>387.32742333138373</c:v>
                </c:pt>
                <c:pt idx="66">
                  <c:v>402.11356954670413</c:v>
                </c:pt>
                <c:pt idx="67">
                  <c:v>416.88795676980072</c:v>
                </c:pt>
                <c:pt idx="68">
                  <c:v>352.69805869060701</c:v>
                </c:pt>
                <c:pt idx="69">
                  <c:v>366.83614442258437</c:v>
                </c:pt>
                <c:pt idx="70">
                  <c:v>380.96233727738235</c:v>
                </c:pt>
                <c:pt idx="71">
                  <c:v>395.07714034322407</c:v>
                </c:pt>
                <c:pt idx="72">
                  <c:v>409.18101782903983</c:v>
                </c:pt>
                <c:pt idx="73">
                  <c:v>423.27439933376741</c:v>
                </c:pt>
                <c:pt idx="74">
                  <c:v>437.35768351738119</c:v>
                </c:pt>
                <c:pt idx="75">
                  <c:v>451.43124127443997</c:v>
                </c:pt>
                <c:pt idx="76">
                  <c:v>388.97226287682361</c:v>
                </c:pt>
                <c:pt idx="77">
                  <c:v>402.59198257385259</c:v>
                </c:pt>
                <c:pt idx="78">
                  <c:v>416.20173816561481</c:v>
                </c:pt>
                <c:pt idx="79">
                  <c:v>429.80190135815616</c:v>
                </c:pt>
                <c:pt idx="80">
                  <c:v>443.39281841645192</c:v>
                </c:pt>
                <c:pt idx="81">
                  <c:v>456.97481264851632</c:v>
                </c:pt>
                <c:pt idx="82">
                  <c:v>470.54818657881651</c:v>
                </c:pt>
                <c:pt idx="83">
                  <c:v>484.11322385787417</c:v>
                </c:pt>
                <c:pt idx="84">
                  <c:v>497.67019094671747</c:v>
                </c:pt>
                <c:pt idx="85">
                  <c:v>424.43690094764094</c:v>
                </c:pt>
                <c:pt idx="86">
                  <c:v>437.40359696866108</c:v>
                </c:pt>
                <c:pt idx="87">
                  <c:v>450.36204849292579</c:v>
                </c:pt>
                <c:pt idx="88">
                  <c:v>463.31252615094513</c:v>
                </c:pt>
                <c:pt idx="89">
                  <c:v>476.25528421118867</c:v>
                </c:pt>
                <c:pt idx="90">
                  <c:v>489.190561996447</c:v>
                </c:pt>
                <c:pt idx="91">
                  <c:v>502.11858514260081</c:v>
                </c:pt>
                <c:pt idx="92">
                  <c:v>515.03956672102765</c:v>
                </c:pt>
                <c:pt idx="93">
                  <c:v>527.95370824253109</c:v>
                </c:pt>
                <c:pt idx="94">
                  <c:v>466.93492020790245</c:v>
                </c:pt>
                <c:pt idx="95">
                  <c:v>479.85744571942934</c:v>
                </c:pt>
                <c:pt idx="96">
                  <c:v>492.77257586023921</c:v>
                </c:pt>
                <c:pt idx="97">
                  <c:v>505.68053173775678</c:v>
                </c:pt>
                <c:pt idx="98">
                  <c:v>518.58152225284664</c:v>
                </c:pt>
                <c:pt idx="99">
                  <c:v>531.47574506697708</c:v>
                </c:pt>
                <c:pt idx="100">
                  <c:v>544.36338747066077</c:v>
                </c:pt>
                <c:pt idx="101">
                  <c:v>557.24462716539813</c:v>
                </c:pt>
                <c:pt idx="102">
                  <c:v>570.11963296957981</c:v>
                </c:pt>
                <c:pt idx="103">
                  <c:v>582.98856545732633</c:v>
                </c:pt>
                <c:pt idx="104">
                  <c:v>498.82016739612618</c:v>
                </c:pt>
                <c:pt idx="105">
                  <c:v>511.31298927350804</c:v>
                </c:pt>
                <c:pt idx="106">
                  <c:v>523.79936555998472</c:v>
                </c:pt>
                <c:pt idx="107">
                  <c:v>536.2794715308786</c:v>
                </c:pt>
                <c:pt idx="108">
                  <c:v>548.75347363998856</c:v>
                </c:pt>
                <c:pt idx="109">
                  <c:v>561.22153015822335</c:v>
                </c:pt>
                <c:pt idx="110">
                  <c:v>573.68379175254745</c:v>
                </c:pt>
                <c:pt idx="111">
                  <c:v>586.14040201201863</c:v>
                </c:pt>
                <c:pt idx="112">
                  <c:v>598.59149792679898</c:v>
                </c:pt>
                <c:pt idx="113">
                  <c:v>611.03721032525084</c:v>
                </c:pt>
                <c:pt idx="114">
                  <c:v>546.676484422974</c:v>
                </c:pt>
                <c:pt idx="115">
                  <c:v>559.66971616139938</c:v>
                </c:pt>
                <c:pt idx="116">
                  <c:v>572.65663538260117</c:v>
                </c:pt>
                <c:pt idx="117">
                  <c:v>585.63740537030219</c:v>
                </c:pt>
                <c:pt idx="118">
                  <c:v>598.61218158207078</c:v>
                </c:pt>
                <c:pt idx="119">
                  <c:v>611.58111218947352</c:v>
                </c:pt>
                <c:pt idx="120">
                  <c:v>624.54433857004949</c:v>
                </c:pt>
                <c:pt idx="121">
                  <c:v>637.50199575633144</c:v>
                </c:pt>
                <c:pt idx="122">
                  <c:v>650.45421284648023</c:v>
                </c:pt>
                <c:pt idx="123">
                  <c:v>663.40111338052748</c:v>
                </c:pt>
                <c:pt idx="124">
                  <c:v>676.3428156857384</c:v>
                </c:pt>
                <c:pt idx="125">
                  <c:v>689.27943319417818</c:v>
                </c:pt>
                <c:pt idx="126">
                  <c:v>584.80966977593391</c:v>
                </c:pt>
                <c:pt idx="127">
                  <c:v>597.63048708648239</c:v>
                </c:pt>
                <c:pt idx="128">
                  <c:v>610.44558636377303</c:v>
                </c:pt>
                <c:pt idx="129">
                  <c:v>623.25510451599882</c:v>
                </c:pt>
                <c:pt idx="130">
                  <c:v>636.05917236713924</c:v>
                </c:pt>
                <c:pt idx="131">
                  <c:v>648.85791504693748</c:v>
                </c:pt>
                <c:pt idx="132">
                  <c:v>661.65145234852423</c:v>
                </c:pt>
                <c:pt idx="133">
                  <c:v>674.43989905695594</c:v>
                </c:pt>
                <c:pt idx="134">
                  <c:v>687.22336525155697</c:v>
                </c:pt>
                <c:pt idx="135">
                  <c:v>700.00195658460473</c:v>
                </c:pt>
                <c:pt idx="136">
                  <c:v>712.7757745386233</c:v>
                </c:pt>
                <c:pt idx="137">
                  <c:v>725.54491666428305</c:v>
                </c:pt>
                <c:pt idx="138">
                  <c:v>613.14119609980673</c:v>
                </c:pt>
                <c:pt idx="139">
                  <c:v>625.58554162845132</c:v>
                </c:pt>
                <c:pt idx="140">
                  <c:v>638.02476422171958</c:v>
                </c:pt>
                <c:pt idx="141">
                  <c:v>650.45897779350139</c:v>
                </c:pt>
                <c:pt idx="142">
                  <c:v>662.88829154928669</c:v>
                </c:pt>
                <c:pt idx="143">
                  <c:v>675.31281026725912</c:v>
                </c:pt>
                <c:pt idx="144">
                  <c:v>687.73263455763981</c:v>
                </c:pt>
                <c:pt idx="145">
                  <c:v>700.14786110232933</c:v>
                </c:pt>
                <c:pt idx="146">
                  <c:v>712.55858287668445</c:v>
                </c:pt>
                <c:pt idx="147">
                  <c:v>724.96488935504669</c:v>
                </c:pt>
                <c:pt idx="148">
                  <c:v>737.36686670147856</c:v>
                </c:pt>
                <c:pt idx="149">
                  <c:v>749.76459794701361</c:v>
                </c:pt>
                <c:pt idx="150">
                  <c:v>464.02702893675587</c:v>
                </c:pt>
                <c:pt idx="151">
                  <c:v>471.49271979345627</c:v>
                </c:pt>
                <c:pt idx="152">
                  <c:v>478.95589373663535</c:v>
                </c:pt>
                <c:pt idx="153">
                  <c:v>486.41659553463325</c:v>
                </c:pt>
                <c:pt idx="154">
                  <c:v>318.90827691847295</c:v>
                </c:pt>
                <c:pt idx="155">
                  <c:v>323.36831753272389</c:v>
                </c:pt>
                <c:pt idx="156">
                  <c:v>327.8269981665465</c:v>
                </c:pt>
                <c:pt idx="157">
                  <c:v>332.28433995451422</c:v>
                </c:pt>
                <c:pt idx="158">
                  <c:v>222.4929177269164</c:v>
                </c:pt>
                <c:pt idx="159">
                  <c:v>225.22882601301455</c:v>
                </c:pt>
                <c:pt idx="160">
                  <c:v>227.96397272956767</c:v>
                </c:pt>
                <c:pt idx="161">
                  <c:v>230.69836832699798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2.7150410078097078</c:v>
                </c:pt>
                <c:pt idx="2">
                  <c:v>3.3581614560090665</c:v>
                </c:pt>
                <c:pt idx="3">
                  <c:v>4.1542037823091933</c:v>
                </c:pt>
                <c:pt idx="4">
                  <c:v>5.1396608195498485</c:v>
                </c:pt>
                <c:pt idx="5">
                  <c:v>6.3597631798100691</c:v>
                </c:pt>
                <c:pt idx="6">
                  <c:v>7.8705779187987526</c:v>
                </c:pt>
                <c:pt idx="7">
                  <c:v>9.7416127063460056</c:v>
                </c:pt>
                <c:pt idx="8">
                  <c:v>12.059047583496145</c:v>
                </c:pt>
                <c:pt idx="9">
                  <c:v>14.929745939674447</c:v>
                </c:pt>
                <c:pt idx="10">
                  <c:v>18.486233065955503</c:v>
                </c:pt>
                <c:pt idx="11">
                  <c:v>22.892876275344069</c:v>
                </c:pt>
                <c:pt idx="12">
                  <c:v>28.353557295291441</c:v>
                </c:pt>
                <c:pt idx="13">
                  <c:v>35.121198126365712</c:v>
                </c:pt>
                <c:pt idx="14">
                  <c:v>43.509589175651236</c:v>
                </c:pt>
                <c:pt idx="15">
                  <c:v>53.908077382497048</c:v>
                </c:pt>
                <c:pt idx="16">
                  <c:v>66.799807442317956</c:v>
                </c:pt>
                <c:pt idx="17">
                  <c:v>82.784377550258853</c:v>
                </c:pt>
                <c:pt idx="18">
                  <c:v>102.60598035272905</c:v>
                </c:pt>
                <c:pt idx="19">
                  <c:v>136.40413338132439</c:v>
                </c:pt>
                <c:pt idx="20">
                  <c:v>173.72181380960993</c:v>
                </c:pt>
                <c:pt idx="21">
                  <c:v>210.85019924163907</c:v>
                </c:pt>
                <c:pt idx="22">
                  <c:v>239.21142924303732</c:v>
                </c:pt>
                <c:pt idx="23">
                  <c:v>282.22597131769891</c:v>
                </c:pt>
                <c:pt idx="24">
                  <c:v>325.0933857428227</c:v>
                </c:pt>
                <c:pt idx="25">
                  <c:v>282.83933776674922</c:v>
                </c:pt>
                <c:pt idx="26">
                  <c:v>326.92763310831191</c:v>
                </c:pt>
                <c:pt idx="27">
                  <c:v>370.88450720110433</c:v>
                </c:pt>
                <c:pt idx="28">
                  <c:v>336.70648180894301</c:v>
                </c:pt>
                <c:pt idx="29">
                  <c:v>381.24606170046428</c:v>
                </c:pt>
                <c:pt idx="30">
                  <c:v>425.67242592235584</c:v>
                </c:pt>
                <c:pt idx="31">
                  <c:v>382.4646618583256</c:v>
                </c:pt>
                <c:pt idx="32">
                  <c:v>426.88812840091873</c:v>
                </c:pt>
                <c:pt idx="33">
                  <c:v>471.21216521688075</c:v>
                </c:pt>
                <c:pt idx="34">
                  <c:v>515.44742348183297</c:v>
                </c:pt>
                <c:pt idx="35">
                  <c:v>559.60257836959147</c:v>
                </c:pt>
                <c:pt idx="36">
                  <c:v>603.68482585273216</c:v>
                </c:pt>
                <c:pt idx="37">
                  <c:v>476.97363117477761</c:v>
                </c:pt>
                <c:pt idx="38">
                  <c:v>517.26354360138077</c:v>
                </c:pt>
                <c:pt idx="39">
                  <c:v>557.48726687418275</c:v>
                </c:pt>
                <c:pt idx="40">
                  <c:v>597.65023871728874</c:v>
                </c:pt>
                <c:pt idx="41">
                  <c:v>637.75710743518198</c:v>
                </c:pt>
                <c:pt idx="42">
                  <c:v>677.81188993616718</c:v>
                </c:pt>
                <c:pt idx="43">
                  <c:v>550.73728857330809</c:v>
                </c:pt>
                <c:pt idx="44">
                  <c:v>586.58352633089646</c:v>
                </c:pt>
                <c:pt idx="45">
                  <c:v>622.38414547781622</c:v>
                </c:pt>
                <c:pt idx="46">
                  <c:v>658.14213414272695</c:v>
                </c:pt>
                <c:pt idx="47">
                  <c:v>693.86012979762791</c:v>
                </c:pt>
                <c:pt idx="48">
                  <c:v>729.54047669218573</c:v>
                </c:pt>
                <c:pt idx="49">
                  <c:v>765.18527147808618</c:v>
                </c:pt>
                <c:pt idx="50">
                  <c:v>800.79639989919531</c:v>
                </c:pt>
                <c:pt idx="51">
                  <c:v>836.37556662396753</c:v>
                </c:pt>
                <c:pt idx="52">
                  <c:v>650.26082111330118</c:v>
                </c:pt>
                <c:pt idx="53">
                  <c:v>678.71480868864035</c:v>
                </c:pt>
                <c:pt idx="54">
                  <c:v>707.14431577244295</c:v>
                </c:pt>
                <c:pt idx="55">
                  <c:v>735.55046347762789</c:v>
                </c:pt>
                <c:pt idx="56">
                  <c:v>763.93427939748926</c:v>
                </c:pt>
                <c:pt idx="57">
                  <c:v>792.29670865973264</c:v>
                </c:pt>
                <c:pt idx="58">
                  <c:v>820.63862331737619</c:v>
                </c:pt>
                <c:pt idx="59">
                  <c:v>848.96083037662663</c:v>
                </c:pt>
                <c:pt idx="60">
                  <c:v>877.26407869929096</c:v>
                </c:pt>
                <c:pt idx="61">
                  <c:v>905.54906496941055</c:v>
                </c:pt>
                <c:pt idx="62">
                  <c:v>933.81643887680104</c:v>
                </c:pt>
                <c:pt idx="63">
                  <c:v>962.06680764131522</c:v>
                </c:pt>
                <c:pt idx="64">
                  <c:v>759.44704535463291</c:v>
                </c:pt>
                <c:pt idx="65">
                  <c:v>779.72711398295633</c:v>
                </c:pt>
                <c:pt idx="66">
                  <c:v>799.99650694728837</c:v>
                </c:pt>
                <c:pt idx="67">
                  <c:v>820.25553249619463</c:v>
                </c:pt>
                <c:pt idx="68">
                  <c:v>840.5044824292612</c:v>
                </c:pt>
                <c:pt idx="69">
                  <c:v>860.74363335793316</c:v>
                </c:pt>
                <c:pt idx="70">
                  <c:v>880.97324784174771</c:v>
                </c:pt>
                <c:pt idx="71">
                  <c:v>901.19357541491297</c:v>
                </c:pt>
                <c:pt idx="72">
                  <c:v>921.40485351608311</c:v>
                </c:pt>
                <c:pt idx="73">
                  <c:v>941.60730833242508</c:v>
                </c:pt>
                <c:pt idx="74">
                  <c:v>961.80115556758119</c:v>
                </c:pt>
                <c:pt idx="75">
                  <c:v>981.98660114187214</c:v>
                </c:pt>
                <c:pt idx="76">
                  <c:v>1002.1638418320221</c:v>
                </c:pt>
                <c:pt idx="77">
                  <c:v>1022.3330658567578</c:v>
                </c:pt>
                <c:pt idx="78">
                  <c:v>1042.4944534138647</c:v>
                </c:pt>
                <c:pt idx="79">
                  <c:v>1062.6481771736035</c:v>
                </c:pt>
                <c:pt idx="80">
                  <c:v>1082.7944027328019</c:v>
                </c:pt>
                <c:pt idx="81">
                  <c:v>1102.933289033457</c:v>
                </c:pt>
                <c:pt idx="82">
                  <c:v>1123.0649887492161</c:v>
                </c:pt>
                <c:pt idx="83">
                  <c:v>1143.1896486427561</c:v>
                </c:pt>
                <c:pt idx="84">
                  <c:v>1163.30740989673</c:v>
                </c:pt>
                <c:pt idx="85">
                  <c:v>1183.4184084206697</c:v>
                </c:pt>
                <c:pt idx="86">
                  <c:v>1203.5227751359773</c:v>
                </c:pt>
                <c:pt idx="87">
                  <c:v>1223.6206362409175</c:v>
                </c:pt>
                <c:pt idx="88">
                  <c:v>1243.7121134573279</c:v>
                </c:pt>
                <c:pt idx="89">
                  <c:v>1263.7973242605849</c:v>
                </c:pt>
                <c:pt idx="90">
                  <c:v>1283.876382094217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2.574052909151487</c:v>
                </c:pt>
                <c:pt idx="2">
                  <c:v>3.2461281653882743</c:v>
                </c:pt>
                <c:pt idx="3">
                  <c:v>4.0943661844375043</c:v>
                </c:pt>
                <c:pt idx="4">
                  <c:v>5.1651119528221656</c:v>
                </c:pt>
                <c:pt idx="5">
                  <c:v>6.5169446661128978</c:v>
                </c:pt>
                <c:pt idx="6">
                  <c:v>8.2239175681987557</c:v>
                </c:pt>
                <c:pt idx="7">
                  <c:v>10.379658260168837</c:v>
                </c:pt>
                <c:pt idx="8">
                  <c:v>13.102558620551131</c:v>
                </c:pt>
                <c:pt idx="9">
                  <c:v>16.542344646784436</c:v>
                </c:pt>
                <c:pt idx="10">
                  <c:v>20.888394060285197</c:v>
                </c:pt>
                <c:pt idx="11">
                  <c:v>26.380267800949554</c:v>
                </c:pt>
                <c:pt idx="12">
                  <c:v>33.321046136009507</c:v>
                </c:pt>
                <c:pt idx="13">
                  <c:v>42.094218082254564</c:v>
                </c:pt>
                <c:pt idx="14">
                  <c:v>53.185073146122171</c:v>
                </c:pt>
                <c:pt idx="15">
                  <c:v>67.207798386934755</c:v>
                </c:pt>
                <c:pt idx="16">
                  <c:v>61.195253174133917</c:v>
                </c:pt>
                <c:pt idx="17">
                  <c:v>81.654071629220851</c:v>
                </c:pt>
                <c:pt idx="18">
                  <c:v>101.98231585945268</c:v>
                </c:pt>
                <c:pt idx="19">
                  <c:v>122.20987672882796</c:v>
                </c:pt>
                <c:pt idx="20">
                  <c:v>142.35583160682572</c:v>
                </c:pt>
                <c:pt idx="21">
                  <c:v>115.59337364680668</c:v>
                </c:pt>
                <c:pt idx="22">
                  <c:v>137.4997067322079</c:v>
                </c:pt>
                <c:pt idx="23">
                  <c:v>159.32196170762117</c:v>
                </c:pt>
                <c:pt idx="24">
                  <c:v>181.07329523604912</c:v>
                </c:pt>
                <c:pt idx="25">
                  <c:v>202.76343275622807</c:v>
                </c:pt>
                <c:pt idx="26">
                  <c:v>174.86524839501377</c:v>
                </c:pt>
                <c:pt idx="27">
                  <c:v>195.19554735609913</c:v>
                </c:pt>
                <c:pt idx="28">
                  <c:v>215.47663414709197</c:v>
                </c:pt>
                <c:pt idx="29">
                  <c:v>235.71379290964839</c:v>
                </c:pt>
                <c:pt idx="30">
                  <c:v>255.91132536435109</c:v>
                </c:pt>
                <c:pt idx="31">
                  <c:v>226.45787789505599</c:v>
                </c:pt>
                <c:pt idx="32">
                  <c:v>244.96141929271744</c:v>
                </c:pt>
                <c:pt idx="33">
                  <c:v>263.43320731240294</c:v>
                </c:pt>
                <c:pt idx="34">
                  <c:v>281.875781441058</c:v>
                </c:pt>
                <c:pt idx="35">
                  <c:v>300.2913216340458</c:v>
                </c:pt>
                <c:pt idx="36">
                  <c:v>268.90061493982017</c:v>
                </c:pt>
                <c:pt idx="37">
                  <c:v>285.288046348151</c:v>
                </c:pt>
                <c:pt idx="38">
                  <c:v>301.65441391376049</c:v>
                </c:pt>
                <c:pt idx="39">
                  <c:v>318.00102122537902</c:v>
                </c:pt>
                <c:pt idx="40">
                  <c:v>334.32902690172892</c:v>
                </c:pt>
                <c:pt idx="41">
                  <c:v>300.63210759978875</c:v>
                </c:pt>
                <c:pt idx="42">
                  <c:v>314.59704855401981</c:v>
                </c:pt>
                <c:pt idx="43">
                  <c:v>328.54825156463437</c:v>
                </c:pt>
                <c:pt idx="44">
                  <c:v>342.48638220302013</c:v>
                </c:pt>
                <c:pt idx="45">
                  <c:v>356.4120474383385</c:v>
                </c:pt>
                <c:pt idx="46">
                  <c:v>331.26889354954557</c:v>
                </c:pt>
                <c:pt idx="47">
                  <c:v>343.50574897575689</c:v>
                </c:pt>
                <c:pt idx="48">
                  <c:v>355.73302732578964</c:v>
                </c:pt>
                <c:pt idx="49">
                  <c:v>367.95110424042508</c:v>
                </c:pt>
                <c:pt idx="50">
                  <c:v>380.160328372322</c:v>
                </c:pt>
                <c:pt idx="51">
                  <c:v>361.5037994693871</c:v>
                </c:pt>
                <c:pt idx="52">
                  <c:v>371.68262431492622</c:v>
                </c:pt>
                <c:pt idx="53">
                  <c:v>381.85537235272426</c:v>
                </c:pt>
                <c:pt idx="54">
                  <c:v>392.02222835802286</c:v>
                </c:pt>
                <c:pt idx="55">
                  <c:v>402.18336673633195</c:v>
                </c:pt>
                <c:pt idx="56">
                  <c:v>388.97277965128006</c:v>
                </c:pt>
                <c:pt idx="57">
                  <c:v>397.78089798901971</c:v>
                </c:pt>
                <c:pt idx="58">
                  <c:v>406.58479291095313</c:v>
                </c:pt>
                <c:pt idx="59">
                  <c:v>415.384568809923</c:v>
                </c:pt>
                <c:pt idx="60">
                  <c:v>424.18032529272591</c:v>
                </c:pt>
                <c:pt idx="61">
                  <c:v>411.32363915605634</c:v>
                </c:pt>
                <c:pt idx="62">
                  <c:v>418.76802245127936</c:v>
                </c:pt>
                <c:pt idx="63">
                  <c:v>426.20955457884071</c:v>
                </c:pt>
                <c:pt idx="64">
                  <c:v>433.64829237194994</c:v>
                </c:pt>
                <c:pt idx="65">
                  <c:v>441.08429055375751</c:v>
                </c:pt>
                <c:pt idx="66">
                  <c:v>428.91487052918592</c:v>
                </c:pt>
                <c:pt idx="67">
                  <c:v>435.33853059869892</c:v>
                </c:pt>
                <c:pt idx="68">
                  <c:v>441.76015637738465</c:v>
                </c:pt>
                <c:pt idx="69">
                  <c:v>448.17978162908167</c:v>
                </c:pt>
                <c:pt idx="70">
                  <c:v>454.59743907080406</c:v>
                </c:pt>
                <c:pt idx="71">
                  <c:v>443.44972404678083</c:v>
                </c:pt>
                <c:pt idx="72">
                  <c:v>449.1932259604792</c:v>
                </c:pt>
                <c:pt idx="73">
                  <c:v>454.93515661064157</c:v>
                </c:pt>
                <c:pt idx="74">
                  <c:v>460.67553864161067</c:v>
                </c:pt>
                <c:pt idx="75">
                  <c:v>466.41439408694333</c:v>
                </c:pt>
                <c:pt idx="76">
                  <c:v>455.94827709810414</c:v>
                </c:pt>
                <c:pt idx="77">
                  <c:v>460.67553864161067</c:v>
                </c:pt>
                <c:pt idx="78">
                  <c:v>465.40176486435234</c:v>
                </c:pt>
                <c:pt idx="79">
                  <c:v>470.12696777260271</c:v>
                </c:pt>
                <c:pt idx="80">
                  <c:v>474.85115911139536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2.4666337725349345</c:v>
                </c:pt>
                <c:pt idx="2">
                  <c:v>3.0381158709021512</c:v>
                </c:pt>
                <c:pt idx="3">
                  <c:v>3.7425098786289195</c:v>
                </c:pt>
                <c:pt idx="4">
                  <c:v>4.6108391555569073</c:v>
                </c:pt>
                <c:pt idx="5">
                  <c:v>5.6813926905320047</c:v>
                </c:pt>
                <c:pt idx="6">
                  <c:v>7.0014320116001132</c:v>
                </c:pt>
                <c:pt idx="7">
                  <c:v>8.6293002524024196</c:v>
                </c:pt>
                <c:pt idx="8">
                  <c:v>10.637028374172365</c:v>
                </c:pt>
                <c:pt idx="9">
                  <c:v>13.11355603782201</c:v>
                </c:pt>
                <c:pt idx="10">
                  <c:v>16.168712453931949</c:v>
                </c:pt>
                <c:pt idx="11">
                  <c:v>19.938136979317274</c:v>
                </c:pt>
                <c:pt idx="12">
                  <c:v>24.589361848858086</c:v>
                </c:pt>
                <c:pt idx="13">
                  <c:v>30.329332176548537</c:v>
                </c:pt>
                <c:pt idx="14">
                  <c:v>37.413703640148974</c:v>
                </c:pt>
                <c:pt idx="15">
                  <c:v>46.158339063877442</c:v>
                </c:pt>
                <c:pt idx="16">
                  <c:v>53.547891720264211</c:v>
                </c:pt>
                <c:pt idx="17">
                  <c:v>64.241491298227785</c:v>
                </c:pt>
                <c:pt idx="18">
                  <c:v>74.888918552118966</c:v>
                </c:pt>
                <c:pt idx="19">
                  <c:v>85.497688059809192</c:v>
                </c:pt>
                <c:pt idx="20">
                  <c:v>96.07328574711407</c:v>
                </c:pt>
                <c:pt idx="21">
                  <c:v>80.192583942729968</c:v>
                </c:pt>
                <c:pt idx="22">
                  <c:v>91.887280329882401</c:v>
                </c:pt>
                <c:pt idx="23">
                  <c:v>103.54472704227169</c:v>
                </c:pt>
                <c:pt idx="24">
                  <c:v>115.16971705895604</c:v>
                </c:pt>
                <c:pt idx="25">
                  <c:v>126.76599328390107</c:v>
                </c:pt>
                <c:pt idx="26">
                  <c:v>109.79833166432684</c:v>
                </c:pt>
                <c:pt idx="27">
                  <c:v>122.38956132835851</c:v>
                </c:pt>
                <c:pt idx="28">
                  <c:v>134.94927885104727</c:v>
                </c:pt>
                <c:pt idx="29">
                  <c:v>147.48083365414166</c:v>
                </c:pt>
                <c:pt idx="30">
                  <c:v>159.9869581972055</c:v>
                </c:pt>
                <c:pt idx="31">
                  <c:v>172.46992207510786</c:v>
                </c:pt>
                <c:pt idx="32">
                  <c:v>145.84187013111898</c:v>
                </c:pt>
                <c:pt idx="33">
                  <c:v>158.35118586333934</c:v>
                </c:pt>
                <c:pt idx="34">
                  <c:v>170.83706600445487</c:v>
                </c:pt>
                <c:pt idx="35">
                  <c:v>183.30146597523688</c:v>
                </c:pt>
                <c:pt idx="36">
                  <c:v>195.74605318523786</c:v>
                </c:pt>
                <c:pt idx="37">
                  <c:v>208.17226547186976</c:v>
                </c:pt>
                <c:pt idx="38">
                  <c:v>181.28670976045154</c:v>
                </c:pt>
                <c:pt idx="39">
                  <c:v>193.35073159591209</c:v>
                </c:pt>
                <c:pt idx="40">
                  <c:v>205.39725008002665</c:v>
                </c:pt>
                <c:pt idx="41">
                  <c:v>217.42743706841944</c:v>
                </c:pt>
                <c:pt idx="42">
                  <c:v>229.4423240288188</c:v>
                </c:pt>
                <c:pt idx="43">
                  <c:v>241.44282549000411</c:v>
                </c:pt>
                <c:pt idx="44">
                  <c:v>253.4297575784752</c:v>
                </c:pt>
                <c:pt idx="45">
                  <c:v>218.3072580972848</c:v>
                </c:pt>
                <c:pt idx="46">
                  <c:v>229.4903445118899</c:v>
                </c:pt>
                <c:pt idx="47">
                  <c:v>240.66097105574826</c:v>
                </c:pt>
                <c:pt idx="48">
                  <c:v>251.81979794807512</c:v>
                </c:pt>
                <c:pt idx="49">
                  <c:v>262.96742207334177</c:v>
                </c:pt>
                <c:pt idx="50">
                  <c:v>274.1043855423307</c:v>
                </c:pt>
                <c:pt idx="51">
                  <c:v>285.23118278779691</c:v>
                </c:pt>
                <c:pt idx="52">
                  <c:v>296.34826649412844</c:v>
                </c:pt>
                <c:pt idx="53">
                  <c:v>254.90325446781944</c:v>
                </c:pt>
                <c:pt idx="54">
                  <c:v>264.97368492540772</c:v>
                </c:pt>
                <c:pt idx="55">
                  <c:v>275.03548757595013</c:v>
                </c:pt>
                <c:pt idx="56">
                  <c:v>285.08902277624651</c:v>
                </c:pt>
                <c:pt idx="57">
                  <c:v>295.13462337374966</c:v>
                </c:pt>
                <c:pt idx="58">
                  <c:v>305.17259769178702</c:v>
                </c:pt>
                <c:pt idx="59">
                  <c:v>315.20323210121336</c:v>
                </c:pt>
                <c:pt idx="60">
                  <c:v>325.22679324739926</c:v>
                </c:pt>
                <c:pt idx="61">
                  <c:v>284.18863913629531</c:v>
                </c:pt>
                <c:pt idx="62">
                  <c:v>293.47934925916041</c:v>
                </c:pt>
                <c:pt idx="63">
                  <c:v>302.76349561329272</c:v>
                </c:pt>
                <c:pt idx="64">
                  <c:v>312.04130800492845</c:v>
                </c:pt>
                <c:pt idx="65">
                  <c:v>321.31300144919788</c:v>
                </c:pt>
                <c:pt idx="66">
                  <c:v>330.57877753076673</c:v>
                </c:pt>
                <c:pt idx="67">
                  <c:v>339.83882560386644</c:v>
                </c:pt>
                <c:pt idx="68">
                  <c:v>349.09332385462511</c:v>
                </c:pt>
                <c:pt idx="69">
                  <c:v>358.34244024480631</c:v>
                </c:pt>
                <c:pt idx="70">
                  <c:v>7.2983234474842979E-13</c:v>
                </c:pt>
                <c:pt idx="71">
                  <c:v>7.2983234474842979E-13</c:v>
                </c:pt>
                <c:pt idx="72">
                  <c:v>7.2983234474842979E-13</c:v>
                </c:pt>
                <c:pt idx="73">
                  <c:v>7.2983234474842979E-13</c:v>
                </c:pt>
                <c:pt idx="74">
                  <c:v>7.2983234474842979E-13</c:v>
                </c:pt>
                <c:pt idx="75">
                  <c:v>7.2983234474842979E-13</c:v>
                </c:pt>
                <c:pt idx="76">
                  <c:v>7.2983234474842979E-13</c:v>
                </c:pt>
                <c:pt idx="77">
                  <c:v>7.2983234474842979E-13</c:v>
                </c:pt>
                <c:pt idx="78">
                  <c:v>7.2983234474842979E-13</c:v>
                </c:pt>
                <c:pt idx="79">
                  <c:v>7.2983234474842979E-13</c:v>
                </c:pt>
                <c:pt idx="80">
                  <c:v>7.2983234474842979E-13</c:v>
                </c:pt>
                <c:pt idx="81">
                  <c:v>7.2983234474842979E-13</c:v>
                </c:pt>
                <c:pt idx="82">
                  <c:v>7.2983234474842979E-13</c:v>
                </c:pt>
                <c:pt idx="83">
                  <c:v>7.2983234474842979E-13</c:v>
                </c:pt>
                <c:pt idx="84">
                  <c:v>7.2983234474842979E-13</c:v>
                </c:pt>
                <c:pt idx="85">
                  <c:v>7.2983234474842979E-13</c:v>
                </c:pt>
                <c:pt idx="86">
                  <c:v>7.2983234474842979E-13</c:v>
                </c:pt>
                <c:pt idx="87">
                  <c:v>7.2983234474842979E-13</c:v>
                </c:pt>
                <c:pt idx="88">
                  <c:v>7.2983234474842979E-13</c:v>
                </c:pt>
                <c:pt idx="89">
                  <c:v>7.2983234474842979E-13</c:v>
                </c:pt>
                <c:pt idx="90">
                  <c:v>7.2983234474842979E-13</c:v>
                </c:pt>
                <c:pt idx="91">
                  <c:v>7.2983234474842979E-13</c:v>
                </c:pt>
                <c:pt idx="92">
                  <c:v>7.2983234474842979E-13</c:v>
                </c:pt>
                <c:pt idx="93">
                  <c:v>7.2983234474842979E-13</c:v>
                </c:pt>
                <c:pt idx="94">
                  <c:v>7.2983234474842979E-13</c:v>
                </c:pt>
                <c:pt idx="95">
                  <c:v>7.2983234474842979E-13</c:v>
                </c:pt>
                <c:pt idx="96">
                  <c:v>7.2983234474842979E-13</c:v>
                </c:pt>
                <c:pt idx="97">
                  <c:v>7.2983234474842979E-13</c:v>
                </c:pt>
                <c:pt idx="98">
                  <c:v>7.2983234474842979E-13</c:v>
                </c:pt>
                <c:pt idx="99">
                  <c:v>7.2983234474842979E-13</c:v>
                </c:pt>
                <c:pt idx="100">
                  <c:v>7.2983234474842979E-13</c:v>
                </c:pt>
                <c:pt idx="101">
                  <c:v>7.2983234474842979E-13</c:v>
                </c:pt>
                <c:pt idx="102">
                  <c:v>7.2983234474842979E-13</c:v>
                </c:pt>
                <c:pt idx="103">
                  <c:v>7.2983234474842979E-13</c:v>
                </c:pt>
                <c:pt idx="104">
                  <c:v>7.2983234474842979E-13</c:v>
                </c:pt>
                <c:pt idx="105">
                  <c:v>7.2983234474842979E-13</c:v>
                </c:pt>
                <c:pt idx="106">
                  <c:v>7.2983234474842979E-13</c:v>
                </c:pt>
                <c:pt idx="107">
                  <c:v>7.2983234474842979E-13</c:v>
                </c:pt>
                <c:pt idx="108">
                  <c:v>7.2983234474842979E-13</c:v>
                </c:pt>
                <c:pt idx="109">
                  <c:v>7.2983234474842979E-13</c:v>
                </c:pt>
                <c:pt idx="110">
                  <c:v>7.2983234474842979E-13</c:v>
                </c:pt>
                <c:pt idx="111">
                  <c:v>7.2983234474842979E-13</c:v>
                </c:pt>
                <c:pt idx="112">
                  <c:v>7.2983234474842979E-13</c:v>
                </c:pt>
                <c:pt idx="113">
                  <c:v>7.2983234474842979E-13</c:v>
                </c:pt>
                <c:pt idx="114">
                  <c:v>7.2983234474842979E-13</c:v>
                </c:pt>
                <c:pt idx="115">
                  <c:v>7.2983234474842979E-13</c:v>
                </c:pt>
                <c:pt idx="116">
                  <c:v>7.2983234474842979E-13</c:v>
                </c:pt>
                <c:pt idx="117">
                  <c:v>7.2983234474842979E-13</c:v>
                </c:pt>
                <c:pt idx="118">
                  <c:v>7.2983234474842979E-13</c:v>
                </c:pt>
                <c:pt idx="119">
                  <c:v>7.2983234474842979E-13</c:v>
                </c:pt>
                <c:pt idx="120">
                  <c:v>7.2983234474842979E-13</c:v>
                </c:pt>
                <c:pt idx="121">
                  <c:v>7.2983234474842979E-13</c:v>
                </c:pt>
                <c:pt idx="122">
                  <c:v>7.2983234474842979E-13</c:v>
                </c:pt>
                <c:pt idx="123">
                  <c:v>7.2983234474842979E-13</c:v>
                </c:pt>
                <c:pt idx="124">
                  <c:v>7.2983234474842979E-13</c:v>
                </c:pt>
                <c:pt idx="125">
                  <c:v>7.2983234474842979E-13</c:v>
                </c:pt>
                <c:pt idx="126">
                  <c:v>7.2983234474842979E-13</c:v>
                </c:pt>
                <c:pt idx="127">
                  <c:v>7.2983234474842979E-13</c:v>
                </c:pt>
                <c:pt idx="128">
                  <c:v>7.2983234474842979E-13</c:v>
                </c:pt>
                <c:pt idx="129">
                  <c:v>7.2983234474842979E-13</c:v>
                </c:pt>
                <c:pt idx="130">
                  <c:v>7.2983234474842979E-13</c:v>
                </c:pt>
                <c:pt idx="131">
                  <c:v>7.2983234474842979E-13</c:v>
                </c:pt>
                <c:pt idx="132">
                  <c:v>7.2983234474842979E-13</c:v>
                </c:pt>
                <c:pt idx="133">
                  <c:v>7.2983234474842979E-13</c:v>
                </c:pt>
                <c:pt idx="134">
                  <c:v>7.2983234474842979E-13</c:v>
                </c:pt>
                <c:pt idx="135">
                  <c:v>7.2983234474842979E-13</c:v>
                </c:pt>
                <c:pt idx="136">
                  <c:v>7.2983234474842979E-13</c:v>
                </c:pt>
                <c:pt idx="137">
                  <c:v>7.2983234474842979E-13</c:v>
                </c:pt>
                <c:pt idx="138">
                  <c:v>7.2983234474842979E-13</c:v>
                </c:pt>
                <c:pt idx="139">
                  <c:v>7.2983234474842979E-13</c:v>
                </c:pt>
                <c:pt idx="140">
                  <c:v>7.2983234474842979E-13</c:v>
                </c:pt>
                <c:pt idx="141">
                  <c:v>7.2983234474842979E-13</c:v>
                </c:pt>
                <c:pt idx="142">
                  <c:v>7.2983234474842979E-13</c:v>
                </c:pt>
                <c:pt idx="143">
                  <c:v>7.2983234474842979E-13</c:v>
                </c:pt>
                <c:pt idx="144">
                  <c:v>7.2983234474842979E-13</c:v>
                </c:pt>
                <c:pt idx="145">
                  <c:v>7.2983234474842979E-13</c:v>
                </c:pt>
                <c:pt idx="146">
                  <c:v>7.2983234474842979E-13</c:v>
                </c:pt>
                <c:pt idx="147">
                  <c:v>7.2983234474842979E-13</c:v>
                </c:pt>
                <c:pt idx="148">
                  <c:v>7.2983234474842979E-13</c:v>
                </c:pt>
                <c:pt idx="149">
                  <c:v>7.2983234474842979E-13</c:v>
                </c:pt>
                <c:pt idx="150">
                  <c:v>7.2983234474842979E-13</c:v>
                </c:pt>
                <c:pt idx="151">
                  <c:v>7.2983234474842979E-13</c:v>
                </c:pt>
                <c:pt idx="152">
                  <c:v>7.2983234474842979E-13</c:v>
                </c:pt>
                <c:pt idx="153">
                  <c:v>7.2983234474842979E-13</c:v>
                </c:pt>
                <c:pt idx="154">
                  <c:v>7.2983234474842979E-13</c:v>
                </c:pt>
                <c:pt idx="155">
                  <c:v>7.2983234474842979E-13</c:v>
                </c:pt>
                <c:pt idx="156">
                  <c:v>7.2983234474842979E-13</c:v>
                </c:pt>
                <c:pt idx="157">
                  <c:v>7.2983234474842979E-13</c:v>
                </c:pt>
                <c:pt idx="158">
                  <c:v>7.2983234474842979E-13</c:v>
                </c:pt>
                <c:pt idx="159">
                  <c:v>7.2983234474842979E-13</c:v>
                </c:pt>
                <c:pt idx="160">
                  <c:v>7.2983234474842979E-13</c:v>
                </c:pt>
                <c:pt idx="161">
                  <c:v>7.2983234474842979E-13</c:v>
                </c:pt>
                <c:pt idx="162">
                  <c:v>7.2983234474842979E-13</c:v>
                </c:pt>
                <c:pt idx="163">
                  <c:v>7.2983234474842979E-13</c:v>
                </c:pt>
                <c:pt idx="164">
                  <c:v>7.2983234474842979E-13</c:v>
                </c:pt>
                <c:pt idx="165">
                  <c:v>7.2983234474842979E-13</c:v>
                </c:pt>
                <c:pt idx="166">
                  <c:v>7.2983234474842979E-13</c:v>
                </c:pt>
                <c:pt idx="167">
                  <c:v>7.2983234474842979E-13</c:v>
                </c:pt>
                <c:pt idx="168">
                  <c:v>7.2983234474842979E-13</c:v>
                </c:pt>
                <c:pt idx="169">
                  <c:v>7.2983234474842979E-13</c:v>
                </c:pt>
                <c:pt idx="170">
                  <c:v>7.2983234474842979E-13</c:v>
                </c:pt>
                <c:pt idx="171">
                  <c:v>7.2983234474842979E-13</c:v>
                </c:pt>
                <c:pt idx="172">
                  <c:v>7.2983234474842979E-13</c:v>
                </c:pt>
                <c:pt idx="173">
                  <c:v>7.2983234474842979E-13</c:v>
                </c:pt>
                <c:pt idx="174">
                  <c:v>7.2983234474842979E-13</c:v>
                </c:pt>
                <c:pt idx="175">
                  <c:v>7.2983234474842979E-13</c:v>
                </c:pt>
                <c:pt idx="176">
                  <c:v>7.2983234474842979E-13</c:v>
                </c:pt>
                <c:pt idx="177">
                  <c:v>7.2983234474842979E-13</c:v>
                </c:pt>
                <c:pt idx="178">
                  <c:v>7.2983234474842979E-13</c:v>
                </c:pt>
                <c:pt idx="179">
                  <c:v>7.2983234474842979E-13</c:v>
                </c:pt>
                <c:pt idx="180">
                  <c:v>7.2983234474842979E-13</c:v>
                </c:pt>
                <c:pt idx="181">
                  <c:v>7.2983234474842979E-13</c:v>
                </c:pt>
                <c:pt idx="182">
                  <c:v>7.2983234474842979E-13</c:v>
                </c:pt>
                <c:pt idx="183">
                  <c:v>7.2983234474842979E-13</c:v>
                </c:pt>
                <c:pt idx="184">
                  <c:v>7.2983234474842979E-13</c:v>
                </c:pt>
                <c:pt idx="185">
                  <c:v>7.2983234474842979E-13</c:v>
                </c:pt>
                <c:pt idx="186">
                  <c:v>7.2983234474842979E-13</c:v>
                </c:pt>
                <c:pt idx="187">
                  <c:v>7.2983234474842979E-13</c:v>
                </c:pt>
                <c:pt idx="188">
                  <c:v>7.2983234474842979E-13</c:v>
                </c:pt>
                <c:pt idx="189">
                  <c:v>7.2983234474842979E-13</c:v>
                </c:pt>
                <c:pt idx="190">
                  <c:v>7.2983234474842979E-13</c:v>
                </c:pt>
                <c:pt idx="191">
                  <c:v>7.2983234474842979E-13</c:v>
                </c:pt>
                <c:pt idx="192">
                  <c:v>7.2983234474842979E-13</c:v>
                </c:pt>
                <c:pt idx="193">
                  <c:v>7.2983234474842979E-13</c:v>
                </c:pt>
                <c:pt idx="194">
                  <c:v>7.2983234474842979E-13</c:v>
                </c:pt>
                <c:pt idx="195">
                  <c:v>7.2983234474842979E-13</c:v>
                </c:pt>
                <c:pt idx="196">
                  <c:v>7.2983234474842979E-13</c:v>
                </c:pt>
                <c:pt idx="197">
                  <c:v>7.2983234474842979E-13</c:v>
                </c:pt>
                <c:pt idx="198">
                  <c:v>7.2983234474842979E-13</c:v>
                </c:pt>
                <c:pt idx="199">
                  <c:v>7.2983234474842979E-13</c:v>
                </c:pt>
                <c:pt idx="200">
                  <c:v>7.2983234474842979E-13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2.0061599143563931</c:v>
                </c:pt>
                <c:pt idx="2">
                  <c:v>2.8330232135356752</c:v>
                </c:pt>
                <c:pt idx="3">
                  <c:v>4.0021844522112344</c:v>
                </c:pt>
                <c:pt idx="4">
                  <c:v>5.6559280163582706</c:v>
                </c:pt>
                <c:pt idx="5">
                  <c:v>7.9959082187527839</c:v>
                </c:pt>
                <c:pt idx="6">
                  <c:v>11.308009420147043</c:v>
                </c:pt>
                <c:pt idx="7">
                  <c:v>15.997649473797606</c:v>
                </c:pt>
                <c:pt idx="8">
                  <c:v>22.6399264346115</c:v>
                </c:pt>
                <c:pt idx="9">
                  <c:v>32.050867160956948</c:v>
                </c:pt>
                <c:pt idx="10">
                  <c:v>45.388682172129364</c:v>
                </c:pt>
                <c:pt idx="11">
                  <c:v>60.514695528795386</c:v>
                </c:pt>
                <c:pt idx="12">
                  <c:v>75.541596157280864</c:v>
                </c:pt>
                <c:pt idx="13">
                  <c:v>90.492041210372676</c:v>
                </c:pt>
                <c:pt idx="14">
                  <c:v>105.38050081480264</c:v>
                </c:pt>
                <c:pt idx="15">
                  <c:v>120.21699124835231</c:v>
                </c:pt>
                <c:pt idx="16">
                  <c:v>92.416369816730835</c:v>
                </c:pt>
                <c:pt idx="17">
                  <c:v>111.36874928702889</c:v>
                </c:pt>
                <c:pt idx="18">
                  <c:v>130.24178504064366</c:v>
                </c:pt>
                <c:pt idx="19">
                  <c:v>149.0486227432686</c:v>
                </c:pt>
                <c:pt idx="20">
                  <c:v>167.79880331835713</c:v>
                </c:pt>
                <c:pt idx="21">
                  <c:v>137.86711899238378</c:v>
                </c:pt>
                <c:pt idx="22">
                  <c:v>157.83692263801237</c:v>
                </c:pt>
                <c:pt idx="23">
                  <c:v>177.74673882318052</c:v>
                </c:pt>
                <c:pt idx="24">
                  <c:v>197.60423730399955</c:v>
                </c:pt>
                <c:pt idx="25">
                  <c:v>217.41541708927392</c:v>
                </c:pt>
                <c:pt idx="26">
                  <c:v>186.73598138519102</c:v>
                </c:pt>
                <c:pt idx="27">
                  <c:v>205.62833372118314</c:v>
                </c:pt>
                <c:pt idx="28">
                  <c:v>224.48055915021382</c:v>
                </c:pt>
                <c:pt idx="29">
                  <c:v>243.29650191025416</c:v>
                </c:pt>
                <c:pt idx="30">
                  <c:v>262.07936261335271</c:v>
                </c:pt>
                <c:pt idx="31">
                  <c:v>229.65841439261337</c:v>
                </c:pt>
                <c:pt idx="32">
                  <c:v>246.5858084671363</c:v>
                </c:pt>
                <c:pt idx="33">
                  <c:v>263.48682168593842</c:v>
                </c:pt>
                <c:pt idx="34">
                  <c:v>280.36338431358689</c:v>
                </c:pt>
                <c:pt idx="35">
                  <c:v>297.21717518827558</c:v>
                </c:pt>
                <c:pt idx="36">
                  <c:v>263.48682168593848</c:v>
                </c:pt>
                <c:pt idx="37">
                  <c:v>278.95789553357918</c:v>
                </c:pt>
                <c:pt idx="38">
                  <c:v>294.40972662740677</c:v>
                </c:pt>
                <c:pt idx="39">
                  <c:v>309.84346710446169</c:v>
                </c:pt>
                <c:pt idx="40">
                  <c:v>325.26014493454323</c:v>
                </c:pt>
                <c:pt idx="41">
                  <c:v>294.64370341336456</c:v>
                </c:pt>
                <c:pt idx="42">
                  <c:v>308.44111949657554</c:v>
                </c:pt>
                <c:pt idx="43">
                  <c:v>322.22483077597991</c:v>
                </c:pt>
                <c:pt idx="44">
                  <c:v>335.99550614056949</c:v>
                </c:pt>
                <c:pt idx="45">
                  <c:v>349.75375516637615</c:v>
                </c:pt>
                <c:pt idx="46">
                  <c:v>323.15884066155769</c:v>
                </c:pt>
                <c:pt idx="47">
                  <c:v>336.22879868133322</c:v>
                </c:pt>
                <c:pt idx="48">
                  <c:v>349.28757120195638</c:v>
                </c:pt>
                <c:pt idx="49">
                  <c:v>362.33563538750872</c:v>
                </c:pt>
                <c:pt idx="50">
                  <c:v>375.37343122590363</c:v>
                </c:pt>
                <c:pt idx="51">
                  <c:v>351.15222533950458</c:v>
                </c:pt>
                <c:pt idx="52">
                  <c:v>363.03434528713251</c:v>
                </c:pt>
                <c:pt idx="53">
                  <c:v>374.90796779687236</c:v>
                </c:pt>
                <c:pt idx="54">
                  <c:v>386.77339997206701</c:v>
                </c:pt>
                <c:pt idx="55">
                  <c:v>398.63092853204995</c:v>
                </c:pt>
                <c:pt idx="56">
                  <c:v>375.83888207971944</c:v>
                </c:pt>
                <c:pt idx="57">
                  <c:v>386.7733999720669</c:v>
                </c:pt>
                <c:pt idx="58">
                  <c:v>397.70120560960441</c:v>
                </c:pt>
                <c:pt idx="59">
                  <c:v>408.62250947433353</c:v>
                </c:pt>
                <c:pt idx="60">
                  <c:v>419.53750987631412</c:v>
                </c:pt>
                <c:pt idx="61">
                  <c:v>398.39850220884637</c:v>
                </c:pt>
                <c:pt idx="62">
                  <c:v>408.62250947433353</c:v>
                </c:pt>
                <c:pt idx="63">
                  <c:v>418.84099239326906</c:v>
                </c:pt>
                <c:pt idx="64">
                  <c:v>429.05410478388194</c:v>
                </c:pt>
                <c:pt idx="65">
                  <c:v>439.2619925420463</c:v>
                </c:pt>
                <c:pt idx="66">
                  <c:v>418.6088143538762</c:v>
                </c:pt>
                <c:pt idx="67">
                  <c:v>428.12585805299381</c:v>
                </c:pt>
                <c:pt idx="68">
                  <c:v>437.63835410601723</c:v>
                </c:pt>
                <c:pt idx="69">
                  <c:v>447.14641533011968</c:v>
                </c:pt>
                <c:pt idx="70">
                  <c:v>456.65014935173821</c:v>
                </c:pt>
                <c:pt idx="71">
                  <c:v>435.55062896402114</c:v>
                </c:pt>
                <c:pt idx="72">
                  <c:v>444.59590119154547</c:v>
                </c:pt>
                <c:pt idx="73">
                  <c:v>453.63723243721915</c:v>
                </c:pt>
                <c:pt idx="74">
                  <c:v>462.67471235022066</c:v>
                </c:pt>
                <c:pt idx="75">
                  <c:v>471.70842679065521</c:v>
                </c:pt>
                <c:pt idx="76">
                  <c:v>449.6966180194467</c:v>
                </c:pt>
                <c:pt idx="77">
                  <c:v>457.80885029721509</c:v>
                </c:pt>
                <c:pt idx="78">
                  <c:v>465.91801307702104</c:v>
                </c:pt>
                <c:pt idx="79">
                  <c:v>474.02416733906398</c:v>
                </c:pt>
                <c:pt idx="80">
                  <c:v>482.12737180697349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5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2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2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2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2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2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2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2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2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2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2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2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2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2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2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2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2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2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2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P50" zoomScale="80" zoomScaleNormal="80" workbookViewId="0">
      <selection activeCell="B105" sqref="B105"/>
    </sheetView>
  </sheetViews>
  <sheetFormatPr baseColWidth="10" defaultColWidth="11.5" defaultRowHeight="15" x14ac:dyDescent="0.2"/>
  <cols>
    <col min="1" max="1" width="13.6640625" style="25" customWidth="1"/>
    <col min="2" max="2" width="36.1640625" style="25" customWidth="1"/>
    <col min="3" max="3" width="14.83203125" style="25" bestFit="1" customWidth="1"/>
    <col min="4" max="4" width="16.5" style="25" customWidth="1"/>
    <col min="5" max="5" width="23.33203125" style="25" customWidth="1"/>
    <col min="6" max="6" width="28.83203125" style="25" bestFit="1" customWidth="1"/>
    <col min="7" max="8" width="14.6640625" style="25" customWidth="1"/>
    <col min="9" max="9" width="17" style="25" customWidth="1"/>
    <col min="10" max="10" width="13.83203125" style="25" customWidth="1"/>
    <col min="11" max="16384" width="11.5" style="25"/>
  </cols>
  <sheetData>
    <row r="1" spans="1:38" x14ac:dyDescent="0.2">
      <c r="A1" s="5"/>
      <c r="B1" s="5"/>
      <c r="C1" s="292" t="s">
        <v>190</v>
      </c>
      <c r="D1" s="292"/>
      <c r="E1" s="2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6" thickBot="1" x14ac:dyDescent="0.2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25">
      <c r="A3" s="5"/>
      <c r="B3" s="297" t="s">
        <v>192</v>
      </c>
      <c r="C3" s="298"/>
      <c r="D3" s="298"/>
      <c r="E3" s="298"/>
      <c r="F3" s="299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2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2">
      <c r="A5" s="303" t="s">
        <v>231</v>
      </c>
      <c r="B5" s="303"/>
      <c r="C5" s="26">
        <v>3.16</v>
      </c>
      <c r="D5" s="304" t="s">
        <v>229</v>
      </c>
      <c r="E5" s="305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2">
      <c r="A7" s="301" t="s">
        <v>226</v>
      </c>
      <c r="B7" s="301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">
      <c r="A9" s="33" t="s">
        <v>165</v>
      </c>
      <c r="B9" s="34" t="s">
        <v>14</v>
      </c>
      <c r="C9" s="35">
        <v>0.42088599999999998</v>
      </c>
      <c r="D9" s="36">
        <f t="shared" ref="D9:D18" si="0">C9*$C$5</f>
        <v>1.32999976</v>
      </c>
      <c r="E9" s="37">
        <v>161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33" t="s">
        <v>166</v>
      </c>
      <c r="B10" s="34" t="s">
        <v>25</v>
      </c>
      <c r="C10" s="35">
        <v>0.168354</v>
      </c>
      <c r="D10" s="36">
        <f t="shared" si="0"/>
        <v>0.53199864000000008</v>
      </c>
      <c r="E10" s="37">
        <v>90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33" t="s">
        <v>167</v>
      </c>
      <c r="B11" s="34" t="s">
        <v>23</v>
      </c>
      <c r="C11" s="35">
        <v>0.12626599999999999</v>
      </c>
      <c r="D11" s="36">
        <f t="shared" si="0"/>
        <v>0.39900056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33" t="s">
        <v>168</v>
      </c>
      <c r="B12" s="34" t="s">
        <v>29</v>
      </c>
      <c r="C12" s="35">
        <v>0.12626599999999999</v>
      </c>
      <c r="D12" s="36">
        <f t="shared" si="0"/>
        <v>0.39900056</v>
      </c>
      <c r="E12" s="37">
        <v>69</v>
      </c>
      <c r="F12" s="38" t="str">
        <f t="array" ref="F12">IF(E12="","",IF(INDEX(A:A,MAX(IF(ISNUMBER($A$114:$A$133),ROW($A$114:$A$133),"")))&lt;&gt;E12,"Corrigez : révolution incorrecte","OK"))</f>
        <v>OK</v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33" t="s">
        <v>169</v>
      </c>
      <c r="B13" s="34" t="s">
        <v>81</v>
      </c>
      <c r="C13" s="35">
        <v>0.15822800000000001</v>
      </c>
      <c r="D13" s="36">
        <f t="shared" si="0"/>
        <v>0.50000048000000008</v>
      </c>
      <c r="E13" s="37">
        <v>80</v>
      </c>
      <c r="F13" s="38" t="str">
        <f t="array" ref="F13">IF(E13="","",IF(INDEX(A:A,MAX(IF(ISNUMBER($A$140:$A$159),ROW($A$140:$A$159),"")))&lt;&gt;E13,"Corrigez : révolution incorrecte","OK"))</f>
        <v>OK</v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">
      <c r="A19" s="100"/>
      <c r="B19" s="39" t="s">
        <v>175</v>
      </c>
      <c r="C19" s="40">
        <f>SUM(C9:C18)</f>
        <v>1</v>
      </c>
      <c r="D19" s="41">
        <f>SUM(D9:D18)</f>
        <v>3.1600000000000006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25">
      <c r="A22" s="300" t="s">
        <v>232</v>
      </c>
      <c r="B22" s="300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">
      <c r="A30" s="302" t="s">
        <v>227</v>
      </c>
      <c r="B30" s="302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">
      <c r="A32" s="49" t="s">
        <v>165</v>
      </c>
      <c r="B32" s="50" t="str">
        <f>IF(B9="","",B9)</f>
        <v>Chêne sessile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32" x14ac:dyDescent="0.2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">
      <c r="A36" s="53">
        <v>44</v>
      </c>
      <c r="B36" s="63">
        <v>190.75</v>
      </c>
      <c r="C36" s="63">
        <v>1</v>
      </c>
      <c r="D36" s="63">
        <v>74.010000000000005</v>
      </c>
      <c r="E36" s="54">
        <v>0.2</v>
      </c>
      <c r="F36" s="54"/>
      <c r="G36" s="54"/>
      <c r="H36" s="54">
        <v>0.8</v>
      </c>
      <c r="I36" s="52">
        <f>IFERROR(B36/A36,"")</f>
        <v>4.3352272727272725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">
      <c r="A37" s="53">
        <v>51</v>
      </c>
      <c r="B37" s="63">
        <v>179.02</v>
      </c>
      <c r="C37" s="63">
        <v>2</v>
      </c>
      <c r="D37" s="63">
        <v>46.13</v>
      </c>
      <c r="E37" s="54">
        <v>0.2</v>
      </c>
      <c r="F37" s="54"/>
      <c r="G37" s="54"/>
      <c r="H37" s="54">
        <v>0.8</v>
      </c>
      <c r="I37" s="56">
        <f t="shared" ref="I37:I55" si="1">IF(A37&lt;&gt;0,(B37-(B36-D36))/(A37-A36),"")</f>
        <v>8.8971428571428586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">
      <c r="A38" s="53">
        <v>59</v>
      </c>
      <c r="B38" s="63">
        <v>199.19</v>
      </c>
      <c r="C38" s="63">
        <v>3</v>
      </c>
      <c r="D38" s="63">
        <v>48.96</v>
      </c>
      <c r="E38" s="54">
        <v>0.2</v>
      </c>
      <c r="F38" s="54"/>
      <c r="G38" s="54"/>
      <c r="H38" s="54">
        <v>0.8</v>
      </c>
      <c r="I38" s="56">
        <f t="shared" si="1"/>
        <v>8.2874999999999979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">
      <c r="A39" s="53">
        <v>67</v>
      </c>
      <c r="B39" s="63">
        <v>211.64</v>
      </c>
      <c r="C39" s="63">
        <v>4</v>
      </c>
      <c r="D39" s="63">
        <v>40.630000000000003</v>
      </c>
      <c r="E39" s="54">
        <v>0.3</v>
      </c>
      <c r="F39" s="54"/>
      <c r="G39" s="54"/>
      <c r="H39" s="54">
        <v>0.7</v>
      </c>
      <c r="I39" s="52">
        <f t="shared" si="1"/>
        <v>7.6762499999999996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">
      <c r="A40" s="53">
        <v>75</v>
      </c>
      <c r="B40" s="63">
        <v>229.61</v>
      </c>
      <c r="C40" s="63">
        <v>5</v>
      </c>
      <c r="D40" s="63">
        <v>39.54</v>
      </c>
      <c r="E40" s="54">
        <v>0.3</v>
      </c>
      <c r="F40" s="54"/>
      <c r="G40" s="54"/>
      <c r="H40" s="54">
        <v>0.7</v>
      </c>
      <c r="I40" s="52">
        <f t="shared" si="1"/>
        <v>7.3250000000000028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">
      <c r="A41" s="53">
        <v>84</v>
      </c>
      <c r="B41" s="63">
        <v>253.71</v>
      </c>
      <c r="C41" s="63">
        <v>6</v>
      </c>
      <c r="D41" s="63">
        <v>44.89</v>
      </c>
      <c r="E41" s="54">
        <v>0.4</v>
      </c>
      <c r="F41" s="54"/>
      <c r="G41" s="54"/>
      <c r="H41" s="54">
        <v>0.6</v>
      </c>
      <c r="I41" s="56">
        <f t="shared" si="1"/>
        <v>7.0711111111111098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">
      <c r="A42" s="53">
        <v>93</v>
      </c>
      <c r="B42" s="63">
        <v>269.52</v>
      </c>
      <c r="C42" s="63">
        <v>7</v>
      </c>
      <c r="D42" s="63">
        <v>38.57</v>
      </c>
      <c r="E42" s="54">
        <v>0.4</v>
      </c>
      <c r="F42" s="54"/>
      <c r="G42" s="54"/>
      <c r="H42" s="54">
        <v>0.6</v>
      </c>
      <c r="I42" s="56">
        <f t="shared" si="1"/>
        <v>6.7444444444444436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">
      <c r="A43" s="282">
        <v>103</v>
      </c>
      <c r="B43" s="63">
        <v>298.3</v>
      </c>
      <c r="C43" s="63">
        <v>8</v>
      </c>
      <c r="D43" s="63">
        <v>50.51</v>
      </c>
      <c r="E43" s="54">
        <v>0.5</v>
      </c>
      <c r="F43" s="54"/>
      <c r="G43" s="54"/>
      <c r="H43" s="54">
        <v>0.5</v>
      </c>
      <c r="I43" s="52">
        <f t="shared" si="1"/>
        <v>6.7350000000000021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">
      <c r="A44" s="282">
        <v>113</v>
      </c>
      <c r="B44" s="63">
        <v>312.99</v>
      </c>
      <c r="C44" s="63">
        <v>9</v>
      </c>
      <c r="D44" s="63">
        <v>40.479999999999997</v>
      </c>
      <c r="E44" s="54">
        <v>0.5</v>
      </c>
      <c r="F44" s="54"/>
      <c r="G44" s="54"/>
      <c r="H44" s="54">
        <v>0.5</v>
      </c>
      <c r="I44" s="52">
        <f t="shared" si="1"/>
        <v>6.5199999999999987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">
      <c r="A45" s="282">
        <v>125</v>
      </c>
      <c r="B45" s="63">
        <v>354.04</v>
      </c>
      <c r="C45" s="63">
        <v>10</v>
      </c>
      <c r="D45" s="63">
        <v>61.5</v>
      </c>
      <c r="E45" s="54">
        <v>0.6</v>
      </c>
      <c r="F45" s="54"/>
      <c r="G45" s="54"/>
      <c r="H45" s="54">
        <v>0.4</v>
      </c>
      <c r="I45" s="52">
        <f t="shared" si="1"/>
        <v>6.7941666666666691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">
      <c r="A46" s="282">
        <v>137</v>
      </c>
      <c r="B46" s="63">
        <v>373.1</v>
      </c>
      <c r="C46" s="63">
        <v>11</v>
      </c>
      <c r="D46" s="63">
        <v>65.53</v>
      </c>
      <c r="E46" s="54">
        <v>0.7</v>
      </c>
      <c r="F46" s="54"/>
      <c r="G46" s="54"/>
      <c r="H46" s="54">
        <v>0.3</v>
      </c>
      <c r="I46" s="52">
        <f t="shared" si="1"/>
        <v>6.7133333333333338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">
      <c r="A47" s="282">
        <v>149</v>
      </c>
      <c r="B47" s="63">
        <v>385.84</v>
      </c>
      <c r="C47" s="63">
        <v>12</v>
      </c>
      <c r="D47" s="63">
        <v>153.56</v>
      </c>
      <c r="E47" s="54">
        <v>0.7</v>
      </c>
      <c r="F47" s="54"/>
      <c r="G47" s="54"/>
      <c r="H47" s="54">
        <v>0.3</v>
      </c>
      <c r="I47" s="52">
        <f t="shared" si="1"/>
        <v>6.5224999999999937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">
      <c r="A48" s="282">
        <v>153</v>
      </c>
      <c r="B48" s="63">
        <v>247.84</v>
      </c>
      <c r="C48" s="63">
        <v>13</v>
      </c>
      <c r="D48" s="63">
        <v>89.29</v>
      </c>
      <c r="E48" s="54">
        <v>0.7</v>
      </c>
      <c r="F48" s="54"/>
      <c r="G48" s="54"/>
      <c r="H48" s="54">
        <v>0.3</v>
      </c>
      <c r="I48" s="52">
        <f t="shared" si="1"/>
        <v>3.8900000000000077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">
      <c r="A49" s="282">
        <v>157</v>
      </c>
      <c r="B49" s="63">
        <v>167.77</v>
      </c>
      <c r="C49" s="63">
        <v>14</v>
      </c>
      <c r="D49" s="63">
        <v>57.95</v>
      </c>
      <c r="E49" s="54">
        <v>0.7</v>
      </c>
      <c r="F49" s="54"/>
      <c r="G49" s="54"/>
      <c r="H49" s="54">
        <v>0.3</v>
      </c>
      <c r="I49" s="52">
        <f t="shared" si="1"/>
        <v>2.3049999999999997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">
      <c r="A50" s="282">
        <v>161</v>
      </c>
      <c r="B50" s="53">
        <v>115.43</v>
      </c>
      <c r="C50" s="53">
        <v>15</v>
      </c>
      <c r="D50" s="53">
        <v>115.43</v>
      </c>
      <c r="E50" s="54">
        <v>0.8</v>
      </c>
      <c r="F50" s="54"/>
      <c r="G50" s="54"/>
      <c r="H50" s="54">
        <v>0.2</v>
      </c>
      <c r="I50" s="52">
        <f t="shared" si="1"/>
        <v>1.4024999999999999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">
      <c r="A58" s="49" t="s">
        <v>166</v>
      </c>
      <c r="B58" s="55" t="str">
        <f>IF(B10="","",B10)</f>
        <v>Hêtre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32" x14ac:dyDescent="0.2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">
      <c r="A62" s="53">
        <v>18</v>
      </c>
      <c r="B62" s="63">
        <v>53</v>
      </c>
      <c r="C62" s="63">
        <v>1</v>
      </c>
      <c r="D62" s="63">
        <v>2</v>
      </c>
      <c r="E62" s="54">
        <v>0</v>
      </c>
      <c r="F62" s="54"/>
      <c r="G62" s="54"/>
      <c r="H62" s="54">
        <v>1</v>
      </c>
      <c r="I62" s="56">
        <f>IFERROR(B62/A62,"")</f>
        <v>2.9444444444444446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">
      <c r="A63" s="53">
        <v>21</v>
      </c>
      <c r="B63" s="63">
        <v>111</v>
      </c>
      <c r="C63" s="63">
        <v>2</v>
      </c>
      <c r="D63" s="63">
        <v>8</v>
      </c>
      <c r="E63" s="54">
        <v>0</v>
      </c>
      <c r="F63" s="54"/>
      <c r="G63" s="54"/>
      <c r="H63" s="54">
        <v>1</v>
      </c>
      <c r="I63" s="52">
        <f>IF(A63&lt;&gt;0,(B63-(B62-D62))/(A63-A62),"")</f>
        <v>20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">
      <c r="A64" s="53">
        <v>24</v>
      </c>
      <c r="B64" s="63">
        <v>173</v>
      </c>
      <c r="C64" s="63">
        <v>3</v>
      </c>
      <c r="D64" s="63">
        <v>47</v>
      </c>
      <c r="E64" s="54">
        <v>0</v>
      </c>
      <c r="F64" s="54"/>
      <c r="G64" s="54"/>
      <c r="H64" s="54">
        <v>1</v>
      </c>
      <c r="I64" s="52">
        <f>IF(A64&lt;&gt;0,(B64-(B63-D63))/(A64-A63),"")</f>
        <v>23.333333333333332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">
      <c r="A65" s="53">
        <v>27</v>
      </c>
      <c r="B65" s="63">
        <v>198</v>
      </c>
      <c r="C65" s="63">
        <v>4</v>
      </c>
      <c r="D65" s="63">
        <v>43</v>
      </c>
      <c r="E65" s="54">
        <v>0</v>
      </c>
      <c r="F65" s="54"/>
      <c r="G65" s="54"/>
      <c r="H65" s="54">
        <v>1</v>
      </c>
      <c r="I65" s="52">
        <f>IF(A65&lt;&gt;0,(B65-(B64-D64))/(A65-A64),"")</f>
        <v>24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">
      <c r="A66" s="53">
        <v>30</v>
      </c>
      <c r="B66" s="63">
        <v>228</v>
      </c>
      <c r="C66" s="63">
        <v>5</v>
      </c>
      <c r="D66" s="63">
        <v>48</v>
      </c>
      <c r="E66" s="54">
        <v>0.3</v>
      </c>
      <c r="F66" s="54"/>
      <c r="G66" s="54"/>
      <c r="H66" s="54">
        <v>0.7</v>
      </c>
      <c r="I66" s="52">
        <f t="shared" ref="I66:I81" si="2">IF(A66&lt;&gt;0,(B66-(B65-D65))/(A66-A65),"")</f>
        <v>24.333333333333332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">
      <c r="A67" s="53">
        <v>36</v>
      </c>
      <c r="B67" s="63">
        <v>326</v>
      </c>
      <c r="C67" s="63">
        <v>6</v>
      </c>
      <c r="D67" s="63">
        <v>92</v>
      </c>
      <c r="E67" s="54">
        <v>0.4</v>
      </c>
      <c r="F67" s="54"/>
      <c r="G67" s="54"/>
      <c r="H67" s="54">
        <v>0.6</v>
      </c>
      <c r="I67" s="52">
        <f t="shared" si="2"/>
        <v>24.333333333333332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">
      <c r="A68" s="53">
        <v>42</v>
      </c>
      <c r="B68" s="63">
        <v>367</v>
      </c>
      <c r="C68" s="63">
        <v>7</v>
      </c>
      <c r="D68" s="63">
        <v>90</v>
      </c>
      <c r="E68" s="54">
        <v>0.5</v>
      </c>
      <c r="F68" s="54"/>
      <c r="G68" s="54"/>
      <c r="H68" s="54">
        <v>0.5</v>
      </c>
      <c r="I68" s="52">
        <f t="shared" si="2"/>
        <v>22.166666666666668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">
      <c r="A69" s="53">
        <v>51</v>
      </c>
      <c r="B69" s="53">
        <v>455</v>
      </c>
      <c r="C69" s="53">
        <v>8</v>
      </c>
      <c r="D69" s="53">
        <v>119</v>
      </c>
      <c r="E69" s="54">
        <v>0.6</v>
      </c>
      <c r="F69" s="54"/>
      <c r="G69" s="54"/>
      <c r="H69" s="54">
        <v>0.4</v>
      </c>
      <c r="I69" s="52">
        <f t="shared" si="2"/>
        <v>19.777777777777779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">
      <c r="A70" s="53">
        <v>63</v>
      </c>
      <c r="B70" s="53">
        <v>525</v>
      </c>
      <c r="C70" s="53">
        <v>9</v>
      </c>
      <c r="D70" s="53">
        <v>124</v>
      </c>
      <c r="E70" s="54">
        <v>0.7</v>
      </c>
      <c r="F70" s="54"/>
      <c r="G70" s="54"/>
      <c r="H70" s="54">
        <v>0.3</v>
      </c>
      <c r="I70" s="52">
        <f t="shared" si="2"/>
        <v>15.75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">
      <c r="A71" s="53">
        <v>90</v>
      </c>
      <c r="B71" s="53">
        <v>705</v>
      </c>
      <c r="C71" s="53">
        <v>10</v>
      </c>
      <c r="D71" s="53">
        <v>705</v>
      </c>
      <c r="E71" s="54">
        <v>0.8</v>
      </c>
      <c r="F71" s="54"/>
      <c r="G71" s="54"/>
      <c r="H71" s="54">
        <v>0.2</v>
      </c>
      <c r="I71" s="52">
        <f t="shared" si="2"/>
        <v>11.25925925925926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">
      <c r="A84" s="49" t="s">
        <v>167</v>
      </c>
      <c r="B84" s="55" t="str">
        <f>IF(B11="","",B11)</f>
        <v>Erable sycomore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32" x14ac:dyDescent="0.2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">
      <c r="A88" s="53">
        <v>15</v>
      </c>
      <c r="B88" s="63">
        <v>37</v>
      </c>
      <c r="C88" s="63">
        <v>1</v>
      </c>
      <c r="D88" s="63">
        <v>15</v>
      </c>
      <c r="E88" s="54">
        <v>0</v>
      </c>
      <c r="F88" s="54"/>
      <c r="G88" s="54"/>
      <c r="H88" s="93">
        <v>1</v>
      </c>
      <c r="I88" s="56">
        <f>IFERROR(B88/A88,"")</f>
        <v>2.4666666666666668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">
      <c r="A89" s="53">
        <v>20</v>
      </c>
      <c r="B89" s="63">
        <v>80</v>
      </c>
      <c r="C89" s="63">
        <v>2</v>
      </c>
      <c r="D89" s="63">
        <v>28</v>
      </c>
      <c r="E89" s="54">
        <v>0</v>
      </c>
      <c r="F89" s="54"/>
      <c r="G89" s="54"/>
      <c r="H89" s="93">
        <v>1</v>
      </c>
      <c r="I89" s="56">
        <f t="shared" ref="I89:I107" si="3">IF(A89&lt;&gt;0,(B89-(B88-D88))/(A89-A88),"")</f>
        <v>11.6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">
      <c r="A90" s="53">
        <v>25</v>
      </c>
      <c r="B90" s="63">
        <v>115</v>
      </c>
      <c r="C90" s="63">
        <v>3</v>
      </c>
      <c r="D90" s="63">
        <v>28</v>
      </c>
      <c r="E90" s="93">
        <v>0</v>
      </c>
      <c r="F90" s="93"/>
      <c r="G90" s="93"/>
      <c r="H90" s="93">
        <v>1</v>
      </c>
      <c r="I90" s="56">
        <f t="shared" si="3"/>
        <v>12.6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">
      <c r="A91" s="53">
        <v>30</v>
      </c>
      <c r="B91" s="63">
        <v>146</v>
      </c>
      <c r="C91" s="63">
        <v>4</v>
      </c>
      <c r="D91" s="63">
        <v>28</v>
      </c>
      <c r="E91" s="93">
        <v>0</v>
      </c>
      <c r="F91" s="93"/>
      <c r="G91" s="93"/>
      <c r="H91" s="93">
        <v>1</v>
      </c>
      <c r="I91" s="56">
        <f t="shared" si="3"/>
        <v>11.8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">
      <c r="A92" s="53">
        <v>35</v>
      </c>
      <c r="B92" s="63">
        <v>172</v>
      </c>
      <c r="C92" s="63">
        <v>5</v>
      </c>
      <c r="D92" s="63">
        <v>28</v>
      </c>
      <c r="E92" s="93">
        <v>0.2</v>
      </c>
      <c r="F92" s="93"/>
      <c r="G92" s="93"/>
      <c r="H92" s="93">
        <v>0.8</v>
      </c>
      <c r="I92" s="56">
        <f t="shared" si="3"/>
        <v>10.8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">
      <c r="A93" s="53">
        <v>40</v>
      </c>
      <c r="B93" s="63">
        <v>192</v>
      </c>
      <c r="C93" s="63">
        <v>6</v>
      </c>
      <c r="D93" s="63">
        <v>28</v>
      </c>
      <c r="E93" s="93">
        <v>0.3</v>
      </c>
      <c r="F93" s="93"/>
      <c r="G93" s="93"/>
      <c r="H93" s="93">
        <v>0.7</v>
      </c>
      <c r="I93" s="56">
        <f t="shared" si="3"/>
        <v>9.6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">
      <c r="A94" s="53">
        <v>45</v>
      </c>
      <c r="B94" s="63">
        <v>205</v>
      </c>
      <c r="C94" s="63">
        <v>7</v>
      </c>
      <c r="D94" s="63">
        <v>22</v>
      </c>
      <c r="E94" s="93">
        <v>0.4</v>
      </c>
      <c r="F94" s="93"/>
      <c r="G94" s="93"/>
      <c r="H94" s="93">
        <v>0.6</v>
      </c>
      <c r="I94" s="56">
        <f t="shared" si="3"/>
        <v>8.1999999999999993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">
      <c r="A95" s="63">
        <v>50</v>
      </c>
      <c r="B95" s="63">
        <v>219</v>
      </c>
      <c r="C95" s="63">
        <v>8</v>
      </c>
      <c r="D95" s="63">
        <v>17</v>
      </c>
      <c r="E95" s="93">
        <v>0.5</v>
      </c>
      <c r="F95" s="93"/>
      <c r="G95" s="93"/>
      <c r="H95" s="93">
        <v>0.5</v>
      </c>
      <c r="I95" s="56">
        <f t="shared" si="3"/>
        <v>7.2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">
      <c r="A96" s="63">
        <v>55</v>
      </c>
      <c r="B96" s="63">
        <v>232</v>
      </c>
      <c r="C96" s="63">
        <v>9</v>
      </c>
      <c r="D96" s="63">
        <v>13</v>
      </c>
      <c r="E96" s="93">
        <v>0.5</v>
      </c>
      <c r="F96" s="93"/>
      <c r="G96" s="93"/>
      <c r="H96" s="93">
        <v>0.5</v>
      </c>
      <c r="I96" s="56">
        <f t="shared" si="3"/>
        <v>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">
      <c r="A97" s="63">
        <v>60</v>
      </c>
      <c r="B97" s="63">
        <v>245</v>
      </c>
      <c r="C97" s="63">
        <v>10</v>
      </c>
      <c r="D97" s="63">
        <v>12</v>
      </c>
      <c r="E97" s="93">
        <v>0.6</v>
      </c>
      <c r="F97" s="93"/>
      <c r="G97" s="93"/>
      <c r="H97" s="93">
        <v>0.4</v>
      </c>
      <c r="I97" s="56">
        <f t="shared" si="3"/>
        <v>5.2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">
      <c r="A98" s="63">
        <v>65</v>
      </c>
      <c r="B98" s="63">
        <v>255</v>
      </c>
      <c r="C98" s="63">
        <v>11</v>
      </c>
      <c r="D98" s="63">
        <v>11</v>
      </c>
      <c r="E98" s="93">
        <v>0.6</v>
      </c>
      <c r="F98" s="93"/>
      <c r="G98" s="93"/>
      <c r="H98" s="93">
        <v>0.4</v>
      </c>
      <c r="I98" s="56">
        <f t="shared" si="3"/>
        <v>4.4000000000000004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">
      <c r="A99" s="63">
        <v>70</v>
      </c>
      <c r="B99" s="63">
        <v>263</v>
      </c>
      <c r="C99" s="63">
        <v>12</v>
      </c>
      <c r="D99" s="63">
        <v>10</v>
      </c>
      <c r="E99" s="93">
        <v>0.7</v>
      </c>
      <c r="F99" s="93"/>
      <c r="G99" s="93"/>
      <c r="H99" s="93">
        <v>0.3</v>
      </c>
      <c r="I99" s="56">
        <f t="shared" si="3"/>
        <v>3.8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">
      <c r="A100" s="63">
        <v>75</v>
      </c>
      <c r="B100" s="63">
        <v>270</v>
      </c>
      <c r="C100" s="63">
        <v>13</v>
      </c>
      <c r="D100" s="63">
        <v>9</v>
      </c>
      <c r="E100" s="68">
        <v>0.7</v>
      </c>
      <c r="F100" s="68"/>
      <c r="G100" s="68"/>
      <c r="H100" s="68">
        <v>0.3</v>
      </c>
      <c r="I100" s="56">
        <f t="shared" si="3"/>
        <v>3.4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">
      <c r="A101" s="63">
        <v>80</v>
      </c>
      <c r="B101" s="63">
        <v>275</v>
      </c>
      <c r="C101" s="63">
        <v>14</v>
      </c>
      <c r="D101" s="63">
        <v>275</v>
      </c>
      <c r="E101" s="68">
        <v>0.8</v>
      </c>
      <c r="F101" s="68"/>
      <c r="G101" s="68"/>
      <c r="H101" s="68">
        <v>0.2</v>
      </c>
      <c r="I101" s="56">
        <f t="shared" si="3"/>
        <v>2.8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">
      <c r="A110" s="49" t="s">
        <v>168</v>
      </c>
      <c r="B110" s="55" t="str">
        <f>IF(B12="","",B12)</f>
        <v>Merisier</v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32" x14ac:dyDescent="0.2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">
      <c r="A114" s="53">
        <v>15</v>
      </c>
      <c r="B114" s="63">
        <v>25.64</v>
      </c>
      <c r="C114" s="53">
        <v>1</v>
      </c>
      <c r="D114" s="63">
        <v>1.92</v>
      </c>
      <c r="E114" s="54">
        <v>0</v>
      </c>
      <c r="F114" s="54"/>
      <c r="G114" s="54"/>
      <c r="H114" s="54">
        <v>1</v>
      </c>
      <c r="I114" s="56">
        <f>IFERROR(B114/A114,"")</f>
        <v>1.7093333333333334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">
      <c r="A115" s="53">
        <v>20</v>
      </c>
      <c r="B115" s="63">
        <v>54.49</v>
      </c>
      <c r="C115" s="53">
        <v>2</v>
      </c>
      <c r="D115" s="63">
        <v>16.03</v>
      </c>
      <c r="E115" s="54">
        <v>0</v>
      </c>
      <c r="F115" s="54"/>
      <c r="G115" s="54"/>
      <c r="H115" s="54">
        <v>1</v>
      </c>
      <c r="I115" s="56">
        <f t="shared" ref="I115:I133" si="4">IF(A115&lt;&gt;0,(B115-(B114-D114))/(A115-A114),"")</f>
        <v>6.1540000000000008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">
      <c r="A116" s="53">
        <v>25</v>
      </c>
      <c r="B116" s="63">
        <v>72.44</v>
      </c>
      <c r="C116" s="53">
        <v>3</v>
      </c>
      <c r="D116" s="63">
        <v>17.309999999999999</v>
      </c>
      <c r="E116" s="54">
        <v>0</v>
      </c>
      <c r="F116" s="54"/>
      <c r="G116" s="54"/>
      <c r="H116" s="54">
        <v>1</v>
      </c>
      <c r="I116" s="56">
        <f t="shared" si="4"/>
        <v>6.7959999999999994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">
      <c r="A117" s="53">
        <v>31</v>
      </c>
      <c r="B117" s="63">
        <v>99.36</v>
      </c>
      <c r="C117" s="53">
        <v>4</v>
      </c>
      <c r="D117" s="63">
        <v>23.08</v>
      </c>
      <c r="E117" s="54">
        <v>0.3</v>
      </c>
      <c r="F117" s="54"/>
      <c r="G117" s="54"/>
      <c r="H117" s="54">
        <v>0.7</v>
      </c>
      <c r="I117" s="56">
        <f t="shared" si="4"/>
        <v>7.371666666666667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">
      <c r="A118" s="53">
        <v>37</v>
      </c>
      <c r="B118" s="63">
        <v>120.51</v>
      </c>
      <c r="C118" s="53">
        <v>5</v>
      </c>
      <c r="D118" s="63">
        <v>23.08</v>
      </c>
      <c r="E118" s="54">
        <v>0.4</v>
      </c>
      <c r="F118" s="54"/>
      <c r="G118" s="54"/>
      <c r="H118" s="54">
        <v>0.6</v>
      </c>
      <c r="I118" s="56">
        <f t="shared" si="4"/>
        <v>7.371666666666667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">
      <c r="A119" s="53">
        <v>44</v>
      </c>
      <c r="B119" s="63">
        <v>147.44</v>
      </c>
      <c r="C119" s="53">
        <v>6</v>
      </c>
      <c r="D119" s="63">
        <v>27.56</v>
      </c>
      <c r="E119" s="54">
        <v>0.5</v>
      </c>
      <c r="F119" s="54"/>
      <c r="G119" s="54"/>
      <c r="H119" s="54">
        <v>0.5</v>
      </c>
      <c r="I119" s="56">
        <f t="shared" si="4"/>
        <v>7.1442857142857132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">
      <c r="A120" s="63">
        <v>52</v>
      </c>
      <c r="B120" s="63">
        <v>173.08</v>
      </c>
      <c r="C120" s="63">
        <v>7</v>
      </c>
      <c r="D120" s="63">
        <v>30.77</v>
      </c>
      <c r="E120" s="93">
        <v>0.6</v>
      </c>
      <c r="F120" s="93"/>
      <c r="G120" s="93"/>
      <c r="H120" s="93">
        <v>0.4</v>
      </c>
      <c r="I120" s="56">
        <f t="shared" si="4"/>
        <v>6.6500000000000021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">
      <c r="A121" s="63">
        <v>60</v>
      </c>
      <c r="B121" s="63">
        <v>190.38</v>
      </c>
      <c r="C121" s="63">
        <v>8</v>
      </c>
      <c r="D121" s="63">
        <v>30.13</v>
      </c>
      <c r="E121" s="93">
        <v>0.7</v>
      </c>
      <c r="F121" s="93"/>
      <c r="G121" s="93"/>
      <c r="H121" s="93">
        <v>0.3</v>
      </c>
      <c r="I121" s="56">
        <f t="shared" si="4"/>
        <v>6.0087499999999991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">
      <c r="A122" s="63">
        <v>69</v>
      </c>
      <c r="B122" s="63">
        <v>210.26</v>
      </c>
      <c r="C122" s="63">
        <v>9</v>
      </c>
      <c r="D122" s="63">
        <v>210.26</v>
      </c>
      <c r="E122" s="93">
        <v>0.8</v>
      </c>
      <c r="F122" s="93"/>
      <c r="G122" s="93"/>
      <c r="H122" s="93">
        <v>0.2</v>
      </c>
      <c r="I122" s="56">
        <f t="shared" si="4"/>
        <v>5.5566666666666658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">
      <c r="A136" s="49" t="s">
        <v>169</v>
      </c>
      <c r="B136" s="55" t="str">
        <f>IF(B13="","",B13)</f>
        <v>Mélèze hybride</v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32" x14ac:dyDescent="0.2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">
      <c r="A140" s="53">
        <v>10</v>
      </c>
      <c r="B140" s="63">
        <v>36</v>
      </c>
      <c r="C140" s="53">
        <v>1</v>
      </c>
      <c r="D140" s="63">
        <v>0</v>
      </c>
      <c r="E140" s="54">
        <v>0</v>
      </c>
      <c r="F140" s="54">
        <v>0.56000000000000005</v>
      </c>
      <c r="G140" s="54">
        <v>0.44</v>
      </c>
      <c r="H140" s="54"/>
      <c r="I140" s="60">
        <f>IFERROR(B140/A140,"")</f>
        <v>3.6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">
      <c r="A141" s="53">
        <v>15</v>
      </c>
      <c r="B141" s="63">
        <v>98</v>
      </c>
      <c r="C141" s="53">
        <v>2</v>
      </c>
      <c r="D141" s="63">
        <v>39</v>
      </c>
      <c r="E141" s="54">
        <v>0</v>
      </c>
      <c r="F141" s="54">
        <v>0.56000000000000005</v>
      </c>
      <c r="G141" s="54">
        <v>0.44</v>
      </c>
      <c r="H141" s="54"/>
      <c r="I141" s="60">
        <f t="shared" ref="I141:I159" si="5">IF(A141&lt;&gt;0,(B141-(B140-D140))/(A141-A140),"")</f>
        <v>12.4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">
      <c r="A142" s="53">
        <v>20</v>
      </c>
      <c r="B142" s="63">
        <v>138</v>
      </c>
      <c r="C142" s="53">
        <v>3</v>
      </c>
      <c r="D142" s="63">
        <v>42</v>
      </c>
      <c r="E142" s="54">
        <v>0.2</v>
      </c>
      <c r="F142" s="54">
        <v>0.45</v>
      </c>
      <c r="G142" s="54">
        <v>0.35</v>
      </c>
      <c r="H142" s="54"/>
      <c r="I142" s="60">
        <f t="shared" si="5"/>
        <v>15.8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">
      <c r="A143" s="53">
        <v>25</v>
      </c>
      <c r="B143" s="63">
        <v>180</v>
      </c>
      <c r="C143" s="53">
        <v>4</v>
      </c>
      <c r="D143" s="63">
        <v>42</v>
      </c>
      <c r="E143" s="54">
        <v>0.2</v>
      </c>
      <c r="F143" s="54">
        <v>0.45</v>
      </c>
      <c r="G143" s="54">
        <v>0.35</v>
      </c>
      <c r="H143" s="54"/>
      <c r="I143" s="60">
        <f t="shared" si="5"/>
        <v>16.8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">
      <c r="A144" s="53">
        <v>30</v>
      </c>
      <c r="B144" s="63">
        <v>218</v>
      </c>
      <c r="C144" s="53">
        <v>5</v>
      </c>
      <c r="D144" s="63">
        <v>42</v>
      </c>
      <c r="E144" s="54">
        <v>0.3</v>
      </c>
      <c r="F144" s="54">
        <f>(1-E144)*0.56</f>
        <v>0.39200000000000002</v>
      </c>
      <c r="G144" s="54">
        <f>1-E144-F144</f>
        <v>0.30799999999999994</v>
      </c>
      <c r="H144" s="54"/>
      <c r="I144" s="60">
        <f t="shared" si="5"/>
        <v>16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">
      <c r="A145" s="53">
        <v>35</v>
      </c>
      <c r="B145" s="63">
        <v>248</v>
      </c>
      <c r="C145" s="53">
        <v>6</v>
      </c>
      <c r="D145" s="63">
        <v>42</v>
      </c>
      <c r="E145" s="54">
        <v>0.4</v>
      </c>
      <c r="F145" s="54">
        <v>0.34</v>
      </c>
      <c r="G145" s="54">
        <v>0.26</v>
      </c>
      <c r="H145" s="54"/>
      <c r="I145" s="60">
        <f t="shared" si="5"/>
        <v>14.4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">
      <c r="A146" s="53">
        <v>40</v>
      </c>
      <c r="B146" s="63">
        <v>272</v>
      </c>
      <c r="C146" s="53">
        <v>7</v>
      </c>
      <c r="D146" s="63">
        <v>38</v>
      </c>
      <c r="E146" s="54">
        <v>0.4</v>
      </c>
      <c r="F146" s="54">
        <v>0.34</v>
      </c>
      <c r="G146" s="54">
        <v>0.26</v>
      </c>
      <c r="H146" s="54"/>
      <c r="I146" s="60">
        <f t="shared" si="5"/>
        <v>13.2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">
      <c r="A147" s="53">
        <v>45</v>
      </c>
      <c r="B147" s="63">
        <v>293</v>
      </c>
      <c r="C147" s="53">
        <v>8</v>
      </c>
      <c r="D147" s="63">
        <v>34</v>
      </c>
      <c r="E147" s="54">
        <v>0.5</v>
      </c>
      <c r="F147" s="54">
        <v>0.28000000000000003</v>
      </c>
      <c r="G147" s="54">
        <v>0.21999999999999997</v>
      </c>
      <c r="H147" s="54"/>
      <c r="I147" s="60">
        <f>IF(A147&lt;&gt;0,(B147-(B146-D146))/(A147-A146),"")</f>
        <v>11.8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">
      <c r="A148" s="53">
        <v>50</v>
      </c>
      <c r="B148" s="63">
        <v>315</v>
      </c>
      <c r="C148" s="53">
        <v>9</v>
      </c>
      <c r="D148" s="63">
        <v>31</v>
      </c>
      <c r="E148" s="54">
        <v>0.5</v>
      </c>
      <c r="F148" s="54">
        <v>0.28000000000000003</v>
      </c>
      <c r="G148" s="54">
        <v>0.21999999999999997</v>
      </c>
      <c r="H148" s="54"/>
      <c r="I148" s="60">
        <f t="shared" si="5"/>
        <v>11.2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">
      <c r="A149" s="53">
        <v>55</v>
      </c>
      <c r="B149" s="63">
        <v>335</v>
      </c>
      <c r="C149" s="53">
        <v>10</v>
      </c>
      <c r="D149" s="63">
        <v>29</v>
      </c>
      <c r="E149" s="54">
        <v>0.6</v>
      </c>
      <c r="F149" s="54">
        <v>0.22</v>
      </c>
      <c r="G149" s="54">
        <v>0.18</v>
      </c>
      <c r="H149" s="54"/>
      <c r="I149" s="60">
        <f t="shared" si="5"/>
        <v>10.199999999999999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">
      <c r="A150" s="53">
        <v>60</v>
      </c>
      <c r="B150" s="63">
        <v>353</v>
      </c>
      <c r="C150" s="53">
        <v>11</v>
      </c>
      <c r="D150" s="63">
        <v>27</v>
      </c>
      <c r="E150" s="54">
        <v>0.6</v>
      </c>
      <c r="F150" s="54">
        <v>0.22</v>
      </c>
      <c r="G150" s="54">
        <v>0.18</v>
      </c>
      <c r="H150" s="54"/>
      <c r="I150" s="60">
        <f t="shared" si="5"/>
        <v>9.4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">
      <c r="A151" s="53">
        <v>65</v>
      </c>
      <c r="B151" s="63">
        <v>370</v>
      </c>
      <c r="C151" s="53">
        <v>12</v>
      </c>
      <c r="D151" s="63">
        <v>26</v>
      </c>
      <c r="E151" s="54">
        <v>0.7</v>
      </c>
      <c r="F151" s="54">
        <v>0.16800000000000004</v>
      </c>
      <c r="G151" s="54">
        <v>0.13200000000000001</v>
      </c>
      <c r="H151" s="54"/>
      <c r="I151" s="60">
        <f t="shared" si="5"/>
        <v>8.8000000000000007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">
      <c r="A152" s="53">
        <v>70</v>
      </c>
      <c r="B152" s="63">
        <v>385</v>
      </c>
      <c r="C152" s="53">
        <v>13</v>
      </c>
      <c r="D152" s="63">
        <v>26</v>
      </c>
      <c r="E152" s="57">
        <v>0.7</v>
      </c>
      <c r="F152" s="57">
        <v>0.16800000000000004</v>
      </c>
      <c r="G152" s="57">
        <v>0.13200000000000001</v>
      </c>
      <c r="H152" s="57"/>
      <c r="I152" s="60">
        <f t="shared" si="5"/>
        <v>8.1999999999999993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">
      <c r="A153" s="53">
        <v>75</v>
      </c>
      <c r="B153" s="63">
        <v>398</v>
      </c>
      <c r="C153" s="53">
        <v>14</v>
      </c>
      <c r="D153" s="63">
        <v>26</v>
      </c>
      <c r="E153" s="57">
        <v>0.8</v>
      </c>
      <c r="F153" s="57">
        <v>0.11</v>
      </c>
      <c r="G153" s="57">
        <v>0.09</v>
      </c>
      <c r="H153" s="57"/>
      <c r="I153" s="60">
        <f t="shared" si="5"/>
        <v>7.8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">
      <c r="A154" s="58">
        <v>80</v>
      </c>
      <c r="B154" s="59">
        <v>407</v>
      </c>
      <c r="C154" s="53">
        <v>15</v>
      </c>
      <c r="D154" s="53">
        <v>407</v>
      </c>
      <c r="E154" s="57">
        <v>0.8</v>
      </c>
      <c r="F154" s="57">
        <v>0.11</v>
      </c>
      <c r="G154" s="57">
        <v>0.09</v>
      </c>
      <c r="H154" s="57"/>
      <c r="I154" s="60">
        <f t="shared" si="5"/>
        <v>7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">
      <c r="A162" s="49" t="s">
        <v>170</v>
      </c>
      <c r="B162" s="55" t="str">
        <f>IF(B14="","",B14)</f>
        <v/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32" x14ac:dyDescent="0.2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">
      <c r="A188" s="49" t="s">
        <v>171</v>
      </c>
      <c r="B188" s="55" t="str">
        <f>IF(B15="","",B15)</f>
        <v/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32" x14ac:dyDescent="0.2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">
      <c r="A214" s="49" t="s">
        <v>172</v>
      </c>
      <c r="B214" s="55" t="str">
        <f>IF(B16="","",B16)</f>
        <v/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32" x14ac:dyDescent="0.2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">
      <c r="A240" s="49" t="s">
        <v>173</v>
      </c>
      <c r="B240" s="55" t="str">
        <f>IF(B17="","",B17)</f>
        <v/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32" x14ac:dyDescent="0.2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">
      <c r="A266" s="49" t="s">
        <v>174</v>
      </c>
      <c r="B266" s="55" t="str">
        <f>IF(B18="","",B18)</f>
        <v/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32" x14ac:dyDescent="0.2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disablePrompts="1"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24" sqref="G24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35">
      <c r="A2" s="5"/>
      <c r="B2" s="307" t="s">
        <v>191</v>
      </c>
      <c r="C2" s="308"/>
      <c r="D2" s="308"/>
      <c r="E2" s="308"/>
      <c r="F2" s="308"/>
      <c r="G2" s="30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">
      <c r="A4" s="5"/>
      <c r="B4" s="306"/>
      <c r="C4" s="306"/>
      <c r="D4" s="306"/>
      <c r="E4" s="306"/>
      <c r="F4" s="306"/>
      <c r="G4" s="30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">
      <c r="A17" s="25"/>
      <c r="B17" s="64">
        <v>1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">
      <c r="C104" s="5"/>
      <c r="F104" s="5"/>
    </row>
    <row r="105" spans="3:35" x14ac:dyDescent="0.2">
      <c r="C105" s="5"/>
      <c r="F105" s="5"/>
    </row>
    <row r="106" spans="3:35" x14ac:dyDescent="0.2">
      <c r="C106" s="5"/>
      <c r="F106" s="5"/>
    </row>
    <row r="107" spans="3:35" x14ac:dyDescent="0.2">
      <c r="C107" s="5"/>
      <c r="F107" s="5"/>
    </row>
    <row r="108" spans="3:35" x14ac:dyDescent="0.2">
      <c r="C108" s="5"/>
      <c r="F108" s="5"/>
    </row>
    <row r="109" spans="3:35" x14ac:dyDescent="0.2">
      <c r="C109" s="5"/>
      <c r="F109" s="5"/>
    </row>
    <row r="110" spans="3:35" x14ac:dyDescent="0.2">
      <c r="C110" s="5"/>
      <c r="F110" s="5"/>
    </row>
    <row r="111" spans="3:35" x14ac:dyDescent="0.2">
      <c r="C111" s="5"/>
      <c r="F111" s="5"/>
    </row>
    <row r="112" spans="3:35" x14ac:dyDescent="0.2">
      <c r="C112" s="5"/>
      <c r="F112" s="5"/>
    </row>
    <row r="113" spans="3:6" x14ac:dyDescent="0.2">
      <c r="C113" s="5"/>
      <c r="F113" s="5"/>
    </row>
    <row r="114" spans="3:6" x14ac:dyDescent="0.2">
      <c r="C114" s="5"/>
      <c r="F114" s="5"/>
    </row>
    <row r="115" spans="3:6" x14ac:dyDescent="0.2">
      <c r="C115" s="5"/>
      <c r="F115" s="5"/>
    </row>
    <row r="116" spans="3:6" x14ac:dyDescent="0.2">
      <c r="C116" s="5"/>
      <c r="F116" s="5"/>
    </row>
    <row r="117" spans="3:6" x14ac:dyDescent="0.2">
      <c r="C117" s="5"/>
      <c r="F117" s="5"/>
    </row>
    <row r="118" spans="3:6" x14ac:dyDescent="0.2">
      <c r="C118" s="5"/>
      <c r="F118" s="5"/>
    </row>
    <row r="119" spans="3:6" x14ac:dyDescent="0.2">
      <c r="C119" s="5"/>
      <c r="F119" s="5"/>
    </row>
    <row r="120" spans="3:6" x14ac:dyDescent="0.2">
      <c r="C120" s="5"/>
      <c r="F120" s="5"/>
    </row>
    <row r="121" spans="3:6" x14ac:dyDescent="0.2">
      <c r="C121" s="5"/>
      <c r="F121" s="5"/>
    </row>
    <row r="122" spans="3:6" x14ac:dyDescent="0.2">
      <c r="C122" s="5"/>
      <c r="F122" s="5"/>
    </row>
    <row r="123" spans="3:6" x14ac:dyDescent="0.2">
      <c r="C123" s="5"/>
      <c r="F123" s="5"/>
    </row>
    <row r="124" spans="3:6" x14ac:dyDescent="0.2">
      <c r="C124" s="5"/>
      <c r="F124" s="5"/>
    </row>
    <row r="125" spans="3:6" x14ac:dyDescent="0.2">
      <c r="C125" s="5"/>
      <c r="F125" s="5"/>
    </row>
    <row r="126" spans="3:6" x14ac:dyDescent="0.2">
      <c r="C126" s="5"/>
      <c r="F126" s="5"/>
    </row>
    <row r="127" spans="3:6" x14ac:dyDescent="0.2">
      <c r="C127" s="5"/>
      <c r="F127" s="5"/>
    </row>
    <row r="128" spans="3:6" x14ac:dyDescent="0.2">
      <c r="C128" s="5"/>
      <c r="F128" s="5"/>
    </row>
    <row r="129" spans="3:6" x14ac:dyDescent="0.2">
      <c r="C129" s="5"/>
      <c r="F129" s="5"/>
    </row>
    <row r="130" spans="3:6" x14ac:dyDescent="0.2">
      <c r="C130" s="5"/>
      <c r="F130" s="5"/>
    </row>
    <row r="131" spans="3:6" x14ac:dyDescent="0.2">
      <c r="C131" s="5"/>
      <c r="F131" s="5"/>
    </row>
    <row r="132" spans="3:6" x14ac:dyDescent="0.2">
      <c r="F132" s="5"/>
    </row>
    <row r="133" spans="3:6" x14ac:dyDescent="0.2">
      <c r="F133" s="5"/>
    </row>
    <row r="134" spans="3:6" x14ac:dyDescent="0.2">
      <c r="F134" s="5"/>
    </row>
    <row r="135" spans="3:6" x14ac:dyDescent="0.2">
      <c r="F135" s="5"/>
    </row>
    <row r="136" spans="3:6" x14ac:dyDescent="0.2">
      <c r="F136" s="5"/>
    </row>
    <row r="137" spans="3:6" x14ac:dyDescent="0.2">
      <c r="F137" s="5"/>
    </row>
    <row r="138" spans="3:6" x14ac:dyDescent="0.2">
      <c r="F138" s="5"/>
    </row>
    <row r="139" spans="3:6" x14ac:dyDescent="0.2">
      <c r="F139" s="5"/>
    </row>
    <row r="140" spans="3:6" x14ac:dyDescent="0.2">
      <c r="F140" s="5"/>
    </row>
    <row r="141" spans="3:6" x14ac:dyDescent="0.2">
      <c r="F141" s="5"/>
    </row>
    <row r="142" spans="3:6" x14ac:dyDescent="0.2">
      <c r="F142" s="5"/>
    </row>
    <row r="143" spans="3:6" x14ac:dyDescent="0.2">
      <c r="F143" s="5"/>
    </row>
    <row r="144" spans="3:6" x14ac:dyDescent="0.2">
      <c r="F144" s="5"/>
    </row>
    <row r="145" spans="6:6" x14ac:dyDescent="0.2">
      <c r="F145" s="5"/>
    </row>
    <row r="146" spans="6:6" x14ac:dyDescent="0.2">
      <c r="F146" s="5"/>
    </row>
    <row r="147" spans="6:6" x14ac:dyDescent="0.2">
      <c r="F147" s="5"/>
    </row>
    <row r="148" spans="6:6" x14ac:dyDescent="0.2">
      <c r="F148" s="5"/>
    </row>
    <row r="149" spans="6:6" x14ac:dyDescent="0.2">
      <c r="F149" s="5"/>
    </row>
    <row r="150" spans="6:6" x14ac:dyDescent="0.2">
      <c r="F150" s="5"/>
    </row>
    <row r="151" spans="6:6" x14ac:dyDescent="0.2">
      <c r="F151" s="5"/>
    </row>
    <row r="152" spans="6:6" x14ac:dyDescent="0.2">
      <c r="F152" s="5"/>
    </row>
    <row r="153" spans="6:6" x14ac:dyDescent="0.2">
      <c r="F153" s="5"/>
    </row>
    <row r="154" spans="6:6" x14ac:dyDescent="0.2">
      <c r="F154" s="5"/>
    </row>
    <row r="155" spans="6:6" x14ac:dyDescent="0.2">
      <c r="F155" s="5"/>
    </row>
    <row r="156" spans="6:6" x14ac:dyDescent="0.2">
      <c r="F156" s="5"/>
    </row>
    <row r="157" spans="6:6" x14ac:dyDescent="0.2">
      <c r="F157" s="5"/>
    </row>
    <row r="158" spans="6:6" x14ac:dyDescent="0.2">
      <c r="F158" s="5"/>
    </row>
    <row r="159" spans="6:6" x14ac:dyDescent="0.2">
      <c r="F159" s="5"/>
    </row>
    <row r="160" spans="6:6" x14ac:dyDescent="0.2">
      <c r="F160" s="5"/>
    </row>
    <row r="161" spans="6:6" x14ac:dyDescent="0.2">
      <c r="F161" s="5"/>
    </row>
    <row r="162" spans="6:6" x14ac:dyDescent="0.2">
      <c r="F162" s="5"/>
    </row>
    <row r="163" spans="6:6" x14ac:dyDescent="0.2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71" bestFit="1" customWidth="1"/>
    <col min="2" max="4" width="11.5" style="71"/>
    <col min="5" max="5" width="9.5" style="71" customWidth="1"/>
    <col min="6" max="7" width="11.5" style="71"/>
    <col min="8" max="8" width="10.6640625" style="71" customWidth="1"/>
    <col min="9" max="9" width="9.5" style="71" customWidth="1"/>
    <col min="10" max="11" width="10.5" style="71" bestFit="1" customWidth="1"/>
    <col min="12" max="12" width="14" style="71" bestFit="1" customWidth="1"/>
    <col min="13" max="13" width="14" style="71" customWidth="1"/>
    <col min="14" max="23" width="11.5" style="71"/>
    <col min="24" max="24" width="11.6640625" style="71" bestFit="1" customWidth="1"/>
    <col min="25" max="25" width="14.5" style="71" bestFit="1" customWidth="1"/>
    <col min="26" max="26" width="12.5" style="71" bestFit="1" customWidth="1"/>
    <col min="27" max="27" width="9.6640625" style="71" bestFit="1" customWidth="1"/>
    <col min="28" max="28" width="11" style="71" bestFit="1" customWidth="1"/>
    <col min="29" max="29" width="9.5" style="71" bestFit="1" customWidth="1"/>
    <col min="30" max="31" width="9.5" style="71" customWidth="1"/>
    <col min="32" max="32" width="11.5" style="71"/>
    <col min="33" max="34" width="14" style="71" bestFit="1" customWidth="1"/>
    <col min="35" max="35" width="10.5" style="71" bestFit="1" customWidth="1"/>
    <col min="36" max="36" width="9.5" style="71" bestFit="1" customWidth="1"/>
    <col min="37" max="38" width="10.5" style="71" bestFit="1" customWidth="1"/>
    <col min="39" max="41" width="10.5" style="71" customWidth="1"/>
    <col min="42" max="42" width="9" style="71" bestFit="1" customWidth="1"/>
    <col min="43" max="43" width="10.5" style="71" bestFit="1" customWidth="1"/>
    <col min="44" max="44" width="9.33203125" style="71" bestFit="1" customWidth="1"/>
    <col min="45" max="45" width="11.6640625" style="71" bestFit="1" customWidth="1"/>
    <col min="46" max="46" width="8.5" style="71" bestFit="1" customWidth="1"/>
    <col min="47" max="47" width="9.5" style="71" bestFit="1" customWidth="1"/>
    <col min="48" max="48" width="9.6640625" style="71" bestFit="1" customWidth="1"/>
    <col min="49" max="49" width="11" style="71" bestFit="1" customWidth="1"/>
    <col min="50" max="50" width="9.5" style="71" bestFit="1" customWidth="1"/>
    <col min="51" max="52" width="9.5" style="71" customWidth="1"/>
    <col min="53" max="53" width="10.5" style="71" bestFit="1" customWidth="1"/>
    <col min="54" max="54" width="14.33203125" style="71" customWidth="1"/>
    <col min="55" max="55" width="14" style="71" customWidth="1"/>
    <col min="56" max="56" width="10.5" style="71" bestFit="1" customWidth="1"/>
    <col min="57" max="57" width="9.5" style="71" bestFit="1" customWidth="1"/>
    <col min="58" max="59" width="10.5" style="71" bestFit="1" customWidth="1"/>
    <col min="60" max="62" width="10.5" style="71" customWidth="1"/>
    <col min="63" max="63" width="9" style="71" bestFit="1" customWidth="1"/>
    <col min="64" max="64" width="10.5" style="71" bestFit="1" customWidth="1"/>
    <col min="65" max="65" width="9.33203125" style="71" bestFit="1" customWidth="1"/>
    <col min="66" max="66" width="11.6640625" style="71" bestFit="1" customWidth="1"/>
    <col min="67" max="67" width="8.5" style="71" bestFit="1" customWidth="1"/>
    <col min="68" max="68" width="9.5" style="71" bestFit="1" customWidth="1"/>
    <col min="69" max="69" width="9.6640625" style="71" bestFit="1" customWidth="1"/>
    <col min="70" max="70" width="11" style="71" bestFit="1" customWidth="1"/>
    <col min="71" max="71" width="9.5" style="71" bestFit="1" customWidth="1"/>
    <col min="72" max="73" width="9.5" style="71" customWidth="1"/>
    <col min="74" max="74" width="10.5" style="71" bestFit="1" customWidth="1"/>
    <col min="75" max="75" width="14" style="71" bestFit="1" customWidth="1"/>
    <col min="76" max="76" width="13.83203125" style="71" customWidth="1"/>
    <col min="77" max="77" width="10.5" style="71" bestFit="1" customWidth="1"/>
    <col min="78" max="78" width="9.5" style="71" bestFit="1" customWidth="1"/>
    <col min="79" max="80" width="10.5" style="71" bestFit="1" customWidth="1"/>
    <col min="81" max="83" width="10.5" style="71" customWidth="1"/>
    <col min="84" max="84" width="11.5" style="71"/>
    <col min="85" max="85" width="10.5" style="71" bestFit="1" customWidth="1"/>
    <col min="86" max="86" width="9.33203125" style="71" bestFit="1" customWidth="1"/>
    <col min="87" max="87" width="11.6640625" style="71" bestFit="1" customWidth="1"/>
    <col min="88" max="88" width="8.5" style="71" bestFit="1" customWidth="1"/>
    <col min="89" max="89" width="9.5" style="71" bestFit="1" customWidth="1"/>
    <col min="90" max="90" width="9.6640625" style="71" bestFit="1" customWidth="1"/>
    <col min="91" max="91" width="11" style="71" bestFit="1" customWidth="1"/>
    <col min="92" max="92" width="9.5" style="71" bestFit="1" customWidth="1"/>
    <col min="93" max="94" width="9.5" style="71" customWidth="1"/>
    <col min="95" max="95" width="11.5" style="71"/>
    <col min="96" max="97" width="14" style="71" customWidth="1"/>
    <col min="98" max="98" width="10.5" style="71" bestFit="1" customWidth="1"/>
    <col min="99" max="99" width="9.5" style="71" bestFit="1" customWidth="1"/>
    <col min="100" max="101" width="10.5" style="71" bestFit="1" customWidth="1"/>
    <col min="102" max="104" width="10.5" style="71" customWidth="1"/>
    <col min="105" max="105" width="9" style="71" bestFit="1" customWidth="1"/>
    <col min="106" max="106" width="10.5" style="71" bestFit="1" customWidth="1"/>
    <col min="107" max="107" width="9.33203125" style="71" bestFit="1" customWidth="1"/>
    <col min="108" max="108" width="11.6640625" style="71" bestFit="1" customWidth="1"/>
    <col min="109" max="109" width="8.5" style="71" bestFit="1" customWidth="1"/>
    <col min="110" max="110" width="9.5" style="71" bestFit="1" customWidth="1"/>
    <col min="111" max="111" width="9.6640625" style="71" bestFit="1" customWidth="1"/>
    <col min="112" max="112" width="11" style="71" bestFit="1" customWidth="1"/>
    <col min="113" max="113" width="9.5" style="71" bestFit="1" customWidth="1"/>
    <col min="114" max="115" width="9.5" style="71" customWidth="1"/>
    <col min="116" max="116" width="10.5" style="71" bestFit="1" customWidth="1"/>
    <col min="117" max="117" width="14.33203125" style="71" customWidth="1"/>
    <col min="118" max="118" width="14" style="71" bestFit="1" customWidth="1"/>
    <col min="119" max="119" width="10.5" style="71" bestFit="1" customWidth="1"/>
    <col min="120" max="120" width="9.5" style="71" bestFit="1" customWidth="1"/>
    <col min="121" max="122" width="10.5" style="71" bestFit="1" customWidth="1"/>
    <col min="123" max="125" width="10.5" style="71" customWidth="1"/>
    <col min="126" max="126" width="9" style="71" bestFit="1" customWidth="1"/>
    <col min="127" max="127" width="10.5" style="71" bestFit="1" customWidth="1"/>
    <col min="128" max="128" width="9.33203125" style="71" bestFit="1" customWidth="1"/>
    <col min="129" max="129" width="11.6640625" style="71" bestFit="1" customWidth="1"/>
    <col min="130" max="130" width="8.5" style="71" bestFit="1" customWidth="1"/>
    <col min="131" max="131" width="9.5" style="71" bestFit="1" customWidth="1"/>
    <col min="132" max="132" width="9.6640625" style="71" bestFit="1" customWidth="1"/>
    <col min="133" max="133" width="11" style="71" bestFit="1" customWidth="1"/>
    <col min="134" max="134" width="9.5" style="71" bestFit="1" customWidth="1"/>
    <col min="135" max="136" width="9.5" style="71" customWidth="1"/>
    <col min="137" max="137" width="10.5" style="71" bestFit="1" customWidth="1"/>
    <col min="138" max="139" width="14" style="71" customWidth="1"/>
    <col min="140" max="140" width="10.5" style="71" bestFit="1" customWidth="1"/>
    <col min="141" max="141" width="9.5" style="71" bestFit="1" customWidth="1"/>
    <col min="142" max="143" width="10.5" style="71" bestFit="1" customWidth="1"/>
    <col min="144" max="146" width="10.5" style="71" customWidth="1"/>
    <col min="147" max="147" width="9" style="71" bestFit="1" customWidth="1"/>
    <col min="148" max="148" width="10.5" style="71" bestFit="1" customWidth="1"/>
    <col min="149" max="149" width="9.33203125" style="71" bestFit="1" customWidth="1"/>
    <col min="150" max="150" width="11.6640625" style="71" bestFit="1" customWidth="1"/>
    <col min="151" max="151" width="8.5" style="71" bestFit="1" customWidth="1"/>
    <col min="152" max="152" width="9.5" style="71" bestFit="1" customWidth="1"/>
    <col min="153" max="153" width="9.6640625" style="71" bestFit="1" customWidth="1"/>
    <col min="154" max="154" width="11" style="71" bestFit="1" customWidth="1"/>
    <col min="155" max="155" width="9.5" style="71" bestFit="1" customWidth="1"/>
    <col min="156" max="157" width="9.5" style="71" customWidth="1"/>
    <col min="158" max="158" width="11.5" style="71"/>
    <col min="159" max="160" width="14" style="71" bestFit="1" customWidth="1"/>
    <col min="161" max="161" width="10.5" style="71" bestFit="1" customWidth="1"/>
    <col min="162" max="162" width="9.5" style="71" bestFit="1" customWidth="1"/>
    <col min="163" max="164" width="10.5" style="71" bestFit="1" customWidth="1"/>
    <col min="165" max="167" width="10.5" style="71" customWidth="1"/>
    <col min="168" max="168" width="9" style="71" bestFit="1" customWidth="1"/>
    <col min="169" max="169" width="10.5" style="71" bestFit="1" customWidth="1"/>
    <col min="170" max="170" width="9.33203125" style="71" bestFit="1" customWidth="1"/>
    <col min="171" max="171" width="11.6640625" style="71" bestFit="1" customWidth="1"/>
    <col min="172" max="172" width="8.1640625" style="71" bestFit="1" customWidth="1"/>
    <col min="173" max="173" width="9.5" style="71" bestFit="1" customWidth="1"/>
    <col min="174" max="174" width="9.6640625" style="71" bestFit="1" customWidth="1"/>
    <col min="175" max="175" width="11" style="71" bestFit="1" customWidth="1"/>
    <col min="176" max="176" width="9.5" style="71" bestFit="1" customWidth="1"/>
    <col min="177" max="178" width="9.5" style="71" customWidth="1"/>
    <col min="179" max="179" width="10.5" style="71" bestFit="1" customWidth="1"/>
    <col min="180" max="181" width="14" style="71" bestFit="1" customWidth="1"/>
    <col min="182" max="182" width="10.5" style="71" bestFit="1" customWidth="1"/>
    <col min="183" max="183" width="9.5" style="71" bestFit="1" customWidth="1"/>
    <col min="184" max="185" width="10.5" style="71" bestFit="1" customWidth="1"/>
    <col min="186" max="188" width="10.5" style="71" customWidth="1"/>
    <col min="189" max="189" width="9" style="71" bestFit="1" customWidth="1"/>
    <col min="190" max="190" width="10.5" style="71" bestFit="1" customWidth="1"/>
    <col min="191" max="191" width="9.33203125" style="71" bestFit="1" customWidth="1"/>
    <col min="192" max="192" width="11.5" style="71"/>
    <col min="193" max="193" width="8.5" style="71" bestFit="1" customWidth="1"/>
    <col min="194" max="194" width="9.5" style="71" bestFit="1" customWidth="1"/>
    <col min="195" max="195" width="9.6640625" style="71" bestFit="1" customWidth="1"/>
    <col min="196" max="196" width="11" style="71" bestFit="1" customWidth="1"/>
    <col min="197" max="197" width="9.5" style="71" bestFit="1" customWidth="1"/>
    <col min="198" max="199" width="9.5" style="71" customWidth="1"/>
    <col min="200" max="200" width="10.5" style="71" bestFit="1" customWidth="1"/>
    <col min="201" max="201" width="14" style="71" customWidth="1"/>
    <col min="202" max="202" width="14.33203125" style="71" customWidth="1"/>
    <col min="203" max="203" width="10.5" style="71" bestFit="1" customWidth="1"/>
    <col min="204" max="204" width="9.5" style="71" bestFit="1" customWidth="1"/>
    <col min="205" max="206" width="10.5" style="71" bestFit="1" customWidth="1"/>
    <col min="207" max="209" width="10.5" style="71" customWidth="1"/>
    <col min="210" max="210" width="9" style="71" bestFit="1" customWidth="1"/>
    <col min="211" max="211" width="10.5" style="71" bestFit="1" customWidth="1"/>
    <col min="212" max="212" width="9.33203125" style="71" bestFit="1" customWidth="1"/>
    <col min="213" max="213" width="11.6640625" style="71" bestFit="1" customWidth="1"/>
    <col min="214" max="214" width="8.5" style="71" bestFit="1" customWidth="1"/>
    <col min="215" max="215" width="9.5" style="71" bestFit="1" customWidth="1"/>
    <col min="216" max="216" width="9.6640625" style="71" bestFit="1" customWidth="1"/>
    <col min="217" max="217" width="11" style="71" bestFit="1" customWidth="1"/>
    <col min="218" max="218" width="9.5" style="71" bestFit="1" customWidth="1"/>
    <col min="219" max="16384" width="11.5" style="71"/>
  </cols>
  <sheetData>
    <row r="1" spans="1:218" s="5" customFormat="1" ht="27" thickBot="1" x14ac:dyDescent="0.35">
      <c r="B1" s="313" t="s">
        <v>176</v>
      </c>
      <c r="C1" s="314"/>
      <c r="D1" s="314"/>
      <c r="E1" s="314"/>
      <c r="F1" s="314"/>
      <c r="G1" s="314"/>
      <c r="H1" s="315"/>
      <c r="I1" s="310" t="str">
        <f>IF('Données projet'!$B$9="","",'Données projet'!$B$9)</f>
        <v>Chêne sessile</v>
      </c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2"/>
      <c r="AD1" s="311" t="str">
        <f>IF('Données projet'!$B$10="","",'Données projet'!$B$10)</f>
        <v>Hêtre</v>
      </c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2"/>
      <c r="AY1" s="310" t="str">
        <f>IF('Données projet'!$B$11="","",'Données projet'!$B$11)</f>
        <v>Erable sycomore</v>
      </c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2"/>
      <c r="BT1" s="310" t="str">
        <f>IF('Données projet'!$B$12="","",'Données projet'!$B$12)</f>
        <v>Merisier</v>
      </c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2"/>
      <c r="CO1" s="310" t="str">
        <f>IF('Données projet'!$B$13="","",'Données projet'!$B$13)</f>
        <v>Mélèze hybride</v>
      </c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2"/>
      <c r="DJ1" s="310" t="str">
        <f>IF('Données projet'!$B$14="","",'Données projet'!$B$14)</f>
        <v/>
      </c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2"/>
      <c r="EE1" s="310" t="str">
        <f>IF('Données projet'!$B$15="","",'Données projet'!$B$15)</f>
        <v/>
      </c>
      <c r="EF1" s="311"/>
      <c r="EG1" s="311"/>
      <c r="EH1" s="311"/>
      <c r="EI1" s="311"/>
      <c r="EJ1" s="311"/>
      <c r="EK1" s="311"/>
      <c r="EL1" s="311"/>
      <c r="EM1" s="311"/>
      <c r="EN1" s="311"/>
      <c r="EO1" s="311"/>
      <c r="EP1" s="311"/>
      <c r="EQ1" s="311"/>
      <c r="ER1" s="311"/>
      <c r="ES1" s="311"/>
      <c r="ET1" s="311"/>
      <c r="EU1" s="311"/>
      <c r="EV1" s="311"/>
      <c r="EW1" s="311"/>
      <c r="EX1" s="311"/>
      <c r="EY1" s="312"/>
      <c r="EZ1" s="310" t="str">
        <f>IF('Données projet'!$B$16="","",'Données projet'!$B$16)</f>
        <v/>
      </c>
      <c r="FA1" s="311"/>
      <c r="FB1" s="311"/>
      <c r="FC1" s="311"/>
      <c r="FD1" s="311"/>
      <c r="FE1" s="311"/>
      <c r="FF1" s="311"/>
      <c r="FG1" s="311"/>
      <c r="FH1" s="311"/>
      <c r="FI1" s="311"/>
      <c r="FJ1" s="311"/>
      <c r="FK1" s="311"/>
      <c r="FL1" s="311"/>
      <c r="FM1" s="311"/>
      <c r="FN1" s="311"/>
      <c r="FO1" s="311"/>
      <c r="FP1" s="311"/>
      <c r="FQ1" s="311"/>
      <c r="FR1" s="311"/>
      <c r="FS1" s="311"/>
      <c r="FT1" s="312"/>
      <c r="FU1" s="310" t="str">
        <f>IF('Données projet'!$B$17="","",'Données projet'!$B$17)</f>
        <v/>
      </c>
      <c r="FV1" s="311"/>
      <c r="FW1" s="311"/>
      <c r="FX1" s="311"/>
      <c r="FY1" s="311"/>
      <c r="FZ1" s="311"/>
      <c r="GA1" s="311"/>
      <c r="GB1" s="311"/>
      <c r="GC1" s="311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2"/>
      <c r="GP1" s="310" t="str">
        <f>IF('Données projet'!$B$18="","",'Données projet'!$B$18)</f>
        <v/>
      </c>
      <c r="GQ1" s="311"/>
      <c r="GR1" s="311"/>
      <c r="GS1" s="311"/>
      <c r="GT1" s="311"/>
      <c r="GU1" s="311"/>
      <c r="GV1" s="311"/>
      <c r="GW1" s="311"/>
      <c r="GX1" s="311"/>
      <c r="GY1" s="311"/>
      <c r="GZ1" s="311"/>
      <c r="HA1" s="311"/>
      <c r="HB1" s="311"/>
      <c r="HC1" s="311"/>
      <c r="HD1" s="311"/>
      <c r="HE1" s="311"/>
      <c r="HF1" s="311"/>
      <c r="HG1" s="311"/>
      <c r="HH1" s="311"/>
      <c r="HI1" s="311"/>
      <c r="HJ1" s="312"/>
    </row>
    <row r="2" spans="1:218" s="5" customFormat="1" ht="65" thickBot="1" x14ac:dyDescent="0.2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256.66666666666669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256.66666666666669</v>
      </c>
      <c r="S3" s="62">
        <f ca="1">AVERAGE(OFFSET($R$3,0,0,'Données projet'!$E$9+1,1))-AVERAGE(OFFSET($H$3,0,0,'Données projet'!$E$9+1,1))</f>
        <v>441.6145113257511</v>
      </c>
      <c r="T3" s="62">
        <f>IF('Données projet'!E9&gt;30,$R$33-$H$33,LOOKUP('Données projet'!$E$9,$A$3:$A$203,R3:R203)-LOOKUP('Données projet'!$E$9,$A$3:$A$203,$H$3:$H$203))</f>
        <v>295.8399381972477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256.66666666666669</v>
      </c>
      <c r="AN3" s="62">
        <f ca="1">AVERAGE(OFFSET($AM$3,0,0,'Données projet'!$E$10+1,1))-AVERAGE(OFFSET($H$3,0,0,'Données projet'!$E$10+1,1))</f>
        <v>623.31285537237943</v>
      </c>
      <c r="AO3" s="62">
        <f>IF('Données projet'!E10&gt;30,$AM$33-$H$33,LOOKUP('Données projet'!$E$10,$A$3:$A$203,AM3:AM203)-LOOKUP('Données projet'!$E$10,$A$3:$A$203,$H$3:$H$203))</f>
        <v>462.33909258902241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256.66666666666669</v>
      </c>
      <c r="BI3" s="62">
        <f ca="1">AVERAGE(OFFSET($BH$3,0,0,'Données projet'!$E$11+1,1))-AVERAGE(OFFSET($H$3,0,0,'Données projet'!$E$11+1,1))</f>
        <v>299.10536994156814</v>
      </c>
      <c r="BJ3" s="62">
        <f>IF('Données projet'!E11&gt;30,$BH$33-$H$33,LOOKUP('Données projet'!$E$11,$A$3:$A$203,BH3:BH203)-LOOKUP('Données projet'!$E$11,$A$3:$A$203,$H$3:$H$203))</f>
        <v>292.57799203101769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2">
        <f>CB3+(BT3+BU3)*44/12</f>
        <v>256.66666666666669</v>
      </c>
      <c r="CD3" s="62">
        <f ca="1">AVERAGE(OFFSET($CC$3,0,0,'Données projet'!$E$12+1,1))-AVERAGE(OFFSET($H$3,0,0,'Données projet'!$E$12+1,1))</f>
        <v>197.51529454208725</v>
      </c>
      <c r="CE3" s="62">
        <f>IF('Données projet'!E12&gt;30,$CC$33-$H$33,LOOKUP('Données projet'!$E$12,$A$3:$A$203,CC3:CC203)-LOOKUP('Données projet'!$E$12,$A$3:$A$203,$H$3:$H$203))</f>
        <v>196.65362486387215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2">
        <f>CW3+(CO3+CP3)*44/12</f>
        <v>256.66666666666669</v>
      </c>
      <c r="CY3" s="62">
        <f ca="1">AVERAGE(OFFSET($CX$3,0,0,'Données projet'!$E$13+1,1))-AVERAGE(OFFSET($H$3,0,0,'Données projet'!$E$13+1,1))</f>
        <v>303.14853302260451</v>
      </c>
      <c r="CZ3" s="62">
        <f>IF('Données projet'!E13&gt;30,$CX$33-$H$33,LOOKUP('Données projet'!$E$13,$A$3:$A$203,CX3:CX203)-LOOKUP('Données projet'!$E$13,$A$3:$A$203,$H$3:$H$203))</f>
        <v>298.74602928001929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70">
        <f t="shared" ref="H4:H67" si="1">(B4+E4+F4)*44/12+(C4+D4)*0.475*44/12</f>
        <v>256.66666666666669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4.3352272727272725</v>
      </c>
      <c r="N4" s="14">
        <f>IF('Données projet'!$A$36&gt;35,N3+M4-V3,IF(A4&lt;'Données projet'!$A$36,$K$205^A4,IF(A4='Données projet'!$A$36,'Données projet'!$B$36,N3+M4-V3)))</f>
        <v>4.3352272727272725</v>
      </c>
      <c r="O4" s="14">
        <f>N4*VLOOKUP('Données projet'!$B$9,Paramètres!$A$1:$I$89,3,0)*VLOOKUP('Données projet'!$B$9,Paramètres!$A$1:$I$89,5,0)</f>
        <v>3.9225136363636359</v>
      </c>
      <c r="P4" s="14">
        <f>EXP(-1.0587+0.8836*LN(O4)+0.284)</f>
        <v>1.5417914165620541</v>
      </c>
      <c r="Q4" s="22">
        <f t="shared" ref="Q4:Q34" si="2">(O4+P4)*0.475*44/12</f>
        <v>9.5169979671789093</v>
      </c>
      <c r="R4" s="62">
        <f t="shared" si="0"/>
        <v>267.40588685606775</v>
      </c>
      <c r="S4" s="62">
        <f ca="1">AVERAGE(OFFSET($R$3,0,0,'Données projet'!$E$9+1,1))-AVERAGE(OFFSET($H$3,0,0,'Données projet'!$E$9+1,1))</f>
        <v>441.6145113257511</v>
      </c>
      <c r="T4" s="62">
        <f>$T$3</f>
        <v>295.8399381972477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2.9444444444444446</v>
      </c>
      <c r="AI4" s="14">
        <f>IF('Données projet'!$A$62&gt;35,AI3+AH4-AQ3,IF(A4&lt;'Données projet'!$A$62,$AF$205^A4,IF(A4='Données projet'!$A$62,'Données projet'!$B$62,AI3+AH4-AQ3)))</f>
        <v>1.2467894073120835</v>
      </c>
      <c r="AJ4" s="14">
        <f>AI4*VLOOKUP('Données projet'!$B$10,Paramètres!$A$1:$I$89,3,0)*VLOOKUP('Données projet'!$B$10,Paramètres!$A$1:$I$89,5,0)</f>
        <v>1.0697453114737678</v>
      </c>
      <c r="AK4" s="14">
        <f>EXP(-1.0587+0.8836*LN(AJ4)+0.284)</f>
        <v>0.48912990832127995</v>
      </c>
      <c r="AL4" s="22">
        <f t="shared" ref="AL4:AL67" si="4">(AJ4+AK4)*0.475*44/12</f>
        <v>2.7150410078097078</v>
      </c>
      <c r="AM4" s="62">
        <f t="shared" ref="AM4:AM67" si="5">AL4+(AD4+AE4)*44/12</f>
        <v>260.60392989669856</v>
      </c>
      <c r="AN4" s="62">
        <f ca="1">AVERAGE(OFFSET($AM$3,0,0,'Données projet'!$E$10+1,1))-AVERAGE(OFFSET($H$3,0,0,'Données projet'!$E$10+1,1))</f>
        <v>623.31285537237943</v>
      </c>
      <c r="AO4" s="62">
        <f>$AO$3</f>
        <v>462.33909258902241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2.4666666666666668</v>
      </c>
      <c r="BD4" s="13">
        <f>IF('Données projet'!$A$88&gt;35,BD3+BC4-BL3,IF(A4&lt;'Données projet'!$A$88,$BA$205^A4,IF(A4='Données projet'!$A$88,'Données projet'!$B$88,BD3+BC4-BL3)))</f>
        <v>1.2721747796233518</v>
      </c>
      <c r="BE4" s="14">
        <f>BD4*VLOOKUP('Données projet'!$B$11,Paramètres!$A$1:$I$89,3,0)*VLOOKUP('Données projet'!$B$11,Paramètres!$A$1:$I$89,5,0)</f>
        <v>1.0121422546683387</v>
      </c>
      <c r="BF4" s="14">
        <f>EXP(-1.0587+0.8836*LN(BE4)+0.284)</f>
        <v>0.46578286063395047</v>
      </c>
      <c r="BG4" s="22">
        <f t="shared" ref="BG4:BG67" si="7">(BE4+BF4)*0.475*44/12</f>
        <v>2.574052909151487</v>
      </c>
      <c r="BH4" s="62">
        <f t="shared" ref="BH4:BH67" si="8">BG4+(AY4+AZ4)*44/12</f>
        <v>260.46294179804033</v>
      </c>
      <c r="BI4" s="62">
        <f ca="1">AVERAGE(OFFSET($BH$3,0,0,'Données projet'!$E$11+1,1))-AVERAGE(OFFSET($H$3,0,0,'Données projet'!$E$11+1,1))</f>
        <v>299.10536994156814</v>
      </c>
      <c r="BJ4" s="62">
        <f>$BJ$3</f>
        <v>292.57799203101769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1.7093333333333334</v>
      </c>
      <c r="BY4" s="13">
        <f>IF('Données projet'!$A$114&gt;35,BY3+BX4-CG3,IF(A4&lt;'Données projet'!$A$114,$BV$205^A4,IF(A4='Données projet'!$A$114,'Données projet'!$B$114,BY3+BX4-CG3)))</f>
        <v>1.2414460987627769</v>
      </c>
      <c r="BZ4" s="14">
        <f>BY4*VLOOKUP('Données projet'!$B$12,Paramètres!$A$1:$I$89,3,0)*VLOOKUP('Données projet'!$B$12,Paramètres!$A$1:$I$89,5,0)</f>
        <v>0.96832795703496599</v>
      </c>
      <c r="CA4" s="14">
        <f>EXP(-1.0587+0.8836*LN(BZ4)+0.284)</f>
        <v>0.44792109896595328</v>
      </c>
      <c r="CB4" s="22">
        <f t="shared" ref="CB4:CB67" si="10">(BZ4+CA4)*0.475*44/12</f>
        <v>2.4666337725349345</v>
      </c>
      <c r="CC4" s="62">
        <f t="shared" ref="CC4:CC67" si="11">CB4+(BT4+BU4)*44/12</f>
        <v>260.35552266142378</v>
      </c>
      <c r="CD4" s="62">
        <f ca="1">AVERAGE(OFFSET($CC$3,0,0,'Données projet'!$E$12+1,1))-AVERAGE(OFFSET($H$3,0,0,'Données projet'!$E$12+1,1))</f>
        <v>197.51529454208725</v>
      </c>
      <c r="CE4" s="62">
        <f>$CE$3</f>
        <v>196.65362486387215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3.6</v>
      </c>
      <c r="CT4" s="13">
        <f>IF('Données projet'!$A$140&gt;35,CT3+CS4-DB3,IF(A4&lt;'Données projet'!$A$140,$CQ$205^A4,IF(A4='Données projet'!$A$140,'Données projet'!$B$140,CT3+CS4-DB3)))</f>
        <v>1.4309690811052556</v>
      </c>
      <c r="CU4" s="18">
        <f>CT4*VLOOKUP('Données projet'!$B$13,Paramètres!$A$1:$I$89,3,0)*VLOOKUP('Données projet'!$B$13,Paramètres!$A$1:$I$89,5,0)</f>
        <v>0.78130911828346949</v>
      </c>
      <c r="CV4" s="14">
        <f>EXP(-1.0587+0.8836*LN(CU4)+0.284)</f>
        <v>0.37055303350010543</v>
      </c>
      <c r="CW4" s="22">
        <f t="shared" ref="CW4:CW67" si="13">(CU4+CV4)*0.475*44/12</f>
        <v>2.0061599143563931</v>
      </c>
      <c r="CX4" s="62">
        <f t="shared" ref="CX4:CX67" si="14">CW4+(CO4+CP4)*44/12</f>
        <v>259.89504880324523</v>
      </c>
      <c r="CY4" s="62">
        <f ca="1">AVERAGE(OFFSET($CX$3,0,0,'Données projet'!$E$13+1,1))-AVERAGE(OFFSET($H$3,0,0,'Données projet'!$E$13+1,1))</f>
        <v>303.14853302260451</v>
      </c>
      <c r="CZ4" s="62">
        <f>$CZ$3</f>
        <v>298.74602928001929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70">
        <f t="shared" si="1"/>
        <v>256.66666666666669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4.3352272727272725</v>
      </c>
      <c r="N5" s="14">
        <f>IF('Données projet'!$A$36&gt;35,N4+M5-V4,IF(A5&lt;'Données projet'!$A$36,$K$205^A5,IF(A5='Données projet'!$A$36,'Données projet'!$B$36,N4+M5-V4)))</f>
        <v>8.670454545454545</v>
      </c>
      <c r="O5" s="14">
        <f>N5*VLOOKUP('Données projet'!$B$9,Paramètres!$A$1:$I$89,3,0)*VLOOKUP('Données projet'!$B$9,Paramètres!$A$1:$I$89,5,0)</f>
        <v>7.8450272727272718</v>
      </c>
      <c r="P5" s="14">
        <f t="shared" ref="P5:P68" si="33">EXP(-1.0587+0.8836*LN(O5)+0.284)</f>
        <v>2.8445641197571301</v>
      </c>
      <c r="Q5" s="22">
        <f t="shared" si="2"/>
        <v>18.617705008577001</v>
      </c>
      <c r="R5" s="62">
        <f t="shared" si="0"/>
        <v>277.72881611968813</v>
      </c>
      <c r="S5" s="62">
        <f ca="1">AVERAGE(OFFSET($R$3,0,0,'Données projet'!$E$9+1,1))-AVERAGE(OFFSET($H$3,0,0,'Données projet'!$E$9+1,1))</f>
        <v>441.6145113257511</v>
      </c>
      <c r="T5" s="62">
        <f t="shared" ref="T5:T68" si="34">$T$3</f>
        <v>295.8399381972477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2.9444444444444446</v>
      </c>
      <c r="AI5" s="14">
        <f>IF('Données projet'!$A$62&gt;35,AI4+AH5-AQ4,IF(A5&lt;'Données projet'!$A$62,$AF$205^A5,IF(A5='Données projet'!$A$62,'Données projet'!$B$62,AI4+AH5-AQ4)))</f>
        <v>1.5544838261856166</v>
      </c>
      <c r="AJ5" s="14">
        <f>AI5*VLOOKUP('Données projet'!$B$10,Paramètres!$A$1:$I$89,3,0)*VLOOKUP('Données projet'!$B$10,Paramètres!$A$1:$I$89,5,0)</f>
        <v>1.3337471228672593</v>
      </c>
      <c r="AK5" s="14">
        <f t="shared" ref="AK5:AK68" si="35">EXP(-1.0587+0.8836*LN(AJ5)+0.284)</f>
        <v>0.59438385665947757</v>
      </c>
      <c r="AL5" s="22">
        <f t="shared" si="4"/>
        <v>3.3581614560090665</v>
      </c>
      <c r="AM5" s="62">
        <f t="shared" si="5"/>
        <v>262.46927256712019</v>
      </c>
      <c r="AN5" s="62">
        <f ca="1">AVERAGE(OFFSET($AM$3,0,0,'Données projet'!$E$10+1,1))-AVERAGE(OFFSET($H$3,0,0,'Données projet'!$E$10+1,1))</f>
        <v>623.31285537237943</v>
      </c>
      <c r="AO5" s="62">
        <f t="shared" ref="AO5:AO68" si="36">$AO$3</f>
        <v>462.33909258902241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2.4666666666666668</v>
      </c>
      <c r="BD5" s="13">
        <f>IF('Données projet'!$A$88&gt;35,BD4+BC5-BL4,IF(A5&lt;'Données projet'!$A$88,$BA$205^A5,IF(A5='Données projet'!$A$88,'Données projet'!$B$88,BD4+BC5-BL4)))</f>
        <v>1.6184286699097237</v>
      </c>
      <c r="BE5" s="14">
        <f>BD5*VLOOKUP('Données projet'!$B$11,Paramètres!$A$1:$I$89,3,0)*VLOOKUP('Données projet'!$B$11,Paramètres!$A$1:$I$89,5,0)</f>
        <v>1.2876218497801761</v>
      </c>
      <c r="BF5" s="14">
        <f t="shared" ref="BF5:BF68" si="37">EXP(-1.0587+0.8836*LN(BE5)+0.284)</f>
        <v>0.57618379541883336</v>
      </c>
      <c r="BG5" s="22">
        <f t="shared" si="7"/>
        <v>3.2461281653882743</v>
      </c>
      <c r="BH5" s="62">
        <f t="shared" si="8"/>
        <v>262.3572392764994</v>
      </c>
      <c r="BI5" s="62">
        <f ca="1">AVERAGE(OFFSET($BH$3,0,0,'Données projet'!$E$11+1,1))-AVERAGE(OFFSET($H$3,0,0,'Données projet'!$E$11+1,1))</f>
        <v>299.10536994156814</v>
      </c>
      <c r="BJ5" s="62">
        <f t="shared" ref="BJ5:BJ68" si="38">$BJ$3</f>
        <v>292.57799203101769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1.7093333333333334</v>
      </c>
      <c r="BY5" s="13">
        <f>IF('Données projet'!$A$114&gt;35,BY4+BX5-CG4,IF(A5&lt;'Données projet'!$A$114,$BV$205^A5,IF(A5='Données projet'!$A$114,'Données projet'!$B$114,BY4+BX5-CG4)))</f>
        <v>1.5411884161333185</v>
      </c>
      <c r="BZ5" s="14">
        <f>BY5*VLOOKUP('Données projet'!$B$12,Paramètres!$A$1:$I$89,3,0)*VLOOKUP('Données projet'!$B$12,Paramètres!$A$1:$I$89,5,0)</f>
        <v>1.2021269645839885</v>
      </c>
      <c r="CA5" s="14">
        <f t="shared" ref="CA5:CA68" si="39">EXP(-1.0587+0.8836*LN(BZ5)+0.284)</f>
        <v>0.54224578425935188</v>
      </c>
      <c r="CB5" s="22">
        <f t="shared" si="10"/>
        <v>3.0381158709021512</v>
      </c>
      <c r="CC5" s="62">
        <f t="shared" si="11"/>
        <v>262.14922698201332</v>
      </c>
      <c r="CD5" s="62">
        <f ca="1">AVERAGE(OFFSET($CC$3,0,0,'Données projet'!$E$12+1,1))-AVERAGE(OFFSET($H$3,0,0,'Données projet'!$E$12+1,1))</f>
        <v>197.51529454208725</v>
      </c>
      <c r="CE5" s="62">
        <f t="shared" ref="CE5:CE68" si="40">$CE$3</f>
        <v>196.65362486387215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3.6</v>
      </c>
      <c r="CT5" s="13">
        <f>IF('Données projet'!$A$140&gt;35,CT4+CS5-DB4,IF(A5&lt;'Données projet'!$A$140,$CQ$205^A5,IF(A5='Données projet'!$A$140,'Données projet'!$B$140,CT4+CS5-DB4)))</f>
        <v>2.0476725110792193</v>
      </c>
      <c r="CU5" s="18">
        <f>CT5*VLOOKUP('Données projet'!$B$13,Paramètres!$A$1:$I$89,3,0)*VLOOKUP('Données projet'!$B$13,Paramètres!$A$1:$I$89,5,0)</f>
        <v>1.1180291910492537</v>
      </c>
      <c r="CV5" s="14">
        <f t="shared" ref="CV5:CV68" si="41">EXP(-1.0587+0.8836*LN(CU5)+0.284)</f>
        <v>0.50858700810998547</v>
      </c>
      <c r="CW5" s="22">
        <f t="shared" si="13"/>
        <v>2.8330232135356752</v>
      </c>
      <c r="CX5" s="62">
        <f t="shared" si="14"/>
        <v>261.94413432464683</v>
      </c>
      <c r="CY5" s="62">
        <f ca="1">AVERAGE(OFFSET($CX$3,0,0,'Données projet'!$E$13+1,1))-AVERAGE(OFFSET($H$3,0,0,'Données projet'!$E$13+1,1))</f>
        <v>303.14853302260451</v>
      </c>
      <c r="CZ5" s="62">
        <f t="shared" ref="CZ5:CZ68" si="42">$CZ$3</f>
        <v>298.74602928001929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70">
        <f t="shared" si="1"/>
        <v>256.66666666666669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4.3352272727272725</v>
      </c>
      <c r="N6" s="14">
        <f>IF('Données projet'!$A$36&gt;35,N5+M6-V5,IF(A6&lt;'Données projet'!$A$36,$K$205^A6,IF(A6='Données projet'!$A$36,'Données projet'!$B$36,N5+M6-V5)))</f>
        <v>13.005681818181817</v>
      </c>
      <c r="O6" s="14">
        <f>N6*VLOOKUP('Données projet'!$B$9,Paramètres!$A$1:$I$89,3,0)*VLOOKUP('Données projet'!$B$9,Paramètres!$A$1:$I$89,5,0)</f>
        <v>11.767540909090908</v>
      </c>
      <c r="P6" s="14">
        <f t="shared" si="33"/>
        <v>4.0701457765235389</v>
      </c>
      <c r="Q6" s="22">
        <f t="shared" si="2"/>
        <v>27.583970977445158</v>
      </c>
      <c r="R6" s="62">
        <f t="shared" si="0"/>
        <v>287.91730431077849</v>
      </c>
      <c r="S6" s="62">
        <f ca="1">AVERAGE(OFFSET($R$3,0,0,'Données projet'!$E$9+1,1))-AVERAGE(OFFSET($H$3,0,0,'Données projet'!$E$9+1,1))</f>
        <v>441.6145113257511</v>
      </c>
      <c r="T6" s="62">
        <f t="shared" si="34"/>
        <v>295.8399381972477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2.9444444444444446</v>
      </c>
      <c r="AI6" s="14">
        <f>IF('Données projet'!$A$62&gt;35,AI5+AH6-AQ5,IF(A6&lt;'Données projet'!$A$62,$AF$205^A6,IF(A6='Données projet'!$A$62,'Données projet'!$B$62,AI5+AH6-AQ5)))</f>
        <v>1.9381139683261848</v>
      </c>
      <c r="AJ6" s="14">
        <f>AI6*VLOOKUP('Données projet'!$B$10,Paramètres!$A$1:$I$89,3,0)*VLOOKUP('Données projet'!$B$10,Paramètres!$A$1:$I$89,5,0)</f>
        <v>1.6629017848238667</v>
      </c>
      <c r="AK6" s="14">
        <f t="shared" si="35"/>
        <v>0.72228698970772809</v>
      </c>
      <c r="AL6" s="22">
        <f t="shared" si="4"/>
        <v>4.1542037823091933</v>
      </c>
      <c r="AM6" s="62">
        <f t="shared" si="5"/>
        <v>264.48753711564251</v>
      </c>
      <c r="AN6" s="62">
        <f ca="1">AVERAGE(OFFSET($AM$3,0,0,'Données projet'!$E$10+1,1))-AVERAGE(OFFSET($H$3,0,0,'Données projet'!$E$10+1,1))</f>
        <v>623.31285537237943</v>
      </c>
      <c r="AO6" s="62">
        <f t="shared" si="36"/>
        <v>462.33909258902241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2.4666666666666668</v>
      </c>
      <c r="BD6" s="13">
        <f>IF('Données projet'!$A$88&gt;35,BD5+BC6-BL5,IF(A6&lt;'Données projet'!$A$88,$BA$205^A6,IF(A6='Données projet'!$A$88,'Données projet'!$B$88,BD5+BC6-BL5)))</f>
        <v>2.0589241364785171</v>
      </c>
      <c r="BE6" s="14">
        <f>BD6*VLOOKUP('Données projet'!$B$11,Paramètres!$A$1:$I$89,3,0)*VLOOKUP('Données projet'!$B$11,Paramètres!$A$1:$I$89,5,0)</f>
        <v>1.6380800429823084</v>
      </c>
      <c r="BF6" s="14">
        <f t="shared" si="37"/>
        <v>0.71275221602487127</v>
      </c>
      <c r="BG6" s="22">
        <f t="shared" si="7"/>
        <v>4.0943661844375043</v>
      </c>
      <c r="BH6" s="62">
        <f t="shared" si="8"/>
        <v>264.4276995177708</v>
      </c>
      <c r="BI6" s="62">
        <f ca="1">AVERAGE(OFFSET($BH$3,0,0,'Données projet'!$E$11+1,1))-AVERAGE(OFFSET($H$3,0,0,'Données projet'!$E$11+1,1))</f>
        <v>299.10536994156814</v>
      </c>
      <c r="BJ6" s="62">
        <f t="shared" si="38"/>
        <v>292.57799203101769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1.7093333333333334</v>
      </c>
      <c r="BY6" s="13">
        <f>IF('Données projet'!$A$114&gt;35,BY5+BX6-CG5,IF(A6&lt;'Données projet'!$A$114,$BV$205^A6,IF(A6='Données projet'!$A$114,'Données projet'!$B$114,BY5+BX6-CG5)))</f>
        <v>1.9133023466670913</v>
      </c>
      <c r="BZ6" s="14">
        <f>BY6*VLOOKUP('Données projet'!$B$12,Paramètres!$A$1:$I$89,3,0)*VLOOKUP('Données projet'!$B$12,Paramètres!$A$1:$I$89,5,0)</f>
        <v>1.4923758304003312</v>
      </c>
      <c r="CA6" s="14">
        <f t="shared" si="39"/>
        <v>0.65643366929091451</v>
      </c>
      <c r="CB6" s="22">
        <f t="shared" si="10"/>
        <v>3.7425098786289195</v>
      </c>
      <c r="CC6" s="62">
        <f t="shared" si="11"/>
        <v>264.07584321196225</v>
      </c>
      <c r="CD6" s="62">
        <f ca="1">AVERAGE(OFFSET($CC$3,0,0,'Données projet'!$E$12+1,1))-AVERAGE(OFFSET($H$3,0,0,'Données projet'!$E$12+1,1))</f>
        <v>197.51529454208725</v>
      </c>
      <c r="CE6" s="62">
        <f t="shared" si="40"/>
        <v>196.65362486387215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3.6</v>
      </c>
      <c r="CT6" s="13">
        <f>IF('Données projet'!$A$140&gt;35,CT5+CS6-DB5,IF(A6&lt;'Données projet'!$A$140,$CQ$205^A6,IF(A6='Données projet'!$A$140,'Données projet'!$B$140,CT5+CS6-DB5)))</f>
        <v>2.9301560515835217</v>
      </c>
      <c r="CU6" s="18">
        <f>CT6*VLOOKUP('Données projet'!$B$13,Paramètres!$A$1:$I$89,3,0)*VLOOKUP('Données projet'!$B$13,Paramètres!$A$1:$I$89,5,0)</f>
        <v>1.5998652041646029</v>
      </c>
      <c r="CV6" s="14">
        <f t="shared" si="41"/>
        <v>0.6980397444734262</v>
      </c>
      <c r="CW6" s="22">
        <f t="shared" si="13"/>
        <v>4.0021844522112344</v>
      </c>
      <c r="CX6" s="62">
        <f t="shared" si="14"/>
        <v>264.33551778554454</v>
      </c>
      <c r="CY6" s="62">
        <f ca="1">AVERAGE(OFFSET($CX$3,0,0,'Données projet'!$E$13+1,1))-AVERAGE(OFFSET($H$3,0,0,'Données projet'!$E$13+1,1))</f>
        <v>303.14853302260451</v>
      </c>
      <c r="CZ6" s="62">
        <f t="shared" si="42"/>
        <v>298.74602928001929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70">
        <f t="shared" si="1"/>
        <v>256.66666666666669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4.3352272727272725</v>
      </c>
      <c r="N7" s="14">
        <f>IF('Données projet'!$A$36&gt;35,N6+M7-V6,IF(A7&lt;'Données projet'!$A$36,$K$205^A7,IF(A7='Données projet'!$A$36,'Données projet'!$B$36,N6+M7-V6)))</f>
        <v>17.34090909090909</v>
      </c>
      <c r="O7" s="14">
        <f>N7*VLOOKUP('Données projet'!$B$9,Paramètres!$A$1:$I$89,3,0)*VLOOKUP('Données projet'!$B$9,Paramètres!$A$1:$I$89,5,0)</f>
        <v>15.690054545454544</v>
      </c>
      <c r="P7" s="14">
        <f t="shared" si="33"/>
        <v>5.2481450762337865</v>
      </c>
      <c r="Q7" s="22">
        <f t="shared" si="2"/>
        <v>36.467364341107171</v>
      </c>
      <c r="R7" s="62">
        <f t="shared" si="0"/>
        <v>298.0229198966627</v>
      </c>
      <c r="S7" s="62">
        <f ca="1">AVERAGE(OFFSET($R$3,0,0,'Données projet'!$E$9+1,1))-AVERAGE(OFFSET($H$3,0,0,'Données projet'!$E$9+1,1))</f>
        <v>441.6145113257511</v>
      </c>
      <c r="T7" s="62">
        <f t="shared" si="34"/>
        <v>295.8399381972477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2.9444444444444446</v>
      </c>
      <c r="AI7" s="14">
        <f>IF('Données projet'!$A$62&gt;35,AI6+AH7-AQ6,IF(A7&lt;'Données projet'!$A$62,$AF$205^A7,IF(A7='Données projet'!$A$62,'Données projet'!$B$62,AI6+AH7-AQ6)))</f>
        <v>2.4164199658726746</v>
      </c>
      <c r="AJ7" s="14">
        <f>AI7*VLOOKUP('Données projet'!$B$10,Paramètres!$A$1:$I$89,3,0)*VLOOKUP('Données projet'!$B$10,Paramètres!$A$1:$I$89,5,0)</f>
        <v>2.0732883307187553</v>
      </c>
      <c r="AK7" s="14">
        <f t="shared" si="35"/>
        <v>0.87771309677398068</v>
      </c>
      <c r="AL7" s="22">
        <f t="shared" si="4"/>
        <v>5.1396608195498485</v>
      </c>
      <c r="AM7" s="62">
        <f t="shared" si="5"/>
        <v>266.69521637510542</v>
      </c>
      <c r="AN7" s="62">
        <f ca="1">AVERAGE(OFFSET($AM$3,0,0,'Données projet'!$E$10+1,1))-AVERAGE(OFFSET($H$3,0,0,'Données projet'!$E$10+1,1))</f>
        <v>623.31285537237943</v>
      </c>
      <c r="AO7" s="62">
        <f t="shared" si="36"/>
        <v>462.33909258902241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2.4666666666666668</v>
      </c>
      <c r="BD7" s="13">
        <f>IF('Données projet'!$A$88&gt;35,BD6+BC7-BL6,IF(A7&lt;'Données projet'!$A$88,$BA$205^A7,IF(A7='Données projet'!$A$88,'Données projet'!$B$88,BD6+BC7-BL6)))</f>
        <v>2.6193113595857573</v>
      </c>
      <c r="BE7" s="14">
        <f>BD7*VLOOKUP('Données projet'!$B$11,Paramètres!$A$1:$I$89,3,0)*VLOOKUP('Données projet'!$B$11,Paramètres!$A$1:$I$89,5,0)</f>
        <v>2.0839241176864287</v>
      </c>
      <c r="BF7" s="14">
        <f t="shared" si="37"/>
        <v>0.88169040068036508</v>
      </c>
      <c r="BG7" s="22">
        <f t="shared" si="7"/>
        <v>5.1651119528221656</v>
      </c>
      <c r="BH7" s="62">
        <f t="shared" si="8"/>
        <v>266.72066750837769</v>
      </c>
      <c r="BI7" s="62">
        <f ca="1">AVERAGE(OFFSET($BH$3,0,0,'Données projet'!$E$11+1,1))-AVERAGE(OFFSET($H$3,0,0,'Données projet'!$E$11+1,1))</f>
        <v>299.10536994156814</v>
      </c>
      <c r="BJ7" s="62">
        <f t="shared" si="38"/>
        <v>292.57799203101769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1.7093333333333334</v>
      </c>
      <c r="BY7" s="13">
        <f>IF('Données projet'!$A$114&gt;35,BY6+BX7-CG6,IF(A7&lt;'Données projet'!$A$114,$BV$205^A7,IF(A7='Données projet'!$A$114,'Données projet'!$B$114,BY6+BX7-CG6)))</f>
        <v>2.3752617340235269</v>
      </c>
      <c r="BZ7" s="14">
        <f>BY7*VLOOKUP('Données projet'!$B$12,Paramètres!$A$1:$I$89,3,0)*VLOOKUP('Données projet'!$B$12,Paramètres!$A$1:$I$89,5,0)</f>
        <v>1.852704152538351</v>
      </c>
      <c r="CA7" s="14">
        <f t="shared" si="39"/>
        <v>0.79466761141776865</v>
      </c>
      <c r="CB7" s="22">
        <f t="shared" si="10"/>
        <v>4.6108391555569073</v>
      </c>
      <c r="CC7" s="62">
        <f t="shared" si="11"/>
        <v>266.16639471111245</v>
      </c>
      <c r="CD7" s="62">
        <f ca="1">AVERAGE(OFFSET($CC$3,0,0,'Données projet'!$E$12+1,1))-AVERAGE(OFFSET($H$3,0,0,'Données projet'!$E$12+1,1))</f>
        <v>197.51529454208725</v>
      </c>
      <c r="CE7" s="62">
        <f t="shared" si="40"/>
        <v>196.65362486387215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3.6</v>
      </c>
      <c r="CT7" s="13">
        <f>IF('Données projet'!$A$140&gt;35,CT6+CS7-DB6,IF(A7&lt;'Données projet'!$A$140,$CQ$205^A7,IF(A7='Données projet'!$A$140,'Données projet'!$B$140,CT6+CS7-DB6)))</f>
        <v>4.192962712629476</v>
      </c>
      <c r="CU7" s="18">
        <f>CT7*VLOOKUP('Données projet'!$B$13,Paramètres!$A$1:$I$89,3,0)*VLOOKUP('Données projet'!$B$13,Paramètres!$A$1:$I$89,5,0)</f>
        <v>2.2893576410956937</v>
      </c>
      <c r="CV7" s="14">
        <f t="shared" si="41"/>
        <v>0.95806514341623272</v>
      </c>
      <c r="CW7" s="22">
        <f t="shared" si="13"/>
        <v>5.6559280163582706</v>
      </c>
      <c r="CX7" s="62">
        <f t="shared" si="14"/>
        <v>267.21148357191379</v>
      </c>
      <c r="CY7" s="62">
        <f ca="1">AVERAGE(OFFSET($CX$3,0,0,'Données projet'!$E$13+1,1))-AVERAGE(OFFSET($H$3,0,0,'Données projet'!$E$13+1,1))</f>
        <v>303.14853302260451</v>
      </c>
      <c r="CZ7" s="62">
        <f t="shared" si="42"/>
        <v>298.74602928001929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70">
        <f t="shared" si="1"/>
        <v>256.66666666666669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4.3352272727272725</v>
      </c>
      <c r="N8" s="14">
        <f>IF('Données projet'!$A$36&gt;35,N7+M8-V7,IF(A8&lt;'Données projet'!$A$36,$K$205^A8,IF(A8='Données projet'!$A$36,'Données projet'!$B$36,N7+M8-V7)))</f>
        <v>21.676136363636363</v>
      </c>
      <c r="O8" s="14">
        <f>N8*VLOOKUP('Données projet'!$B$9,Paramètres!$A$1:$I$89,3,0)*VLOOKUP('Données projet'!$B$9,Paramètres!$A$1:$I$89,5,0)</f>
        <v>19.61256818181818</v>
      </c>
      <c r="P8" s="14">
        <f t="shared" si="33"/>
        <v>6.3919816475485192</v>
      </c>
      <c r="Q8" s="22">
        <f t="shared" si="2"/>
        <v>45.291257619480326</v>
      </c>
      <c r="R8" s="62">
        <f t="shared" si="0"/>
        <v>308.06903539725812</v>
      </c>
      <c r="S8" s="62">
        <f ca="1">AVERAGE(OFFSET($R$3,0,0,'Données projet'!$E$9+1,1))-AVERAGE(OFFSET($H$3,0,0,'Données projet'!$E$9+1,1))</f>
        <v>441.6145113257511</v>
      </c>
      <c r="T8" s="62">
        <f t="shared" si="34"/>
        <v>295.8399381972477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2.9444444444444446</v>
      </c>
      <c r="AI8" s="14">
        <f>IF('Données projet'!$A$62&gt;35,AI7+AH8-AQ7,IF(A8&lt;'Données projet'!$A$62,$AF$205^A8,IF(A8='Données projet'!$A$62,'Données projet'!$B$62,AI7+AH8-AQ7)))</f>
        <v>3.0127668170674773</v>
      </c>
      <c r="AJ8" s="14">
        <f>AI8*VLOOKUP('Données projet'!$B$10,Paramètres!$A$1:$I$89,3,0)*VLOOKUP('Données projet'!$B$10,Paramètres!$A$1:$I$89,5,0)</f>
        <v>2.5849539290438956</v>
      </c>
      <c r="AK8" s="14">
        <f t="shared" si="35"/>
        <v>1.0665847387896374</v>
      </c>
      <c r="AL8" s="22">
        <f t="shared" si="4"/>
        <v>6.3597631798100691</v>
      </c>
      <c r="AM8" s="62">
        <f t="shared" si="5"/>
        <v>269.13754095758782</v>
      </c>
      <c r="AN8" s="62">
        <f ca="1">AVERAGE(OFFSET($AM$3,0,0,'Données projet'!$E$10+1,1))-AVERAGE(OFFSET($H$3,0,0,'Données projet'!$E$10+1,1))</f>
        <v>623.31285537237943</v>
      </c>
      <c r="AO8" s="62">
        <f t="shared" si="36"/>
        <v>462.33909258902241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2.4666666666666668</v>
      </c>
      <c r="BD8" s="13">
        <f>IF('Données projet'!$A$88&gt;35,BD7+BC8-BL7,IF(A8&lt;'Données projet'!$A$88,$BA$205^A8,IF(A8='Données projet'!$A$88,'Données projet'!$B$88,BD7+BC8-BL7)))</f>
        <v>3.332221851645953</v>
      </c>
      <c r="BE8" s="14">
        <f>BD8*VLOOKUP('Données projet'!$B$11,Paramètres!$A$1:$I$89,3,0)*VLOOKUP('Données projet'!$B$11,Paramètres!$A$1:$I$89,5,0)</f>
        <v>2.6511157051695204</v>
      </c>
      <c r="BF8" s="14">
        <f t="shared" si="37"/>
        <v>1.0906707059957799</v>
      </c>
      <c r="BG8" s="22">
        <f t="shared" si="7"/>
        <v>6.5169446661128978</v>
      </c>
      <c r="BH8" s="62">
        <f t="shared" si="8"/>
        <v>269.29472244389069</v>
      </c>
      <c r="BI8" s="62">
        <f ca="1">AVERAGE(OFFSET($BH$3,0,0,'Données projet'!$E$11+1,1))-AVERAGE(OFFSET($H$3,0,0,'Données projet'!$E$11+1,1))</f>
        <v>299.10536994156814</v>
      </c>
      <c r="BJ8" s="62">
        <f t="shared" si="38"/>
        <v>292.57799203101769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1.7093333333333334</v>
      </c>
      <c r="BY8" s="13">
        <f>IF('Données projet'!$A$114&gt;35,BY7+BX8-CG7,IF(A8&lt;'Données projet'!$A$114,$BV$205^A8,IF(A8='Données projet'!$A$114,'Données projet'!$B$114,BY7+BX8-CG7)))</f>
        <v>2.9487594132440162</v>
      </c>
      <c r="BZ8" s="14">
        <f>BY8*VLOOKUP('Données projet'!$B$12,Paramètres!$A$1:$I$89,3,0)*VLOOKUP('Données projet'!$B$12,Paramètres!$A$1:$I$89,5,0)</f>
        <v>2.3000323423303328</v>
      </c>
      <c r="CA8" s="14">
        <f t="shared" si="39"/>
        <v>0.96201130773589061</v>
      </c>
      <c r="CB8" s="22">
        <f t="shared" si="10"/>
        <v>5.6813926905320047</v>
      </c>
      <c r="CC8" s="62">
        <f t="shared" si="11"/>
        <v>268.45917046830976</v>
      </c>
      <c r="CD8" s="62">
        <f ca="1">AVERAGE(OFFSET($CC$3,0,0,'Données projet'!$E$12+1,1))-AVERAGE(OFFSET($H$3,0,0,'Données projet'!$E$12+1,1))</f>
        <v>197.51529454208725</v>
      </c>
      <c r="CE8" s="62">
        <f t="shared" si="40"/>
        <v>196.65362486387215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3.6</v>
      </c>
      <c r="CT8" s="13">
        <f>IF('Données projet'!$A$140&gt;35,CT7+CS8-DB7,IF(A8&lt;'Données projet'!$A$140,$CQ$205^A8,IF(A8='Données projet'!$A$140,'Données projet'!$B$140,CT7+CS8-DB7)))</f>
        <v>6.0000000000000009</v>
      </c>
      <c r="CU8" s="18">
        <f>CT8*VLOOKUP('Données projet'!$B$13,Paramètres!$A$1:$I$89,3,0)*VLOOKUP('Données projet'!$B$13,Paramètres!$A$1:$I$89,5,0)</f>
        <v>3.2760000000000007</v>
      </c>
      <c r="CV8" s="14">
        <f t="shared" si="41"/>
        <v>1.3149520873221716</v>
      </c>
      <c r="CW8" s="22">
        <f t="shared" si="13"/>
        <v>7.9959082187527839</v>
      </c>
      <c r="CX8" s="62">
        <f t="shared" si="14"/>
        <v>270.77368599653056</v>
      </c>
      <c r="CY8" s="62">
        <f ca="1">AVERAGE(OFFSET($CX$3,0,0,'Données projet'!$E$13+1,1))-AVERAGE(OFFSET($H$3,0,0,'Données projet'!$E$13+1,1))</f>
        <v>303.14853302260451</v>
      </c>
      <c r="CZ8" s="62">
        <f t="shared" si="42"/>
        <v>298.74602928001929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70">
        <f t="shared" si="1"/>
        <v>256.66666666666669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4.3352272727272725</v>
      </c>
      <c r="N9" s="14">
        <f>IF('Données projet'!$A$36&gt;35,N8+M9-V8,IF(A9&lt;'Données projet'!$A$36,$K$205^A9,IF(A9='Données projet'!$A$36,'Données projet'!$B$36,N8+M9-V8)))</f>
        <v>26.011363636363637</v>
      </c>
      <c r="O9" s="14">
        <f>N9*VLOOKUP('Données projet'!$B$9,Paramètres!$A$1:$I$89,3,0)*VLOOKUP('Données projet'!$B$9,Paramètres!$A$1:$I$89,5,0)</f>
        <v>23.535081818181819</v>
      </c>
      <c r="P9" s="14">
        <f t="shared" si="33"/>
        <v>7.5093106069409075</v>
      </c>
      <c r="Q9" s="22">
        <f t="shared" si="2"/>
        <v>54.068983473755416</v>
      </c>
      <c r="R9" s="62">
        <f t="shared" si="0"/>
        <v>318.0689834737554</v>
      </c>
      <c r="S9" s="62">
        <f ca="1">AVERAGE(OFFSET($R$3,0,0,'Données projet'!$E$9+1,1))-AVERAGE(OFFSET($H$3,0,0,'Données projet'!$E$9+1,1))</f>
        <v>441.6145113257511</v>
      </c>
      <c r="T9" s="62">
        <f t="shared" si="34"/>
        <v>295.8399381972477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2.9444444444444446</v>
      </c>
      <c r="AI9" s="14">
        <f>IF('Données projet'!$A$62&gt;35,AI8+AH9-AQ8,IF(A9&lt;'Données projet'!$A$62,$AF$205^A9,IF(A9='Données projet'!$A$62,'Données projet'!$B$62,AI8+AH9-AQ8)))</f>
        <v>3.7562857542210724</v>
      </c>
      <c r="AJ9" s="14">
        <f>AI9*VLOOKUP('Données projet'!$B$10,Paramètres!$A$1:$I$89,3,0)*VLOOKUP('Données projet'!$B$10,Paramètres!$A$1:$I$89,5,0)</f>
        <v>3.22289317712168</v>
      </c>
      <c r="AK9" s="14">
        <f t="shared" si="35"/>
        <v>1.2960989293656433</v>
      </c>
      <c r="AL9" s="22">
        <f t="shared" si="4"/>
        <v>7.8705779187987526</v>
      </c>
      <c r="AM9" s="62">
        <f t="shared" si="5"/>
        <v>271.87057791879874</v>
      </c>
      <c r="AN9" s="62">
        <f ca="1">AVERAGE(OFFSET($AM$3,0,0,'Données projet'!$E$10+1,1))-AVERAGE(OFFSET($H$3,0,0,'Données projet'!$E$10+1,1))</f>
        <v>623.31285537237943</v>
      </c>
      <c r="AO9" s="62">
        <f t="shared" si="36"/>
        <v>462.33909258902241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2.4666666666666668</v>
      </c>
      <c r="BD9" s="13">
        <f>IF('Données projet'!$A$88&gt;35,BD8+BC9-BL8,IF(A9&lt;'Données projet'!$A$88,$BA$205^A9,IF(A9='Données projet'!$A$88,'Données projet'!$B$88,BD8+BC9-BL8)))</f>
        <v>4.2391685997738069</v>
      </c>
      <c r="BE9" s="14">
        <f>BD9*VLOOKUP('Données projet'!$B$11,Paramètres!$A$1:$I$89,3,0)*VLOOKUP('Données projet'!$B$11,Paramètres!$A$1:$I$89,5,0)</f>
        <v>3.3726825379800407</v>
      </c>
      <c r="BF9" s="14">
        <f t="shared" si="37"/>
        <v>1.3491840083541735</v>
      </c>
      <c r="BG9" s="22">
        <f t="shared" si="7"/>
        <v>8.2239175681987557</v>
      </c>
      <c r="BH9" s="62">
        <f t="shared" si="8"/>
        <v>272.22391756819877</v>
      </c>
      <c r="BI9" s="62">
        <f ca="1">AVERAGE(OFFSET($BH$3,0,0,'Données projet'!$E$11+1,1))-AVERAGE(OFFSET($H$3,0,0,'Données projet'!$E$11+1,1))</f>
        <v>299.10536994156814</v>
      </c>
      <c r="BJ9" s="62">
        <f t="shared" si="38"/>
        <v>292.57799203101769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1.7093333333333334</v>
      </c>
      <c r="BY9" s="13">
        <f>IF('Données projet'!$A$114&gt;35,BY8+BX9-CG8,IF(A9&lt;'Données projet'!$A$114,$BV$205^A9,IF(A9='Données projet'!$A$114,'Données projet'!$B$114,BY8+BX9-CG8)))</f>
        <v>3.6607258697617988</v>
      </c>
      <c r="BZ9" s="14">
        <f>BY9*VLOOKUP('Données projet'!$B$12,Paramètres!$A$1:$I$89,3,0)*VLOOKUP('Données projet'!$B$12,Paramètres!$A$1:$I$89,5,0)</f>
        <v>2.855366178414203</v>
      </c>
      <c r="CA9" s="14">
        <f t="shared" si="39"/>
        <v>1.1645947851839489</v>
      </c>
      <c r="CB9" s="22">
        <f t="shared" si="10"/>
        <v>7.0014320116001132</v>
      </c>
      <c r="CC9" s="62">
        <f t="shared" si="11"/>
        <v>271.00143201160012</v>
      </c>
      <c r="CD9" s="62">
        <f ca="1">AVERAGE(OFFSET($CC$3,0,0,'Données projet'!$E$12+1,1))-AVERAGE(OFFSET($H$3,0,0,'Données projet'!$E$12+1,1))</f>
        <v>197.51529454208725</v>
      </c>
      <c r="CE9" s="62">
        <f t="shared" si="40"/>
        <v>196.65362486387215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3.6</v>
      </c>
      <c r="CT9" s="13">
        <f>IF('Données projet'!$A$140&gt;35,CT8+CS9-DB8,IF(A9&lt;'Données projet'!$A$140,$CQ$205^A9,IF(A9='Données projet'!$A$140,'Données projet'!$B$140,CT8+CS9-DB8)))</f>
        <v>8.5858144866315342</v>
      </c>
      <c r="CU9" s="18">
        <f>CT9*VLOOKUP('Données projet'!$B$13,Paramètres!$A$1:$I$89,3,0)*VLOOKUP('Données projet'!$B$13,Paramètres!$A$1:$I$89,5,0)</f>
        <v>4.6878547097008179</v>
      </c>
      <c r="CV9" s="14">
        <f t="shared" si="41"/>
        <v>1.8047822779434171</v>
      </c>
      <c r="CW9" s="22">
        <f t="shared" si="13"/>
        <v>11.308009420147043</v>
      </c>
      <c r="CX9" s="62">
        <f t="shared" si="14"/>
        <v>275.30800942014702</v>
      </c>
      <c r="CY9" s="62">
        <f ca="1">AVERAGE(OFFSET($CX$3,0,0,'Données projet'!$E$13+1,1))-AVERAGE(OFFSET($H$3,0,0,'Données projet'!$E$13+1,1))</f>
        <v>303.14853302260451</v>
      </c>
      <c r="CZ9" s="62">
        <f t="shared" si="42"/>
        <v>298.74602928001929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70">
        <f t="shared" si="1"/>
        <v>256.66666666666669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4.3352272727272725</v>
      </c>
      <c r="N10" s="14">
        <f>IF('Données projet'!$A$36&gt;35,N9+M10-V9,IF(A10&lt;'Données projet'!$A$36,$K$205^A10,IF(A10='Données projet'!$A$36,'Données projet'!$B$36,N9+M10-V9)))</f>
        <v>30.34659090909091</v>
      </c>
      <c r="O10" s="14">
        <f>N10*VLOOKUP('Données projet'!$B$9,Paramètres!$A$1:$I$89,3,0)*VLOOKUP('Données projet'!$B$9,Paramètres!$A$1:$I$89,5,0)</f>
        <v>27.457595454545455</v>
      </c>
      <c r="P10" s="14">
        <f t="shared" si="33"/>
        <v>8.6050669120118162</v>
      </c>
      <c r="Q10" s="22">
        <f t="shared" si="2"/>
        <v>62.80913695508724</v>
      </c>
      <c r="R10" s="62">
        <f t="shared" si="0"/>
        <v>328.03135917730947</v>
      </c>
      <c r="S10" s="62">
        <f ca="1">AVERAGE(OFFSET($R$3,0,0,'Données projet'!$E$9+1,1))-AVERAGE(OFFSET($H$3,0,0,'Données projet'!$E$9+1,1))</f>
        <v>441.6145113257511</v>
      </c>
      <c r="T10" s="62">
        <f t="shared" si="34"/>
        <v>295.8399381972477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2.9444444444444446</v>
      </c>
      <c r="AI10" s="14">
        <f>IF('Données projet'!$A$62&gt;35,AI9+AH10-AQ9,IF(A10&lt;'Données projet'!$A$62,$AF$205^A10,IF(A10='Données projet'!$A$62,'Données projet'!$B$62,AI9+AH10-AQ9)))</f>
        <v>4.6832972892001132</v>
      </c>
      <c r="AJ10" s="14">
        <f>AI10*VLOOKUP('Données projet'!$B$10,Paramètres!$A$1:$I$89,3,0)*VLOOKUP('Données projet'!$B$10,Paramètres!$A$1:$I$89,5,0)</f>
        <v>4.0182690741336975</v>
      </c>
      <c r="AK10" s="14">
        <f t="shared" si="35"/>
        <v>1.5750013792707078</v>
      </c>
      <c r="AL10" s="22">
        <f t="shared" si="4"/>
        <v>9.7416127063460056</v>
      </c>
      <c r="AM10" s="62">
        <f t="shared" si="5"/>
        <v>274.96383492856825</v>
      </c>
      <c r="AN10" s="62">
        <f ca="1">AVERAGE(OFFSET($AM$3,0,0,'Données projet'!$E$10+1,1))-AVERAGE(OFFSET($H$3,0,0,'Données projet'!$E$10+1,1))</f>
        <v>623.31285537237943</v>
      </c>
      <c r="AO10" s="62">
        <f t="shared" si="36"/>
        <v>462.33909258902241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2.4666666666666668</v>
      </c>
      <c r="BD10" s="13">
        <f>IF('Données projet'!$A$88&gt;35,BD9+BC10-BL9,IF(A10&lt;'Données projet'!$A$88,$BA$205^A10,IF(A10='Données projet'!$A$88,'Données projet'!$B$88,BD9+BC10-BL9)))</f>
        <v>5.3929633792034757</v>
      </c>
      <c r="BE10" s="14">
        <f>BD10*VLOOKUP('Données projet'!$B$11,Paramètres!$A$1:$I$89,3,0)*VLOOKUP('Données projet'!$B$11,Paramètres!$A$1:$I$89,5,0)</f>
        <v>4.2906416644942853</v>
      </c>
      <c r="BF10" s="14">
        <f t="shared" si="37"/>
        <v>1.6689707336887791</v>
      </c>
      <c r="BG10" s="22">
        <f t="shared" si="7"/>
        <v>10.379658260168837</v>
      </c>
      <c r="BH10" s="62">
        <f t="shared" si="8"/>
        <v>275.60188048239104</v>
      </c>
      <c r="BI10" s="62">
        <f ca="1">AVERAGE(OFFSET($BH$3,0,0,'Données projet'!$E$11+1,1))-AVERAGE(OFFSET($H$3,0,0,'Données projet'!$E$11+1,1))</f>
        <v>299.10536994156814</v>
      </c>
      <c r="BJ10" s="62">
        <f t="shared" si="38"/>
        <v>292.57799203101769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1.7093333333333334</v>
      </c>
      <c r="BY10" s="13">
        <f>IF('Données projet'!$A$114&gt;35,BY9+BX10-CG9,IF(A10&lt;'Données projet'!$A$114,$BV$205^A10,IF(A10='Données projet'!$A$114,'Données projet'!$B$114,BY9+BX10-CG9)))</f>
        <v>4.544593849655759</v>
      </c>
      <c r="BZ10" s="14">
        <f>BY10*VLOOKUP('Données projet'!$B$12,Paramètres!$A$1:$I$89,3,0)*VLOOKUP('Données projet'!$B$12,Paramètres!$A$1:$I$89,5,0)</f>
        <v>3.5447832027314923</v>
      </c>
      <c r="CA10" s="14">
        <f t="shared" si="39"/>
        <v>1.4098389517579353</v>
      </c>
      <c r="CB10" s="22">
        <f t="shared" si="10"/>
        <v>8.6293002524024196</v>
      </c>
      <c r="CC10" s="62">
        <f t="shared" si="11"/>
        <v>273.85152247462463</v>
      </c>
      <c r="CD10" s="62">
        <f ca="1">AVERAGE(OFFSET($CC$3,0,0,'Données projet'!$E$12+1,1))-AVERAGE(OFFSET($H$3,0,0,'Données projet'!$E$12+1,1))</f>
        <v>197.51529454208725</v>
      </c>
      <c r="CE10" s="62">
        <f t="shared" si="40"/>
        <v>196.65362486387215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3.6</v>
      </c>
      <c r="CT10" s="13">
        <f>IF('Données projet'!$A$140&gt;35,CT9+CS10-DB9,IF(A10&lt;'Données projet'!$A$140,$CQ$205^A10,IF(A10='Données projet'!$A$140,'Données projet'!$B$140,CT9+CS10-DB9)))</f>
        <v>12.286035066475318</v>
      </c>
      <c r="CU10" s="18">
        <f>CT10*VLOOKUP('Données projet'!$B$13,Paramètres!$A$1:$I$89,3,0)*VLOOKUP('Données projet'!$B$13,Paramètres!$A$1:$I$89,5,0)</f>
        <v>6.708175146295523</v>
      </c>
      <c r="CV10" s="14">
        <f t="shared" si="41"/>
        <v>2.4770781400954469</v>
      </c>
      <c r="CW10" s="22">
        <f t="shared" si="13"/>
        <v>15.997649473797606</v>
      </c>
      <c r="CX10" s="62">
        <f t="shared" si="14"/>
        <v>281.21987169601982</v>
      </c>
      <c r="CY10" s="62">
        <f ca="1">AVERAGE(OFFSET($CX$3,0,0,'Données projet'!$E$13+1,1))-AVERAGE(OFFSET($H$3,0,0,'Données projet'!$E$13+1,1))</f>
        <v>303.14853302260451</v>
      </c>
      <c r="CZ10" s="62">
        <f t="shared" si="42"/>
        <v>298.74602928001929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70">
        <f t="shared" si="1"/>
        <v>256.66666666666669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4.3352272727272725</v>
      </c>
      <c r="N11" s="14">
        <f>IF('Données projet'!$A$36&gt;35,N10+M11-V10,IF(A11&lt;'Données projet'!$A$36,$K$205^A11,IF(A11='Données projet'!$A$36,'Données projet'!$B$36,N10+M11-V10)))</f>
        <v>34.68181818181818</v>
      </c>
      <c r="O11" s="14">
        <f>N11*VLOOKUP('Données projet'!$B$9,Paramètres!$A$1:$I$89,3,0)*VLOOKUP('Données projet'!$B$9,Paramètres!$A$1:$I$89,5,0)</f>
        <v>31.380109090909087</v>
      </c>
      <c r="P11" s="14">
        <f t="shared" si="33"/>
        <v>9.68268795556226</v>
      </c>
      <c r="Q11" s="22">
        <f t="shared" si="2"/>
        <v>71.517704855937595</v>
      </c>
      <c r="R11" s="62">
        <f t="shared" si="0"/>
        <v>337.96214930038207</v>
      </c>
      <c r="S11" s="62">
        <f ca="1">AVERAGE(OFFSET($R$3,0,0,'Données projet'!$E$9+1,1))-AVERAGE(OFFSET($H$3,0,0,'Données projet'!$E$9+1,1))</f>
        <v>441.6145113257511</v>
      </c>
      <c r="T11" s="62">
        <f t="shared" si="34"/>
        <v>295.8399381972477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2.9444444444444446</v>
      </c>
      <c r="AI11" s="14">
        <f>IF('Données projet'!$A$62&gt;35,AI10+AH11-AQ10,IF(A11&lt;'Données projet'!$A$62,$AF$205^A11,IF(A11='Données projet'!$A$62,'Données projet'!$B$62,AI10+AH11-AQ10)))</f>
        <v>5.8390854514680983</v>
      </c>
      <c r="AJ11" s="14">
        <f>AI11*VLOOKUP('Données projet'!$B$10,Paramètres!$A$1:$I$89,3,0)*VLOOKUP('Données projet'!$B$10,Paramètres!$A$1:$I$89,5,0)</f>
        <v>5.0099353173596288</v>
      </c>
      <c r="AK11" s="14">
        <f t="shared" si="35"/>
        <v>1.9139197545041875</v>
      </c>
      <c r="AL11" s="22">
        <f t="shared" si="4"/>
        <v>12.059047583496145</v>
      </c>
      <c r="AM11" s="62">
        <f t="shared" si="5"/>
        <v>278.50349202794058</v>
      </c>
      <c r="AN11" s="62">
        <f ca="1">AVERAGE(OFFSET($AM$3,0,0,'Données projet'!$E$10+1,1))-AVERAGE(OFFSET($H$3,0,0,'Données projet'!$E$10+1,1))</f>
        <v>623.31285537237943</v>
      </c>
      <c r="AO11" s="62">
        <f t="shared" si="36"/>
        <v>462.33909258902241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2.4666666666666668</v>
      </c>
      <c r="BD11" s="13">
        <f>IF('Données projet'!$A$88&gt;35,BD10+BC11-BL10,IF(A11&lt;'Données projet'!$A$88,$BA$205^A11,IF(A11='Données projet'!$A$88,'Données projet'!$B$88,BD10+BC11-BL10)))</f>
        <v>6.8607919984549888</v>
      </c>
      <c r="BE11" s="14">
        <f>BD11*VLOOKUP('Données projet'!$B$11,Paramètres!$A$1:$I$89,3,0)*VLOOKUP('Données projet'!$B$11,Paramètres!$A$1:$I$89,5,0)</f>
        <v>5.4584461139707896</v>
      </c>
      <c r="BF11" s="14">
        <f t="shared" si="37"/>
        <v>2.0645540509389519</v>
      </c>
      <c r="BG11" s="22">
        <f t="shared" si="7"/>
        <v>13.102558620551131</v>
      </c>
      <c r="BH11" s="62">
        <f t="shared" si="8"/>
        <v>279.54700306499558</v>
      </c>
      <c r="BI11" s="62">
        <f ca="1">AVERAGE(OFFSET($BH$3,0,0,'Données projet'!$E$11+1,1))-AVERAGE(OFFSET($H$3,0,0,'Données projet'!$E$11+1,1))</f>
        <v>299.10536994156814</v>
      </c>
      <c r="BJ11" s="62">
        <f t="shared" si="38"/>
        <v>292.57799203101769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1.7093333333333334</v>
      </c>
      <c r="BY11" s="13">
        <f>IF('Données projet'!$A$114&gt;35,BY10+BX11-CG10,IF(A11&lt;'Données projet'!$A$114,$BV$205^A11,IF(A11='Données projet'!$A$114,'Données projet'!$B$114,BY10+BX11-CG10)))</f>
        <v>5.6418683051164518</v>
      </c>
      <c r="BZ11" s="14">
        <f>BY11*VLOOKUP('Données projet'!$B$12,Paramètres!$A$1:$I$89,3,0)*VLOOKUP('Données projet'!$B$12,Paramètres!$A$1:$I$89,5,0)</f>
        <v>4.4006572779908328</v>
      </c>
      <c r="CA11" s="14">
        <f t="shared" si="39"/>
        <v>1.7067274344526304</v>
      </c>
      <c r="CB11" s="22">
        <f t="shared" si="10"/>
        <v>10.637028374172365</v>
      </c>
      <c r="CC11" s="62">
        <f t="shared" si="11"/>
        <v>277.08147281861682</v>
      </c>
      <c r="CD11" s="62">
        <f ca="1">AVERAGE(OFFSET($CC$3,0,0,'Données projet'!$E$12+1,1))-AVERAGE(OFFSET($H$3,0,0,'Données projet'!$E$12+1,1))</f>
        <v>197.51529454208725</v>
      </c>
      <c r="CE11" s="62">
        <f t="shared" si="40"/>
        <v>196.65362486387215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3.6</v>
      </c>
      <c r="CT11" s="13">
        <f>IF('Données projet'!$A$140&gt;35,CT10+CS11-DB10,IF(A11&lt;'Données projet'!$A$140,$CQ$205^A11,IF(A11='Données projet'!$A$140,'Données projet'!$B$140,CT10+CS11-DB10)))</f>
        <v>17.580936309501134</v>
      </c>
      <c r="CU11" s="18">
        <f>CT11*VLOOKUP('Données projet'!$B$13,Paramètres!$A$1:$I$89,3,0)*VLOOKUP('Données projet'!$B$13,Paramètres!$A$1:$I$89,5,0)</f>
        <v>9.599191224987619</v>
      </c>
      <c r="CV11" s="14">
        <f t="shared" si="41"/>
        <v>3.3998095987127641</v>
      </c>
      <c r="CW11" s="22">
        <f t="shared" si="13"/>
        <v>22.6399264346115</v>
      </c>
      <c r="CX11" s="62">
        <f t="shared" si="14"/>
        <v>289.08437087905594</v>
      </c>
      <c r="CY11" s="62">
        <f ca="1">AVERAGE(OFFSET($CX$3,0,0,'Données projet'!$E$13+1,1))-AVERAGE(OFFSET($H$3,0,0,'Données projet'!$E$13+1,1))</f>
        <v>303.14853302260451</v>
      </c>
      <c r="CZ11" s="62">
        <f t="shared" si="42"/>
        <v>298.74602928001929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70">
        <f t="shared" si="1"/>
        <v>256.66666666666669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4.3352272727272725</v>
      </c>
      <c r="N12" s="14">
        <f>IF('Données projet'!$A$36&gt;35,N11+M12-V11,IF(A12&lt;'Données projet'!$A$36,$K$205^A12,IF(A12='Données projet'!$A$36,'Données projet'!$B$36,N11+M12-V11)))</f>
        <v>39.017045454545453</v>
      </c>
      <c r="O12" s="14">
        <f>N12*VLOOKUP('Données projet'!$B$9,Paramètres!$A$1:$I$89,3,0)*VLOOKUP('Données projet'!$B$9,Paramètres!$A$1:$I$89,5,0)</f>
        <v>35.302622727272727</v>
      </c>
      <c r="P12" s="14">
        <f t="shared" si="33"/>
        <v>10.744700265028126</v>
      </c>
      <c r="Q12" s="22">
        <f t="shared" si="2"/>
        <v>80.19908754492397</v>
      </c>
      <c r="R12" s="62">
        <f t="shared" si="0"/>
        <v>347.86575421159068</v>
      </c>
      <c r="S12" s="62">
        <f ca="1">AVERAGE(OFFSET($R$3,0,0,'Données projet'!$E$9+1,1))-AVERAGE(OFFSET($H$3,0,0,'Données projet'!$E$9+1,1))</f>
        <v>441.6145113257511</v>
      </c>
      <c r="T12" s="62">
        <f t="shared" si="34"/>
        <v>295.8399381972477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2.9444444444444446</v>
      </c>
      <c r="AI12" s="14">
        <f>IF('Données projet'!$A$62&gt;35,AI11+AH12-AQ11,IF(A12&lt;'Données projet'!$A$62,$AF$205^A12,IF(A12='Données projet'!$A$62,'Données projet'!$B$62,AI11+AH12-AQ11)))</f>
        <v>7.2801098892805198</v>
      </c>
      <c r="AJ12" s="14">
        <f>AI12*VLOOKUP('Données projet'!$B$10,Paramètres!$A$1:$I$89,3,0)*VLOOKUP('Données projet'!$B$10,Paramètres!$A$1:$I$89,5,0)</f>
        <v>6.2463342850026864</v>
      </c>
      <c r="AK12" s="14">
        <f t="shared" si="35"/>
        <v>2.3257686468678105</v>
      </c>
      <c r="AL12" s="22">
        <f t="shared" si="4"/>
        <v>14.929745939674447</v>
      </c>
      <c r="AM12" s="62">
        <f t="shared" si="5"/>
        <v>282.59641260634112</v>
      </c>
      <c r="AN12" s="62">
        <f ca="1">AVERAGE(OFFSET($AM$3,0,0,'Données projet'!$E$10+1,1))-AVERAGE(OFFSET($H$3,0,0,'Données projet'!$E$10+1,1))</f>
        <v>623.31285537237943</v>
      </c>
      <c r="AO12" s="62">
        <f t="shared" si="36"/>
        <v>462.33909258902241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2.4666666666666668</v>
      </c>
      <c r="BD12" s="13">
        <f>IF('Données projet'!$A$88&gt;35,BD11+BC12-BL11,IF(A12&lt;'Données projet'!$A$88,$BA$205^A12,IF(A12='Données projet'!$A$88,'Données projet'!$B$88,BD11+BC12-BL11)))</f>
        <v>8.7281265486761299</v>
      </c>
      <c r="BE12" s="14">
        <f>BD12*VLOOKUP('Données projet'!$B$11,Paramètres!$A$1:$I$89,3,0)*VLOOKUP('Données projet'!$B$11,Paramètres!$A$1:$I$89,5,0)</f>
        <v>6.9440974821267289</v>
      </c>
      <c r="BF12" s="14">
        <f t="shared" si="37"/>
        <v>2.5538994442566798</v>
      </c>
      <c r="BG12" s="22">
        <f t="shared" si="7"/>
        <v>16.542344646784436</v>
      </c>
      <c r="BH12" s="62">
        <f t="shared" si="8"/>
        <v>284.20901131345113</v>
      </c>
      <c r="BI12" s="62">
        <f ca="1">AVERAGE(OFFSET($BH$3,0,0,'Données projet'!$E$11+1,1))-AVERAGE(OFFSET($H$3,0,0,'Données projet'!$E$11+1,1))</f>
        <v>299.10536994156814</v>
      </c>
      <c r="BJ12" s="62">
        <f t="shared" si="38"/>
        <v>292.57799203101769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1.7093333333333334</v>
      </c>
      <c r="BY12" s="13">
        <f>IF('Données projet'!$A$114&gt;35,BY11+BX12-CG11,IF(A12&lt;'Données projet'!$A$114,$BV$205^A12,IF(A12='Données projet'!$A$114,'Données projet'!$B$114,BY11+BX12-CG11)))</f>
        <v>7.0040753971201797</v>
      </c>
      <c r="BZ12" s="14">
        <f>BY12*VLOOKUP('Données projet'!$B$12,Paramètres!$A$1:$I$89,3,0)*VLOOKUP('Données projet'!$B$12,Paramètres!$A$1:$I$89,5,0)</f>
        <v>5.4631788097537406</v>
      </c>
      <c r="CA12" s="14">
        <f t="shared" si="39"/>
        <v>2.0661356617230116</v>
      </c>
      <c r="CB12" s="22">
        <f t="shared" si="10"/>
        <v>13.11355603782201</v>
      </c>
      <c r="CC12" s="62">
        <f t="shared" si="11"/>
        <v>280.78022270448872</v>
      </c>
      <c r="CD12" s="62">
        <f ca="1">AVERAGE(OFFSET($CC$3,0,0,'Données projet'!$E$12+1,1))-AVERAGE(OFFSET($H$3,0,0,'Données projet'!$E$12+1,1))</f>
        <v>197.51529454208725</v>
      </c>
      <c r="CE12" s="62">
        <f t="shared" si="40"/>
        <v>196.65362486387215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3.6</v>
      </c>
      <c r="CT12" s="13">
        <f>IF('Données projet'!$A$140&gt;35,CT11+CS12-DB11,IF(A12&lt;'Données projet'!$A$140,$CQ$205^A12,IF(A12='Données projet'!$A$140,'Données projet'!$B$140,CT11+CS12-DB11)))</f>
        <v>25.157776275776861</v>
      </c>
      <c r="CU12" s="18">
        <f>CT12*VLOOKUP('Données projet'!$B$13,Paramètres!$A$1:$I$89,3,0)*VLOOKUP('Données projet'!$B$13,Paramètres!$A$1:$I$89,5,0)</f>
        <v>13.736145846574166</v>
      </c>
      <c r="CV12" s="14">
        <f t="shared" si="41"/>
        <v>4.6662659204824557</v>
      </c>
      <c r="CW12" s="22">
        <f t="shared" si="13"/>
        <v>32.050867160956948</v>
      </c>
      <c r="CX12" s="62">
        <f t="shared" si="14"/>
        <v>299.71753382762364</v>
      </c>
      <c r="CY12" s="62">
        <f ca="1">AVERAGE(OFFSET($CX$3,0,0,'Données projet'!$E$13+1,1))-AVERAGE(OFFSET($H$3,0,0,'Données projet'!$E$13+1,1))</f>
        <v>303.14853302260451</v>
      </c>
      <c r="CZ12" s="62">
        <f t="shared" si="42"/>
        <v>298.74602928001929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70">
        <f t="shared" si="1"/>
        <v>256.66666666666669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4.3352272727272725</v>
      </c>
      <c r="N13" s="14">
        <f>IF('Données projet'!$A$36&gt;35,N12+M13-V12,IF(A13&lt;'Données projet'!$A$36,$K$205^A13,IF(A13='Données projet'!$A$36,'Données projet'!$B$36,N12+M13-V12)))</f>
        <v>43.352272727272727</v>
      </c>
      <c r="O13" s="14">
        <f>N13*VLOOKUP('Données projet'!$B$9,Paramètres!$A$1:$I$89,3,0)*VLOOKUP('Données projet'!$B$9,Paramètres!$A$1:$I$89,5,0)</f>
        <v>39.225136363636359</v>
      </c>
      <c r="P13" s="14">
        <f t="shared" si="33"/>
        <v>11.793035979734796</v>
      </c>
      <c r="Q13" s="22">
        <f t="shared" si="2"/>
        <v>88.85665016470476</v>
      </c>
      <c r="R13" s="62">
        <f t="shared" si="0"/>
        <v>357.74553905359363</v>
      </c>
      <c r="S13" s="62">
        <f ca="1">AVERAGE(OFFSET($R$3,0,0,'Données projet'!$E$9+1,1))-AVERAGE(OFFSET($H$3,0,0,'Données projet'!$E$9+1,1))</f>
        <v>441.6145113257511</v>
      </c>
      <c r="T13" s="62">
        <f t="shared" si="34"/>
        <v>295.8399381972477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2.9444444444444446</v>
      </c>
      <c r="AI13" s="14">
        <f>IF('Données projet'!$A$62&gt;35,AI12+AH13-AQ12,IF(A13&lt;'Données projet'!$A$62,$AF$205^A13,IF(A13='Données projet'!$A$62,'Données projet'!$B$62,AI12+AH13-AQ12)))</f>
        <v>9.0767638940228981</v>
      </c>
      <c r="AJ13" s="14">
        <f>AI13*VLOOKUP('Données projet'!$B$10,Paramètres!$A$1:$I$89,3,0)*VLOOKUP('Données projet'!$B$10,Paramètres!$A$1:$I$89,5,0)</f>
        <v>7.7878634210716475</v>
      </c>
      <c r="AK13" s="14">
        <f t="shared" si="35"/>
        <v>2.8262416885678747</v>
      </c>
      <c r="AL13" s="22">
        <f t="shared" si="4"/>
        <v>18.486233065955503</v>
      </c>
      <c r="AM13" s="62">
        <f t="shared" si="5"/>
        <v>287.37512195484436</v>
      </c>
      <c r="AN13" s="62">
        <f ca="1">AVERAGE(OFFSET($AM$3,0,0,'Données projet'!$E$10+1,1))-AVERAGE(OFFSET($H$3,0,0,'Données projet'!$E$10+1,1))</f>
        <v>623.31285537237943</v>
      </c>
      <c r="AO13" s="62">
        <f t="shared" si="36"/>
        <v>462.33909258902241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2.4666666666666668</v>
      </c>
      <c r="BD13" s="13">
        <f>IF('Données projet'!$A$88&gt;35,BD12+BC13-BL12,IF(A13&lt;'Données projet'!$A$88,$BA$205^A13,IF(A13='Données projet'!$A$88,'Données projet'!$B$88,BD12+BC13-BL12)))</f>
        <v>11.103702468586782</v>
      </c>
      <c r="BE13" s="14">
        <f>BD13*VLOOKUP('Données projet'!$B$11,Paramètres!$A$1:$I$89,3,0)*VLOOKUP('Données projet'!$B$11,Paramètres!$A$1:$I$89,5,0)</f>
        <v>8.8341056840076444</v>
      </c>
      <c r="BF13" s="14">
        <f t="shared" si="37"/>
        <v>3.1592306185484516</v>
      </c>
      <c r="BG13" s="22">
        <f t="shared" si="7"/>
        <v>20.888394060285197</v>
      </c>
      <c r="BH13" s="62">
        <f t="shared" si="8"/>
        <v>289.77728294917404</v>
      </c>
      <c r="BI13" s="62">
        <f ca="1">AVERAGE(OFFSET($BH$3,0,0,'Données projet'!$E$11+1,1))-AVERAGE(OFFSET($H$3,0,0,'Données projet'!$E$11+1,1))</f>
        <v>299.10536994156814</v>
      </c>
      <c r="BJ13" s="62">
        <f t="shared" si="38"/>
        <v>292.57799203101769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1.7093333333333334</v>
      </c>
      <c r="BY13" s="13">
        <f>IF('Données projet'!$A$114&gt;35,BY12+BX13-CG12,IF(A13&lt;'Données projet'!$A$114,$BV$205^A13,IF(A13='Données projet'!$A$114,'Données projet'!$B$114,BY12+BX13-CG12)))</f>
        <v>8.6951820771951951</v>
      </c>
      <c r="BZ13" s="14">
        <f>BY13*VLOOKUP('Données projet'!$B$12,Paramètres!$A$1:$I$89,3,0)*VLOOKUP('Données projet'!$B$12,Paramètres!$A$1:$I$89,5,0)</f>
        <v>6.7822420202122524</v>
      </c>
      <c r="CA13" s="14">
        <f t="shared" si="39"/>
        <v>2.501229245203223</v>
      </c>
      <c r="CB13" s="22">
        <f t="shared" si="10"/>
        <v>16.168712453931949</v>
      </c>
      <c r="CC13" s="62">
        <f t="shared" si="11"/>
        <v>285.05760134282082</v>
      </c>
      <c r="CD13" s="62">
        <f ca="1">AVERAGE(OFFSET($CC$3,0,0,'Données projet'!$E$12+1,1))-AVERAGE(OFFSET($H$3,0,0,'Données projet'!$E$12+1,1))</f>
        <v>197.51529454208725</v>
      </c>
      <c r="CE13" s="62">
        <f t="shared" si="40"/>
        <v>196.65362486387215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>
        <f>VLOOKUP(A13,'Données projet'!$A$139:$I$159,2,0)</f>
        <v>36</v>
      </c>
      <c r="CR13" s="13">
        <f>VLOOKUP(A13,'Données projet'!$A$139:$I$159,9,0)</f>
        <v>3.6</v>
      </c>
      <c r="CS13" s="13">
        <f t="array" ref="CS13">INDEX(CR:CR,MIN(IF(ISNUMBER(CR13:CR209),ROW(CR13:CR209),"")))</f>
        <v>3.6</v>
      </c>
      <c r="CT13" s="13">
        <f>IF('Données projet'!$A$140&gt;35,CT12+CS13-DB12,IF(A13&lt;'Données projet'!$A$140,$CQ$205^A13,IF(A13='Données projet'!$A$140,'Données projet'!$B$140,CT12+CS13-DB12)))</f>
        <v>36</v>
      </c>
      <c r="CU13" s="18">
        <f>CT13*VLOOKUP('Données projet'!$B$13,Paramètres!$A$1:$I$89,3,0)*VLOOKUP('Données projet'!$B$13,Paramètres!$A$1:$I$89,5,0)</f>
        <v>19.655999999999999</v>
      </c>
      <c r="CV13" s="14">
        <f t="shared" si="41"/>
        <v>6.4044873715575275</v>
      </c>
      <c r="CW13" s="22">
        <f t="shared" si="13"/>
        <v>45.388682172129364</v>
      </c>
      <c r="CX13" s="62">
        <f t="shared" si="14"/>
        <v>314.27757106101819</v>
      </c>
      <c r="CY13" s="62">
        <f ca="1">AVERAGE(OFFSET($CX$3,0,0,'Données projet'!$E$13+1,1))-AVERAGE(OFFSET($H$3,0,0,'Données projet'!$E$13+1,1))</f>
        <v>303.14853302260451</v>
      </c>
      <c r="CZ13" s="62">
        <f t="shared" si="42"/>
        <v>298.74602928001929</v>
      </c>
      <c r="DA13" s="16">
        <f>IF(ISNA(VLOOKUP(A13,'Données projet'!$A$139:$I$159,3,0)),0,VLOOKUP(A13,'Données projet'!$A$139:$I$159,3,0))</f>
        <v>1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0.33600000000000002</v>
      </c>
      <c r="DE13" s="17">
        <f>IF(ISNA(VLOOKUP(A13,'Données projet'!$A$139:$I$159,7,0)),0%,VLOOKUP(A13,'Données projet'!$A$139:$I$159,7,0))</f>
        <v>0.44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70">
        <f t="shared" si="1"/>
        <v>256.66666666666669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4.3352272727272725</v>
      </c>
      <c r="N14" s="14">
        <f>IF('Données projet'!$A$36&gt;35,N13+M14-V13,IF(A14&lt;'Données projet'!$A$36,$K$205^A14,IF(A14='Données projet'!$A$36,'Données projet'!$B$36,N13+M14-V13)))</f>
        <v>47.6875</v>
      </c>
      <c r="O14" s="14">
        <f>N14*VLOOKUP('Données projet'!$B$9,Paramètres!$A$1:$I$89,3,0)*VLOOKUP('Données projet'!$B$9,Paramètres!$A$1:$I$89,5,0)</f>
        <v>43.147649999999999</v>
      </c>
      <c r="P14" s="14">
        <f t="shared" si="33"/>
        <v>12.829218449594824</v>
      </c>
      <c r="Q14" s="22">
        <f t="shared" si="2"/>
        <v>97.493045883044317</v>
      </c>
      <c r="R14" s="62">
        <f t="shared" si="0"/>
        <v>367.60415699415546</v>
      </c>
      <c r="S14" s="62">
        <f ca="1">AVERAGE(OFFSET($R$3,0,0,'Données projet'!$E$9+1,1))-AVERAGE(OFFSET($H$3,0,0,'Données projet'!$E$9+1,1))</f>
        <v>441.6145113257511</v>
      </c>
      <c r="T14" s="62">
        <f t="shared" si="34"/>
        <v>295.8399381972477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2.9444444444444446</v>
      </c>
      <c r="AI14" s="14">
        <f>IF('Données projet'!$A$62&gt;35,AI13+AH14-AQ13,IF(A14&lt;'Données projet'!$A$62,$AF$205^A14,IF(A14='Données projet'!$A$62,'Données projet'!$B$62,AI13+AH14-AQ13)))</f>
        <v>11.316813075740528</v>
      </c>
      <c r="AJ14" s="14">
        <f>AI14*VLOOKUP('Données projet'!$B$10,Paramètres!$A$1:$I$89,3,0)*VLOOKUP('Données projet'!$B$10,Paramètres!$A$1:$I$89,5,0)</f>
        <v>9.7098256189853736</v>
      </c>
      <c r="AK14" s="14">
        <f t="shared" si="35"/>
        <v>3.4344095630303602</v>
      </c>
      <c r="AL14" s="22">
        <f t="shared" si="4"/>
        <v>22.892876275344069</v>
      </c>
      <c r="AM14" s="62">
        <f t="shared" si="5"/>
        <v>293.00398738645521</v>
      </c>
      <c r="AN14" s="62">
        <f ca="1">AVERAGE(OFFSET($AM$3,0,0,'Données projet'!$E$10+1,1))-AVERAGE(OFFSET($H$3,0,0,'Données projet'!$E$10+1,1))</f>
        <v>623.31285537237943</v>
      </c>
      <c r="AO14" s="62">
        <f t="shared" si="36"/>
        <v>462.33909258902241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2.4666666666666668</v>
      </c>
      <c r="BD14" s="13">
        <f>IF('Données projet'!$A$88&gt;35,BD13+BC14-BL13,IF(A14&lt;'Données projet'!$A$88,$BA$205^A14,IF(A14='Données projet'!$A$88,'Données projet'!$B$88,BD13+BC14-BL13)))</f>
        <v>14.125850240977657</v>
      </c>
      <c r="BE14" s="14">
        <f>BD14*VLOOKUP('Données projet'!$B$11,Paramètres!$A$1:$I$89,3,0)*VLOOKUP('Données projet'!$B$11,Paramètres!$A$1:$I$89,5,0)</f>
        <v>11.238526451721825</v>
      </c>
      <c r="BF14" s="14">
        <f t="shared" si="37"/>
        <v>3.9080387928425129</v>
      </c>
      <c r="BG14" s="22">
        <f t="shared" si="7"/>
        <v>26.380267800949554</v>
      </c>
      <c r="BH14" s="62">
        <f t="shared" si="8"/>
        <v>296.49137891206067</v>
      </c>
      <c r="BI14" s="62">
        <f ca="1">AVERAGE(OFFSET($BH$3,0,0,'Données projet'!$E$11+1,1))-AVERAGE(OFFSET($H$3,0,0,'Données projet'!$E$11+1,1))</f>
        <v>299.10536994156814</v>
      </c>
      <c r="BJ14" s="62">
        <f t="shared" si="38"/>
        <v>292.57799203101769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1.7093333333333334</v>
      </c>
      <c r="BY14" s="13">
        <f>IF('Données projet'!$A$114&gt;35,BY13+BX14-CG13,IF(A14&lt;'Données projet'!$A$114,$BV$205^A14,IF(A14='Données projet'!$A$114,'Données projet'!$B$114,BY13+BX14-CG13)))</f>
        <v>10.794599867765992</v>
      </c>
      <c r="BZ14" s="14">
        <f>BY14*VLOOKUP('Données projet'!$B$12,Paramètres!$A$1:$I$89,3,0)*VLOOKUP('Données projet'!$B$12,Paramètres!$A$1:$I$89,5,0)</f>
        <v>8.4197878968574749</v>
      </c>
      <c r="CA14" s="14">
        <f t="shared" si="39"/>
        <v>3.0279462539467028</v>
      </c>
      <c r="CB14" s="22">
        <f t="shared" si="10"/>
        <v>19.938136979317274</v>
      </c>
      <c r="CC14" s="62">
        <f t="shared" si="11"/>
        <v>290.04924809042842</v>
      </c>
      <c r="CD14" s="62">
        <f ca="1">AVERAGE(OFFSET($CC$3,0,0,'Données projet'!$E$12+1,1))-AVERAGE(OFFSET($H$3,0,0,'Données projet'!$E$12+1,1))</f>
        <v>197.51529454208725</v>
      </c>
      <c r="CE14" s="62">
        <f t="shared" si="40"/>
        <v>196.65362486387215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12.4</v>
      </c>
      <c r="CT14" s="13">
        <f>IF('Données projet'!$A$140&gt;35,CT13+CS14-DB13,IF(A14&lt;'Données projet'!$A$140,$CQ$205^A14,IF(A14='Données projet'!$A$140,'Données projet'!$B$140,CT13+CS14-DB13)))</f>
        <v>48.4</v>
      </c>
      <c r="CU14" s="18">
        <f>CT14*VLOOKUP('Données projet'!$B$13,Paramètres!$A$1:$I$89,3,0)*VLOOKUP('Données projet'!$B$13,Paramètres!$A$1:$I$89,5,0)</f>
        <v>26.426400000000001</v>
      </c>
      <c r="CV14" s="14">
        <f t="shared" si="41"/>
        <v>8.3188797294519006</v>
      </c>
      <c r="CW14" s="22">
        <f t="shared" si="13"/>
        <v>60.514695528795386</v>
      </c>
      <c r="CX14" s="62">
        <f t="shared" si="14"/>
        <v>330.6258066399065</v>
      </c>
      <c r="CY14" s="62">
        <f ca="1">AVERAGE(OFFSET($CX$3,0,0,'Données projet'!$E$13+1,1))-AVERAGE(OFFSET($H$3,0,0,'Données projet'!$E$13+1,1))</f>
        <v>303.14853302260451</v>
      </c>
      <c r="CZ14" s="62">
        <f t="shared" si="42"/>
        <v>298.74602928001929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70">
        <f t="shared" si="1"/>
        <v>256.66666666666669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4.3352272727272725</v>
      </c>
      <c r="N15" s="14">
        <f>IF('Données projet'!$A$36&gt;35,N14+M15-V14,IF(A15&lt;'Données projet'!$A$36,$K$205^A15,IF(A15='Données projet'!$A$36,'Données projet'!$B$36,N14+M15-V14)))</f>
        <v>52.022727272727273</v>
      </c>
      <c r="O15" s="14">
        <f>N15*VLOOKUP('Données projet'!$B$9,Paramètres!$A$1:$I$89,3,0)*VLOOKUP('Données projet'!$B$9,Paramètres!$A$1:$I$89,5,0)</f>
        <v>47.070163636363638</v>
      </c>
      <c r="P15" s="14">
        <f t="shared" si="33"/>
        <v>13.854478165565803</v>
      </c>
      <c r="Q15" s="22">
        <f t="shared" si="2"/>
        <v>106.11041780502711</v>
      </c>
      <c r="R15" s="62">
        <f t="shared" si="0"/>
        <v>377.44375113836043</v>
      </c>
      <c r="S15" s="62">
        <f ca="1">AVERAGE(OFFSET($R$3,0,0,'Données projet'!$E$9+1,1))-AVERAGE(OFFSET($H$3,0,0,'Données projet'!$E$9+1,1))</f>
        <v>441.6145113257511</v>
      </c>
      <c r="T15" s="62">
        <f t="shared" si="34"/>
        <v>295.8399381972477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2.9444444444444446</v>
      </c>
      <c r="AI15" s="14">
        <f>IF('Données projet'!$A$62&gt;35,AI14+AH15-AQ14,IF(A15&lt;'Données projet'!$A$62,$AF$205^A15,IF(A15='Données projet'!$A$62,'Données projet'!$B$62,AI14+AH15-AQ14)))</f>
        <v>14.109682667364172</v>
      </c>
      <c r="AJ15" s="14">
        <f>AI15*VLOOKUP('Données projet'!$B$10,Paramètres!$A$1:$I$89,3,0)*VLOOKUP('Données projet'!$B$10,Paramètres!$A$1:$I$89,5,0)</f>
        <v>12.106107728598461</v>
      </c>
      <c r="AK15" s="14">
        <f t="shared" si="35"/>
        <v>4.1734466993200732</v>
      </c>
      <c r="AL15" s="22">
        <f t="shared" si="4"/>
        <v>28.353557295291441</v>
      </c>
      <c r="AM15" s="62">
        <f t="shared" si="5"/>
        <v>299.68689062862478</v>
      </c>
      <c r="AN15" s="62">
        <f ca="1">AVERAGE(OFFSET($AM$3,0,0,'Données projet'!$E$10+1,1))-AVERAGE(OFFSET($H$3,0,0,'Données projet'!$E$10+1,1))</f>
        <v>623.31285537237943</v>
      </c>
      <c r="AO15" s="62">
        <f t="shared" si="36"/>
        <v>462.33909258902241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2.4666666666666668</v>
      </c>
      <c r="BD15" s="13">
        <f>IF('Données projet'!$A$88&gt;35,BD14+BC15-BL14,IF(A15&lt;'Données projet'!$A$88,$BA$205^A15,IF(A15='Données projet'!$A$88,'Données projet'!$B$88,BD14+BC15-BL14)))</f>
        <v>17.970550417308221</v>
      </c>
      <c r="BE15" s="14">
        <f>BD15*VLOOKUP('Données projet'!$B$11,Paramètres!$A$1:$I$89,3,0)*VLOOKUP('Données projet'!$B$11,Paramètres!$A$1:$I$89,5,0)</f>
        <v>14.297369912010421</v>
      </c>
      <c r="BF15" s="14">
        <f t="shared" si="37"/>
        <v>4.8343312187127445</v>
      </c>
      <c r="BG15" s="22">
        <f t="shared" si="7"/>
        <v>33.321046136009507</v>
      </c>
      <c r="BH15" s="62">
        <f t="shared" si="8"/>
        <v>304.65437946934281</v>
      </c>
      <c r="BI15" s="62">
        <f ca="1">AVERAGE(OFFSET($BH$3,0,0,'Données projet'!$E$11+1,1))-AVERAGE(OFFSET($H$3,0,0,'Données projet'!$E$11+1,1))</f>
        <v>299.10536994156814</v>
      </c>
      <c r="BJ15" s="62">
        <f t="shared" si="38"/>
        <v>292.57799203101769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1.7093333333333334</v>
      </c>
      <c r="BY15" s="13">
        <f>IF('Données projet'!$A$114&gt;35,BY14+BX15-CG14,IF(A15&lt;'Données projet'!$A$114,$BV$205^A15,IF(A15='Données projet'!$A$114,'Données projet'!$B$114,BY14+BX15-CG14)))</f>
        <v>13.400913893543279</v>
      </c>
      <c r="BZ15" s="14">
        <f>BY15*VLOOKUP('Données projet'!$B$12,Paramètres!$A$1:$I$89,3,0)*VLOOKUP('Données projet'!$B$12,Paramètres!$A$1:$I$89,5,0)</f>
        <v>10.452712836963759</v>
      </c>
      <c r="CA15" s="14">
        <f t="shared" si="39"/>
        <v>3.6655810475480592</v>
      </c>
      <c r="CB15" s="22">
        <f t="shared" si="10"/>
        <v>24.589361848858086</v>
      </c>
      <c r="CC15" s="62">
        <f t="shared" si="11"/>
        <v>295.92269518219138</v>
      </c>
      <c r="CD15" s="62">
        <f ca="1">AVERAGE(OFFSET($CC$3,0,0,'Données projet'!$E$12+1,1))-AVERAGE(OFFSET($H$3,0,0,'Données projet'!$E$12+1,1))</f>
        <v>197.51529454208725</v>
      </c>
      <c r="CE15" s="62">
        <f t="shared" si="40"/>
        <v>196.65362486387215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12.4</v>
      </c>
      <c r="CT15" s="13">
        <f>IF('Données projet'!$A$140&gt;35,CT14+CS15-DB14,IF(A15&lt;'Données projet'!$A$140,$CQ$205^A15,IF(A15='Données projet'!$A$140,'Données projet'!$B$140,CT14+CS15-DB14)))</f>
        <v>60.8</v>
      </c>
      <c r="CU15" s="18">
        <f>CT15*VLOOKUP('Données projet'!$B$13,Paramètres!$A$1:$I$89,3,0)*VLOOKUP('Données projet'!$B$13,Paramètres!$A$1:$I$89,5,0)</f>
        <v>33.196799999999996</v>
      </c>
      <c r="CV15" s="14">
        <f t="shared" si="41"/>
        <v>10.176365257768927</v>
      </c>
      <c r="CW15" s="22">
        <f t="shared" si="13"/>
        <v>75.541596157280864</v>
      </c>
      <c r="CX15" s="62">
        <f t="shared" si="14"/>
        <v>346.87492949061419</v>
      </c>
      <c r="CY15" s="62">
        <f ca="1">AVERAGE(OFFSET($CX$3,0,0,'Données projet'!$E$13+1,1))-AVERAGE(OFFSET($H$3,0,0,'Données projet'!$E$13+1,1))</f>
        <v>303.14853302260451</v>
      </c>
      <c r="CZ15" s="62">
        <f t="shared" si="42"/>
        <v>298.74602928001929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70">
        <f t="shared" si="1"/>
        <v>256.66666666666669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4.3352272727272725</v>
      </c>
      <c r="N16" s="14">
        <f>IF('Données projet'!$A$36&gt;35,N15+M16-V15,IF(A16&lt;'Données projet'!$A$36,$K$205^A16,IF(A16='Données projet'!$A$36,'Données projet'!$B$36,N15+M16-V15)))</f>
        <v>56.357954545454547</v>
      </c>
      <c r="O16" s="14">
        <f>N16*VLOOKUP('Données projet'!$B$9,Paramètres!$A$1:$I$89,3,0)*VLOOKUP('Données projet'!$B$9,Paramètres!$A$1:$I$89,5,0)</f>
        <v>50.992677272727278</v>
      </c>
      <c r="P16" s="14">
        <f t="shared" si="33"/>
        <v>14.869828842148015</v>
      </c>
      <c r="Q16" s="22">
        <f t="shared" si="2"/>
        <v>114.71053148340779</v>
      </c>
      <c r="R16" s="62">
        <f t="shared" si="0"/>
        <v>387.26608703896335</v>
      </c>
      <c r="S16" s="62">
        <f ca="1">AVERAGE(OFFSET($R$3,0,0,'Données projet'!$E$9+1,1))-AVERAGE(OFFSET($H$3,0,0,'Données projet'!$E$9+1,1))</f>
        <v>441.6145113257511</v>
      </c>
      <c r="T16" s="62">
        <f t="shared" si="34"/>
        <v>295.8399381972477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2.9444444444444446</v>
      </c>
      <c r="AI16" s="14">
        <f>IF('Données projet'!$A$62&gt;35,AI15+AH16-AQ15,IF(A16&lt;'Données projet'!$A$62,$AF$205^A16,IF(A16='Données projet'!$A$62,'Données projet'!$B$62,AI15+AH16-AQ15)))</f>
        <v>17.591802890204555</v>
      </c>
      <c r="AJ16" s="14">
        <f>AI16*VLOOKUP('Données projet'!$B$10,Paramètres!$A$1:$I$89,3,0)*VLOOKUP('Données projet'!$B$10,Paramètres!$A$1:$I$89,5,0)</f>
        <v>15.09376687979551</v>
      </c>
      <c r="AK16" s="14">
        <f t="shared" si="35"/>
        <v>5.0715143410843257</v>
      </c>
      <c r="AL16" s="22">
        <f t="shared" si="4"/>
        <v>35.121198126365712</v>
      </c>
      <c r="AM16" s="62">
        <f t="shared" si="5"/>
        <v>307.67675368192124</v>
      </c>
      <c r="AN16" s="62">
        <f ca="1">AVERAGE(OFFSET($AM$3,0,0,'Données projet'!$E$10+1,1))-AVERAGE(OFFSET($H$3,0,0,'Données projet'!$E$10+1,1))</f>
        <v>623.31285537237943</v>
      </c>
      <c r="AO16" s="62">
        <f t="shared" si="36"/>
        <v>462.33909258902241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2.4666666666666668</v>
      </c>
      <c r="BD16" s="13">
        <f>IF('Données projet'!$A$88&gt;35,BD15+BC16-BL15,IF(A16&lt;'Données projet'!$A$88,$BA$205^A16,IF(A16='Données projet'!$A$88,'Données projet'!$B$88,BD15+BC16-BL15)))</f>
        <v>22.86168101684942</v>
      </c>
      <c r="BE16" s="14">
        <f>BD16*VLOOKUP('Données projet'!$B$11,Paramètres!$A$1:$I$89,3,0)*VLOOKUP('Données projet'!$B$11,Paramètres!$A$1:$I$89,5,0)</f>
        <v>18.188753417005401</v>
      </c>
      <c r="BF16" s="14">
        <f t="shared" si="37"/>
        <v>5.9801756254374139</v>
      </c>
      <c r="BG16" s="22">
        <f t="shared" si="7"/>
        <v>42.094218082254564</v>
      </c>
      <c r="BH16" s="62">
        <f t="shared" si="8"/>
        <v>314.64977363781009</v>
      </c>
      <c r="BI16" s="62">
        <f ca="1">AVERAGE(OFFSET($BH$3,0,0,'Données projet'!$E$11+1,1))-AVERAGE(OFFSET($H$3,0,0,'Données projet'!$E$11+1,1))</f>
        <v>299.10536994156814</v>
      </c>
      <c r="BJ16" s="62">
        <f t="shared" si="38"/>
        <v>292.57799203101769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1.7093333333333334</v>
      </c>
      <c r="BY16" s="13">
        <f>IF('Données projet'!$A$114&gt;35,BY15+BX16-CG15,IF(A16&lt;'Données projet'!$A$114,$BV$205^A16,IF(A16='Données projet'!$A$114,'Données projet'!$B$114,BY15+BX16-CG15)))</f>
        <v>16.636512272995201</v>
      </c>
      <c r="BZ16" s="14">
        <f>BY16*VLOOKUP('Données projet'!$B$12,Paramètres!$A$1:$I$89,3,0)*VLOOKUP('Données projet'!$B$12,Paramètres!$A$1:$I$89,5,0)</f>
        <v>12.976479572936258</v>
      </c>
      <c r="CA16" s="14">
        <f t="shared" si="39"/>
        <v>4.4374910547471123</v>
      </c>
      <c r="CB16" s="22">
        <f t="shared" si="10"/>
        <v>30.329332176548537</v>
      </c>
      <c r="CC16" s="62">
        <f t="shared" si="11"/>
        <v>302.88488773210406</v>
      </c>
      <c r="CD16" s="62">
        <f ca="1">AVERAGE(OFFSET($CC$3,0,0,'Données projet'!$E$12+1,1))-AVERAGE(OFFSET($H$3,0,0,'Données projet'!$E$12+1,1))</f>
        <v>197.51529454208725</v>
      </c>
      <c r="CE16" s="62">
        <f t="shared" si="40"/>
        <v>196.65362486387215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12.4</v>
      </c>
      <c r="CT16" s="13">
        <f>IF('Données projet'!$A$140&gt;35,CT15+CS16-DB15,IF(A16&lt;'Données projet'!$A$140,$CQ$205^A16,IF(A16='Données projet'!$A$140,'Données projet'!$B$140,CT15+CS16-DB15)))</f>
        <v>73.2</v>
      </c>
      <c r="CU16" s="18">
        <f>CT16*VLOOKUP('Données projet'!$B$13,Paramètres!$A$1:$I$89,3,0)*VLOOKUP('Données projet'!$B$13,Paramètres!$A$1:$I$89,5,0)</f>
        <v>39.967199999999998</v>
      </c>
      <c r="CV16" s="14">
        <f t="shared" si="41"/>
        <v>11.989952848060867</v>
      </c>
      <c r="CW16" s="22">
        <f t="shared" si="13"/>
        <v>90.492041210372676</v>
      </c>
      <c r="CX16" s="62">
        <f t="shared" si="14"/>
        <v>363.04759676592823</v>
      </c>
      <c r="CY16" s="62">
        <f ca="1">AVERAGE(OFFSET($CX$3,0,0,'Données projet'!$E$13+1,1))-AVERAGE(OFFSET($H$3,0,0,'Données projet'!$E$13+1,1))</f>
        <v>303.14853302260451</v>
      </c>
      <c r="CZ16" s="62">
        <f t="shared" si="42"/>
        <v>298.74602928001929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70">
        <f t="shared" si="1"/>
        <v>256.66666666666669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4.3352272727272725</v>
      </c>
      <c r="N17" s="14">
        <f>IF('Données projet'!$A$36&gt;35,N16+M17-V16,IF(A17&lt;'Données projet'!$A$36,$K$205^A17,IF(A17='Données projet'!$A$36,'Données projet'!$B$36,N16+M17-V16)))</f>
        <v>60.69318181818182</v>
      </c>
      <c r="O17" s="14">
        <f>N17*VLOOKUP('Données projet'!$B$9,Paramètres!$A$1:$I$89,3,0)*VLOOKUP('Données projet'!$B$9,Paramètres!$A$1:$I$89,5,0)</f>
        <v>54.91519090909091</v>
      </c>
      <c r="P17" s="14">
        <f t="shared" si="33"/>
        <v>15.876119378456103</v>
      </c>
      <c r="Q17" s="22">
        <f t="shared" si="2"/>
        <v>123.29486541747771</v>
      </c>
      <c r="R17" s="62">
        <f t="shared" si="0"/>
        <v>397.07264319525547</v>
      </c>
      <c r="S17" s="62">
        <f ca="1">AVERAGE(OFFSET($R$3,0,0,'Données projet'!$E$9+1,1))-AVERAGE(OFFSET($H$3,0,0,'Données projet'!$E$9+1,1))</f>
        <v>441.6145113257511</v>
      </c>
      <c r="T17" s="62">
        <f t="shared" si="34"/>
        <v>295.8399381972477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2.9444444444444446</v>
      </c>
      <c r="AI17" s="14">
        <f>IF('Données projet'!$A$62&gt;35,AI16+AH17-AQ16,IF(A17&lt;'Données projet'!$A$62,$AF$205^A17,IF(A17='Données projet'!$A$62,'Données projet'!$B$62,AI16+AH17-AQ16)))</f>
        <v>21.933273499029138</v>
      </c>
      <c r="AJ17" s="14">
        <f>AI17*VLOOKUP('Données projet'!$B$10,Paramètres!$A$1:$I$89,3,0)*VLOOKUP('Données projet'!$B$10,Paramètres!$A$1:$I$89,5,0)</f>
        <v>18.818748662167003</v>
      </c>
      <c r="AK17" s="14">
        <f t="shared" si="35"/>
        <v>6.162833639642324</v>
      </c>
      <c r="AL17" s="22">
        <f t="shared" si="4"/>
        <v>43.509589175651236</v>
      </c>
      <c r="AM17" s="62">
        <f t="shared" si="5"/>
        <v>317.287366953429</v>
      </c>
      <c r="AN17" s="62">
        <f ca="1">AVERAGE(OFFSET($AM$3,0,0,'Données projet'!$E$10+1,1))-AVERAGE(OFFSET($H$3,0,0,'Données projet'!$E$10+1,1))</f>
        <v>623.31285537237943</v>
      </c>
      <c r="AO17" s="62">
        <f t="shared" si="36"/>
        <v>462.33909258902241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2.4666666666666668</v>
      </c>
      <c r="BD17" s="13">
        <f>IF('Données projet'!$A$88&gt;35,BD16+BC17-BL16,IF(A17&lt;'Données projet'!$A$88,$BA$205^A17,IF(A17='Données projet'!$A$88,'Données projet'!$B$88,BD16+BC17-BL16)))</f>
        <v>29.084054009429774</v>
      </c>
      <c r="BE17" s="14">
        <f>BD17*VLOOKUP('Données projet'!$B$11,Paramètres!$A$1:$I$89,3,0)*VLOOKUP('Données projet'!$B$11,Paramètres!$A$1:$I$89,5,0)</f>
        <v>23.13927336990233</v>
      </c>
      <c r="BF17" s="14">
        <f t="shared" si="37"/>
        <v>7.3976107331343286</v>
      </c>
      <c r="BG17" s="22">
        <f t="shared" si="7"/>
        <v>53.185073146122171</v>
      </c>
      <c r="BH17" s="62">
        <f t="shared" si="8"/>
        <v>326.96285092389996</v>
      </c>
      <c r="BI17" s="62">
        <f ca="1">AVERAGE(OFFSET($BH$3,0,0,'Données projet'!$E$11+1,1))-AVERAGE(OFFSET($H$3,0,0,'Données projet'!$E$11+1,1))</f>
        <v>299.10536994156814</v>
      </c>
      <c r="BJ17" s="62">
        <f t="shared" si="38"/>
        <v>292.57799203101769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1.7093333333333334</v>
      </c>
      <c r="BY17" s="13">
        <f>IF('Données projet'!$A$114&gt;35,BY16+BX17-CG16,IF(A17&lt;'Données projet'!$A$114,$BV$205^A17,IF(A17='Données projet'!$A$114,'Données projet'!$B$114,BY16+BX17-CG16)))</f>
        <v>20.653333258328949</v>
      </c>
      <c r="BZ17" s="14">
        <f>BY17*VLOOKUP('Données projet'!$B$12,Paramètres!$A$1:$I$89,3,0)*VLOOKUP('Données projet'!$B$12,Paramètres!$A$1:$I$89,5,0)</f>
        <v>16.10959994149658</v>
      </c>
      <c r="CA17" s="14">
        <f t="shared" si="39"/>
        <v>5.3719523877755631</v>
      </c>
      <c r="CB17" s="22">
        <f t="shared" si="10"/>
        <v>37.413703640148974</v>
      </c>
      <c r="CC17" s="62">
        <f t="shared" si="11"/>
        <v>311.19148141792675</v>
      </c>
      <c r="CD17" s="62">
        <f ca="1">AVERAGE(OFFSET($CC$3,0,0,'Données projet'!$E$12+1,1))-AVERAGE(OFFSET($H$3,0,0,'Données projet'!$E$12+1,1))</f>
        <v>197.51529454208725</v>
      </c>
      <c r="CE17" s="62">
        <f t="shared" si="40"/>
        <v>196.65362486387215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12.4</v>
      </c>
      <c r="CT17" s="13">
        <f>IF('Données projet'!$A$140&gt;35,CT16+CS17-DB16,IF(A17&lt;'Données projet'!$A$140,$CQ$205^A17,IF(A17='Données projet'!$A$140,'Données projet'!$B$140,CT16+CS17-DB16)))</f>
        <v>85.600000000000009</v>
      </c>
      <c r="CU17" s="18">
        <f>CT17*VLOOKUP('Données projet'!$B$13,Paramètres!$A$1:$I$89,3,0)*VLOOKUP('Données projet'!$B$13,Paramètres!$A$1:$I$89,5,0)</f>
        <v>46.737600000000008</v>
      </c>
      <c r="CV17" s="14">
        <f t="shared" si="41"/>
        <v>13.767950707063713</v>
      </c>
      <c r="CW17" s="22">
        <f t="shared" si="13"/>
        <v>105.38050081480264</v>
      </c>
      <c r="CX17" s="62">
        <f t="shared" si="14"/>
        <v>379.15827859258042</v>
      </c>
      <c r="CY17" s="62">
        <f ca="1">AVERAGE(OFFSET($CX$3,0,0,'Données projet'!$E$13+1,1))-AVERAGE(OFFSET($H$3,0,0,'Données projet'!$E$13+1,1))</f>
        <v>303.14853302260451</v>
      </c>
      <c r="CZ17" s="62">
        <f t="shared" si="42"/>
        <v>298.74602928001929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70">
        <f t="shared" si="1"/>
        <v>256.66666666666669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4.3352272727272725</v>
      </c>
      <c r="N18" s="14">
        <f>IF('Données projet'!$A$36&gt;35,N17+M18-V17,IF(A18&lt;'Données projet'!$A$36,$K$205^A18,IF(A18='Données projet'!$A$36,'Données projet'!$B$36,N17+M18-V17)))</f>
        <v>65.028409090909093</v>
      </c>
      <c r="O18" s="14">
        <f>N18*VLOOKUP('Données projet'!$B$9,Paramètres!$A$1:$I$89,3,0)*VLOOKUP('Données projet'!$B$9,Paramètres!$A$1:$I$89,5,0)</f>
        <v>58.83770454545455</v>
      </c>
      <c r="P18" s="14">
        <f t="shared" si="33"/>
        <v>16.874070530498674</v>
      </c>
      <c r="Q18" s="22">
        <f t="shared" si="2"/>
        <v>131.86467492395187</v>
      </c>
      <c r="R18" s="62">
        <f t="shared" si="0"/>
        <v>406.86467492395184</v>
      </c>
      <c r="S18" s="62">
        <f ca="1">AVERAGE(OFFSET($R$3,0,0,'Données projet'!$E$9+1,1))-AVERAGE(OFFSET($H$3,0,0,'Données projet'!$E$9+1,1))</f>
        <v>441.6145113257511</v>
      </c>
      <c r="T18" s="62">
        <f t="shared" si="34"/>
        <v>295.8399381972477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2.9444444444444446</v>
      </c>
      <c r="AI18" s="14">
        <f>IF('Données projet'!$A$62&gt;35,AI17+AH18-AQ17,IF(A18&lt;'Données projet'!$A$62,$AF$205^A18,IF(A18='Données projet'!$A$62,'Données projet'!$B$62,AI17+AH18-AQ17)))</f>
        <v>27.346173066268364</v>
      </c>
      <c r="AJ18" s="14">
        <f>AI18*VLOOKUP('Données projet'!$B$10,Paramètres!$A$1:$I$89,3,0)*VLOOKUP('Données projet'!$B$10,Paramètres!$A$1:$I$89,5,0)</f>
        <v>23.463016490858259</v>
      </c>
      <c r="AK18" s="14">
        <f t="shared" si="35"/>
        <v>7.4889896617716278</v>
      </c>
      <c r="AL18" s="22">
        <f t="shared" si="4"/>
        <v>53.908077382497048</v>
      </c>
      <c r="AM18" s="62">
        <f t="shared" si="5"/>
        <v>328.90807738249703</v>
      </c>
      <c r="AN18" s="62">
        <f ca="1">AVERAGE(OFFSET($AM$3,0,0,'Données projet'!$E$10+1,1))-AVERAGE(OFFSET($H$3,0,0,'Données projet'!$E$10+1,1))</f>
        <v>623.31285537237943</v>
      </c>
      <c r="AO18" s="62">
        <f t="shared" si="36"/>
        <v>462.33909258902241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37</v>
      </c>
      <c r="BB18" s="13">
        <f>VLOOKUP(A18,'Données projet'!$A$87:$I$107,9,0)</f>
        <v>2.4666666666666668</v>
      </c>
      <c r="BC18" s="13">
        <f t="array" ref="BC18">INDEX(BB:BB,MIN(IF(ISNUMBER(BB18:BB214),ROW(BB18:BB214),"")))</f>
        <v>2.4666666666666668</v>
      </c>
      <c r="BD18" s="13">
        <f>IF('Données projet'!$A$88&gt;35,BD17+BC18-BL17,IF(A18&lt;'Données projet'!$A$88,$BA$205^A18,IF(A18='Données projet'!$A$88,'Données projet'!$B$88,BD17+BC18-BL17)))</f>
        <v>37</v>
      </c>
      <c r="BE18" s="14">
        <f>BD18*VLOOKUP('Données projet'!$B$11,Paramètres!$A$1:$I$89,3,0)*VLOOKUP('Données projet'!$B$11,Paramètres!$A$1:$I$89,5,0)</f>
        <v>29.437200000000004</v>
      </c>
      <c r="BF18" s="14">
        <f t="shared" si="37"/>
        <v>9.1510096001539196</v>
      </c>
      <c r="BG18" s="22">
        <f t="shared" si="7"/>
        <v>67.207798386934755</v>
      </c>
      <c r="BH18" s="62">
        <f t="shared" si="8"/>
        <v>342.20779838693477</v>
      </c>
      <c r="BI18" s="62">
        <f ca="1">AVERAGE(OFFSET($BH$3,0,0,'Données projet'!$E$11+1,1))-AVERAGE(OFFSET($H$3,0,0,'Données projet'!$E$11+1,1))</f>
        <v>299.10536994156814</v>
      </c>
      <c r="BJ18" s="62">
        <f t="shared" si="38"/>
        <v>292.57799203101769</v>
      </c>
      <c r="BK18" s="16">
        <f>IF(ISNA(VLOOKUP(A18,'Données projet'!$A$87:$I$107,3,0)),0,VLOOKUP(A18,'Données projet'!$A$87:$I$107,3,0))</f>
        <v>1</v>
      </c>
      <c r="BL18" s="16">
        <f>IF(ISNA(VLOOKUP(A18,'Données projet'!$A$87:$I$107,4,0)),0,VLOOKUP(A18,'Données projet'!$A$87:$I$107,4,0))</f>
        <v>15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25.64</v>
      </c>
      <c r="BW18" s="13">
        <f>VLOOKUP(A18,'Données projet'!$A$113:$I$133,9,0)</f>
        <v>1.7093333333333334</v>
      </c>
      <c r="BX18" s="13">
        <f t="array" ref="BX18">INDEX(BW:BW,MIN(IF(ISNUMBER(BW18:BW214),ROW(BW18:BW214),"")))</f>
        <v>1.7093333333333334</v>
      </c>
      <c r="BY18" s="13">
        <f>IF('Données projet'!$A$114&gt;35,BY17+BX18-CG17,IF(A18&lt;'Données projet'!$A$114,$BV$205^A18,IF(A18='Données projet'!$A$114,'Données projet'!$B$114,BY17+BX18-CG17)))</f>
        <v>25.64</v>
      </c>
      <c r="BZ18" s="14">
        <f>BY18*VLOOKUP('Données projet'!$B$12,Paramètres!$A$1:$I$89,3,0)*VLOOKUP('Données projet'!$B$12,Paramètres!$A$1:$I$89,5,0)</f>
        <v>19.999200000000002</v>
      </c>
      <c r="CA18" s="14">
        <f t="shared" si="39"/>
        <v>6.5031956347621671</v>
      </c>
      <c r="CB18" s="22">
        <f t="shared" si="10"/>
        <v>46.158339063877442</v>
      </c>
      <c r="CC18" s="62">
        <f t="shared" si="11"/>
        <v>321.15833906387746</v>
      </c>
      <c r="CD18" s="62">
        <f ca="1">AVERAGE(OFFSET($CC$3,0,0,'Données projet'!$E$12+1,1))-AVERAGE(OFFSET($H$3,0,0,'Données projet'!$E$12+1,1))</f>
        <v>197.51529454208725</v>
      </c>
      <c r="CE18" s="62">
        <f t="shared" si="40"/>
        <v>196.65362486387215</v>
      </c>
      <c r="CF18" s="16">
        <f>IF(ISNA(VLOOKUP(A18,'Données projet'!$A$113:$I$133,3,0)),0,VLOOKUP(A18,'Données projet'!$A$113:$I$133,3,0))</f>
        <v>1</v>
      </c>
      <c r="CG18" s="16">
        <f>IF(ISNA(VLOOKUP(A18,'Données projet'!$A$113:$I$133,4,0)),0,VLOOKUP(A18,'Données projet'!$A$113:$I$133,4,0))</f>
        <v>1.92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98</v>
      </c>
      <c r="CR18" s="13">
        <f>VLOOKUP(A18,'Données projet'!$A$139:$I$159,9,0)</f>
        <v>12.4</v>
      </c>
      <c r="CS18" s="13">
        <f t="array" ref="CS18">INDEX(CR:CR,MIN(IF(ISNUMBER(CR18:CR214),ROW(CR18:CR214),"")))</f>
        <v>12.4</v>
      </c>
      <c r="CT18" s="13">
        <f>IF('Données projet'!$A$140&gt;35,CT17+CS18-DB17,IF(A18&lt;'Données projet'!$A$140,$CQ$205^A18,IF(A18='Données projet'!$A$140,'Données projet'!$B$140,CT17+CS18-DB17)))</f>
        <v>98.000000000000014</v>
      </c>
      <c r="CU18" s="18">
        <f>CT18*VLOOKUP('Données projet'!$B$13,Paramètres!$A$1:$I$89,3,0)*VLOOKUP('Données projet'!$B$13,Paramètres!$A$1:$I$89,5,0)</f>
        <v>53.50800000000001</v>
      </c>
      <c r="CV18" s="14">
        <f t="shared" si="41"/>
        <v>15.516109807666385</v>
      </c>
      <c r="CW18" s="22">
        <f t="shared" si="13"/>
        <v>120.21699124835231</v>
      </c>
      <c r="CX18" s="62">
        <f t="shared" si="14"/>
        <v>395.21699124835231</v>
      </c>
      <c r="CY18" s="62">
        <f ca="1">AVERAGE(OFFSET($CX$3,0,0,'Données projet'!$E$13+1,1))-AVERAGE(OFFSET($H$3,0,0,'Données projet'!$E$13+1,1))</f>
        <v>303.14853302260451</v>
      </c>
      <c r="CZ18" s="62">
        <f t="shared" si="42"/>
        <v>298.74602928001929</v>
      </c>
      <c r="DA18" s="16">
        <f>IF(ISNA(VLOOKUP(A18,'Données projet'!$A$139:$I$159,3,0)),0,VLOOKUP(A18,'Données projet'!$A$139:$I$159,3,0))</f>
        <v>2</v>
      </c>
      <c r="DB18" s="16">
        <f>IF(ISNA(VLOOKUP(A18,'Données projet'!$A$139:$I$159,4,0)),0,VLOOKUP(A18,'Données projet'!$A$139:$I$159,4,0))</f>
        <v>39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0.33600000000000002</v>
      </c>
      <c r="DE18" s="17">
        <f>IF(ISNA(VLOOKUP(A18,'Données projet'!$A$139:$I$159,7,0)),0%,VLOOKUP(A18,'Données projet'!$A$139:$I$159,7,0))</f>
        <v>0.44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9.4539113464973905</v>
      </c>
      <c r="DH18" s="23">
        <f>EXP(-LN(2)/2)*DH17+(1-EXP(-LN(2)/2))/(LN(2)/2)*DB18*DE18*VLOOKUP('Données projet'!$B$13,Paramètres!$A$1:$I$89,3,0)*0.475*44/12</f>
        <v>10.608291999152568</v>
      </c>
      <c r="DI18" s="24">
        <f t="shared" si="15"/>
        <v>20.062203345649959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70">
        <f t="shared" si="1"/>
        <v>256.66666666666669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4.3352272727272725</v>
      </c>
      <c r="N19" s="14">
        <f>IF('Données projet'!$A$36&gt;35,N18+M19-V18,IF(A19&lt;'Données projet'!$A$36,$K$205^A19,IF(A19='Données projet'!$A$36,'Données projet'!$B$36,N18+M19-V18)))</f>
        <v>69.36363636363636</v>
      </c>
      <c r="O19" s="14">
        <f>N19*VLOOKUP('Données projet'!$B$9,Paramètres!$A$1:$I$89,3,0)*VLOOKUP('Données projet'!$B$9,Paramètres!$A$1:$I$89,5,0)</f>
        <v>62.760218181818175</v>
      </c>
      <c r="P19" s="14">
        <f t="shared" si="33"/>
        <v>17.864301516617232</v>
      </c>
      <c r="Q19" s="22">
        <f t="shared" si="2"/>
        <v>140.42103847477497</v>
      </c>
      <c r="R19" s="62">
        <f t="shared" si="0"/>
        <v>416.64326069699723</v>
      </c>
      <c r="S19" s="62">
        <f ca="1">AVERAGE(OFFSET($R$3,0,0,'Données projet'!$E$9+1,1))-AVERAGE(OFFSET($H$3,0,0,'Données projet'!$E$9+1,1))</f>
        <v>441.6145113257511</v>
      </c>
      <c r="T19" s="62">
        <f t="shared" si="34"/>
        <v>295.8399381972477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2.9444444444444446</v>
      </c>
      <c r="AI19" s="14">
        <f>IF('Données projet'!$A$62&gt;35,AI18+AH19-AQ18,IF(A19&lt;'Données projet'!$A$62,$AF$205^A19,IF(A19='Données projet'!$A$62,'Données projet'!$B$62,AI18+AH19-AQ18)))</f>
        <v>34.094918909546408</v>
      </c>
      <c r="AJ19" s="14">
        <f>AI19*VLOOKUP('Données projet'!$B$10,Paramètres!$A$1:$I$89,3,0)*VLOOKUP('Données projet'!$B$10,Paramètres!$A$1:$I$89,5,0)</f>
        <v>29.253440424390821</v>
      </c>
      <c r="AK19" s="14">
        <f t="shared" si="35"/>
        <v>9.1005160018204485</v>
      </c>
      <c r="AL19" s="22">
        <f t="shared" si="4"/>
        <v>66.799807442317956</v>
      </c>
      <c r="AM19" s="62">
        <f t="shared" si="5"/>
        <v>343.02202966454018</v>
      </c>
      <c r="AN19" s="62">
        <f ca="1">AVERAGE(OFFSET($AM$3,0,0,'Données projet'!$E$10+1,1))-AVERAGE(OFFSET($H$3,0,0,'Données projet'!$E$10+1,1))</f>
        <v>623.31285537237943</v>
      </c>
      <c r="AO19" s="62">
        <f t="shared" si="36"/>
        <v>462.33909258902241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11.6</v>
      </c>
      <c r="BD19" s="13">
        <f>IF('Données projet'!$A$88&gt;35,BD18+BC19-BL18,IF(A19&lt;'Données projet'!$A$88,$BA$205^A19,IF(A19='Données projet'!$A$88,'Données projet'!$B$88,BD18+BC19-BL18)))</f>
        <v>33.6</v>
      </c>
      <c r="BE19" s="14">
        <f>BD19*VLOOKUP('Données projet'!$B$11,Paramètres!$A$1:$I$89,3,0)*VLOOKUP('Données projet'!$B$11,Paramètres!$A$1:$I$89,5,0)</f>
        <v>26.732160000000004</v>
      </c>
      <c r="BF19" s="14">
        <f t="shared" si="37"/>
        <v>8.4038705306032053</v>
      </c>
      <c r="BG19" s="22">
        <f t="shared" si="7"/>
        <v>61.195253174133917</v>
      </c>
      <c r="BH19" s="62">
        <f t="shared" si="8"/>
        <v>337.41747539635617</v>
      </c>
      <c r="BI19" s="62">
        <f ca="1">AVERAGE(OFFSET($BH$3,0,0,'Données projet'!$E$11+1,1))-AVERAGE(OFFSET($H$3,0,0,'Données projet'!$E$11+1,1))</f>
        <v>299.10536994156814</v>
      </c>
      <c r="BJ19" s="62">
        <f t="shared" si="38"/>
        <v>292.57799203101769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6.1540000000000008</v>
      </c>
      <c r="BY19" s="13">
        <f>IF('Données projet'!$A$114&gt;35,BY18+BX19-CG18,IF(A19&lt;'Données projet'!$A$114,$BV$205^A19,IF(A19='Données projet'!$A$114,'Données projet'!$B$114,BY18+BX19-CG18)))</f>
        <v>29.874000000000002</v>
      </c>
      <c r="BZ19" s="14">
        <f>BY19*VLOOKUP('Données projet'!$B$12,Paramètres!$A$1:$I$89,3,0)*VLOOKUP('Données projet'!$B$12,Paramètres!$A$1:$I$89,5,0)</f>
        <v>23.301720000000003</v>
      </c>
      <c r="CA19" s="14">
        <f t="shared" si="39"/>
        <v>7.4434809877115065</v>
      </c>
      <c r="CB19" s="22">
        <f t="shared" si="10"/>
        <v>53.547891720264211</v>
      </c>
      <c r="CC19" s="62">
        <f t="shared" si="11"/>
        <v>329.77011394248643</v>
      </c>
      <c r="CD19" s="62">
        <f ca="1">AVERAGE(OFFSET($CC$3,0,0,'Données projet'!$E$12+1,1))-AVERAGE(OFFSET($H$3,0,0,'Données projet'!$E$12+1,1))</f>
        <v>197.51529454208725</v>
      </c>
      <c r="CE19" s="62">
        <f t="shared" si="40"/>
        <v>196.65362486387215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15.8</v>
      </c>
      <c r="CT19" s="13">
        <f>IF('Données projet'!$A$140&gt;35,CT18+CS19-DB18,IF(A19&lt;'Données projet'!$A$140,$CQ$205^A19,IF(A19='Données projet'!$A$140,'Données projet'!$B$140,CT18+CS19-DB18)))</f>
        <v>74.800000000000011</v>
      </c>
      <c r="CU19" s="18">
        <f>CT19*VLOOKUP('Données projet'!$B$13,Paramètres!$A$1:$I$89,3,0)*VLOOKUP('Données projet'!$B$13,Paramètres!$A$1:$I$89,5,0)</f>
        <v>40.840800000000009</v>
      </c>
      <c r="CV19" s="14">
        <f t="shared" si="41"/>
        <v>12.221230516783256</v>
      </c>
      <c r="CW19" s="22">
        <f t="shared" si="13"/>
        <v>92.416369816730835</v>
      </c>
      <c r="CX19" s="62">
        <f t="shared" si="14"/>
        <v>368.63859203895305</v>
      </c>
      <c r="CY19" s="62">
        <f ca="1">AVERAGE(OFFSET($CX$3,0,0,'Données projet'!$E$13+1,1))-AVERAGE(OFFSET($H$3,0,0,'Données projet'!$E$13+1,1))</f>
        <v>303.14853302260451</v>
      </c>
      <c r="CZ19" s="62">
        <f t="shared" si="42"/>
        <v>298.74602928001929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9.1953936435678294</v>
      </c>
      <c r="DH19" s="23">
        <f>EXP(-LN(2)/2)*DH18+(1-EXP(-LN(2)/2))/(LN(2)/2)*DB19*DE19*VLOOKUP('Données projet'!$B$13,Paramètres!$A$1:$I$89,3,0)*0.475*44/12</f>
        <v>7.5011952094077783</v>
      </c>
      <c r="DI19" s="24">
        <f t="shared" si="15"/>
        <v>16.696588852975609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70">
        <f t="shared" si="1"/>
        <v>256.66666666666669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4.3352272727272725</v>
      </c>
      <c r="N20" s="14">
        <f>IF('Données projet'!$A$36&gt;35,N19+M20-V19,IF(A20&lt;'Données projet'!$A$36,$K$205^A20,IF(A20='Données projet'!$A$36,'Données projet'!$B$36,N19+M20-V19)))</f>
        <v>73.698863636363626</v>
      </c>
      <c r="O20" s="14">
        <f>N20*VLOOKUP('Données projet'!$B$9,Paramètres!$A$1:$I$89,3,0)*VLOOKUP('Données projet'!$B$9,Paramètres!$A$1:$I$89,5,0)</f>
        <v>66.682731818181807</v>
      </c>
      <c r="P20" s="14">
        <f t="shared" si="33"/>
        <v>18.847349778068896</v>
      </c>
      <c r="Q20" s="22">
        <f t="shared" si="2"/>
        <v>148.96489211346997</v>
      </c>
      <c r="R20" s="62">
        <f t="shared" si="0"/>
        <v>426.40933655791446</v>
      </c>
      <c r="S20" s="62">
        <f ca="1">AVERAGE(OFFSET($R$3,0,0,'Données projet'!$E$9+1,1))-AVERAGE(OFFSET($H$3,0,0,'Données projet'!$E$9+1,1))</f>
        <v>441.6145113257511</v>
      </c>
      <c r="T20" s="62">
        <f t="shared" si="34"/>
        <v>295.8399381972477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2.9444444444444446</v>
      </c>
      <c r="AI20" s="14">
        <f>IF('Données projet'!$A$62&gt;35,AI19+AH20-AQ19,IF(A20&lt;'Données projet'!$A$62,$AF$205^A20,IF(A20='Données projet'!$A$62,'Données projet'!$B$62,AI19+AH20-AQ19)))</f>
        <v>42.509183739586916</v>
      </c>
      <c r="AJ20" s="14">
        <f>AI20*VLOOKUP('Données projet'!$B$10,Paramètres!$A$1:$I$89,3,0)*VLOOKUP('Données projet'!$B$10,Paramètres!$A$1:$I$89,5,0)</f>
        <v>36.472879648565581</v>
      </c>
      <c r="AK20" s="14">
        <f t="shared" si="35"/>
        <v>11.058820380291177</v>
      </c>
      <c r="AL20" s="22">
        <f t="shared" si="4"/>
        <v>82.784377550258853</v>
      </c>
      <c r="AM20" s="62">
        <f t="shared" si="5"/>
        <v>360.22882199470331</v>
      </c>
      <c r="AN20" s="62">
        <f ca="1">AVERAGE(OFFSET($AM$3,0,0,'Données projet'!$E$10+1,1))-AVERAGE(OFFSET($H$3,0,0,'Données projet'!$E$10+1,1))</f>
        <v>623.31285537237943</v>
      </c>
      <c r="AO20" s="62">
        <f t="shared" si="36"/>
        <v>462.33909258902241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11.6</v>
      </c>
      <c r="BD20" s="13">
        <f>IF('Données projet'!$A$88&gt;35,BD19+BC20-BL19,IF(A20&lt;'Données projet'!$A$88,$BA$205^A20,IF(A20='Données projet'!$A$88,'Données projet'!$B$88,BD19+BC20-BL19)))</f>
        <v>45.2</v>
      </c>
      <c r="BE20" s="14">
        <f>BD20*VLOOKUP('Données projet'!$B$11,Paramètres!$A$1:$I$89,3,0)*VLOOKUP('Données projet'!$B$11,Paramètres!$A$1:$I$89,5,0)</f>
        <v>35.961120000000008</v>
      </c>
      <c r="BF20" s="14">
        <f t="shared" si="37"/>
        <v>10.921600552662685</v>
      </c>
      <c r="BG20" s="22">
        <f t="shared" si="7"/>
        <v>81.654071629220851</v>
      </c>
      <c r="BH20" s="62">
        <f t="shared" si="8"/>
        <v>359.09851607366534</v>
      </c>
      <c r="BI20" s="62">
        <f ca="1">AVERAGE(OFFSET($BH$3,0,0,'Données projet'!$E$11+1,1))-AVERAGE(OFFSET($H$3,0,0,'Données projet'!$E$11+1,1))</f>
        <v>299.10536994156814</v>
      </c>
      <c r="BJ20" s="62">
        <f t="shared" si="38"/>
        <v>292.57799203101769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6.1540000000000008</v>
      </c>
      <c r="BY20" s="13">
        <f>IF('Données projet'!$A$114&gt;35,BY19+BX20-CG19,IF(A20&lt;'Données projet'!$A$114,$BV$205^A20,IF(A20='Données projet'!$A$114,'Données projet'!$B$114,BY19+BX20-CG19)))</f>
        <v>36.028000000000006</v>
      </c>
      <c r="BZ20" s="14">
        <f>BY20*VLOOKUP('Données projet'!$B$12,Paramètres!$A$1:$I$89,3,0)*VLOOKUP('Données projet'!$B$12,Paramètres!$A$1:$I$89,5,0)</f>
        <v>28.101840000000006</v>
      </c>
      <c r="CA20" s="14">
        <f t="shared" si="39"/>
        <v>8.7832267741020775</v>
      </c>
      <c r="CB20" s="22">
        <f t="shared" si="10"/>
        <v>64.241491298227785</v>
      </c>
      <c r="CC20" s="62">
        <f t="shared" si="11"/>
        <v>341.68593574267226</v>
      </c>
      <c r="CD20" s="62">
        <f ca="1">AVERAGE(OFFSET($CC$3,0,0,'Données projet'!$E$12+1,1))-AVERAGE(OFFSET($H$3,0,0,'Données projet'!$E$12+1,1))</f>
        <v>197.51529454208725</v>
      </c>
      <c r="CE20" s="62">
        <f t="shared" si="40"/>
        <v>196.65362486387215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15.8</v>
      </c>
      <c r="CT20" s="13">
        <f>IF('Données projet'!$A$140&gt;35,CT19+CS20-DB19,IF(A20&lt;'Données projet'!$A$140,$CQ$205^A20,IF(A20='Données projet'!$A$140,'Données projet'!$B$140,CT19+CS20-DB19)))</f>
        <v>90.600000000000009</v>
      </c>
      <c r="CU20" s="18">
        <f>CT20*VLOOKUP('Données projet'!$B$13,Paramètres!$A$1:$I$89,3,0)*VLOOKUP('Données projet'!$B$13,Paramètres!$A$1:$I$89,5,0)</f>
        <v>49.467600000000004</v>
      </c>
      <c r="CV20" s="14">
        <f t="shared" si="41"/>
        <v>14.476179494944809</v>
      </c>
      <c r="CW20" s="22">
        <f t="shared" si="13"/>
        <v>111.36874928702889</v>
      </c>
      <c r="CX20" s="62">
        <f t="shared" si="14"/>
        <v>388.81319373147335</v>
      </c>
      <c r="CY20" s="62">
        <f ca="1">AVERAGE(OFFSET($CX$3,0,0,'Données projet'!$E$13+1,1))-AVERAGE(OFFSET($H$3,0,0,'Données projet'!$E$13+1,1))</f>
        <v>303.14853302260451</v>
      </c>
      <c r="CZ20" s="62">
        <f t="shared" si="42"/>
        <v>298.74602928001929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8.9439451208197323</v>
      </c>
      <c r="DH20" s="23">
        <f>EXP(-LN(2)/2)*DH19+(1-EXP(-LN(2)/2))/(LN(2)/2)*DB20*DE20*VLOOKUP('Données projet'!$B$13,Paramètres!$A$1:$I$89,3,0)*0.475*44/12</f>
        <v>5.304145999576285</v>
      </c>
      <c r="DI20" s="24">
        <f t="shared" si="15"/>
        <v>14.248091120396017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70">
        <f t="shared" si="1"/>
        <v>256.66666666666669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4.3352272727272725</v>
      </c>
      <c r="N21" s="14">
        <f>IF('Données projet'!$A$36&gt;35,N20+M21-V20,IF(A21&lt;'Données projet'!$A$36,$K$205^A21,IF(A21='Données projet'!$A$36,'Données projet'!$B$36,N20+M21-V20)))</f>
        <v>78.034090909090892</v>
      </c>
      <c r="O21" s="14">
        <f>N21*VLOOKUP('Données projet'!$B$9,Paramètres!$A$1:$I$89,3,0)*VLOOKUP('Données projet'!$B$9,Paramètres!$A$1:$I$89,5,0)</f>
        <v>70.605245454545425</v>
      </c>
      <c r="P21" s="14">
        <f t="shared" si="33"/>
        <v>19.823685955910104</v>
      </c>
      <c r="Q21" s="22">
        <f t="shared" si="2"/>
        <v>157.4970555398767</v>
      </c>
      <c r="R21" s="62">
        <f t="shared" si="0"/>
        <v>436.16372220654341</v>
      </c>
      <c r="S21" s="62">
        <f ca="1">AVERAGE(OFFSET($R$3,0,0,'Données projet'!$E$9+1,1))-AVERAGE(OFFSET($H$3,0,0,'Données projet'!$E$9+1,1))</f>
        <v>441.6145113257511</v>
      </c>
      <c r="T21" s="62">
        <f t="shared" si="34"/>
        <v>295.8399381972477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>
        <f>VLOOKUP(A21,'Données projet'!$A$61:$I$81,2,0)</f>
        <v>53</v>
      </c>
      <c r="AG21" s="13">
        <f>VLOOKUP(A21,'Données projet'!$A$61:$I$81,9,0)</f>
        <v>2.9444444444444446</v>
      </c>
      <c r="AH21" s="13">
        <f t="array" ref="AH21">INDEX(AG:AG,MIN(IF(ISNUMBER(AG21:AG217),ROW(AG21:AG217),"")))</f>
        <v>2.9444444444444446</v>
      </c>
      <c r="AI21" s="14">
        <f>IF('Données projet'!$A$62&gt;35,AI20+AH21-AQ20,IF(A21&lt;'Données projet'!$A$62,$AF$205^A21,IF(A21='Données projet'!$A$62,'Données projet'!$B$62,AI20+AH21-AQ20)))</f>
        <v>53</v>
      </c>
      <c r="AJ21" s="14">
        <f>AI21*VLOOKUP('Données projet'!$B$10,Paramètres!$A$1:$I$89,3,0)*VLOOKUP('Données projet'!$B$10,Paramètres!$A$1:$I$89,5,0)</f>
        <v>45.474000000000004</v>
      </c>
      <c r="AK21" s="14">
        <f t="shared" si="35"/>
        <v>13.438524604437738</v>
      </c>
      <c r="AL21" s="22">
        <f t="shared" si="4"/>
        <v>102.60598035272905</v>
      </c>
      <c r="AM21" s="62">
        <f t="shared" si="5"/>
        <v>381.27264701939572</v>
      </c>
      <c r="AN21" s="62">
        <f ca="1">AVERAGE(OFFSET($AM$3,0,0,'Données projet'!$E$10+1,1))-AVERAGE(OFFSET($H$3,0,0,'Données projet'!$E$10+1,1))</f>
        <v>623.31285537237943</v>
      </c>
      <c r="AO21" s="62">
        <f t="shared" si="36"/>
        <v>462.33909258902241</v>
      </c>
      <c r="AP21" s="16">
        <f>IF(ISNA(VLOOKUP(A21,'Données projet'!$A$61:$I$81,3,0)),0,VLOOKUP(A21,'Données projet'!$A$61:$I$81,3,0))</f>
        <v>1</v>
      </c>
      <c r="AQ21" s="16">
        <f>IF(ISNA(VLOOKUP(A21,'Données projet'!$A$61:$I$81,4,0)),0,VLOOKUP(A21,'Données projet'!$A$61:$I$81,4,0))</f>
        <v>2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11.6</v>
      </c>
      <c r="BD21" s="13">
        <f>IF('Données projet'!$A$88&gt;35,BD20+BC21-BL20,IF(A21&lt;'Données projet'!$A$88,$BA$205^A21,IF(A21='Données projet'!$A$88,'Données projet'!$B$88,BD20+BC21-BL20)))</f>
        <v>56.800000000000004</v>
      </c>
      <c r="BE21" s="14">
        <f>BD21*VLOOKUP('Données projet'!$B$11,Paramètres!$A$1:$I$89,3,0)*VLOOKUP('Données projet'!$B$11,Paramètres!$A$1:$I$89,5,0)</f>
        <v>45.190080000000009</v>
      </c>
      <c r="BF21" s="14">
        <f t="shared" si="37"/>
        <v>13.364359727915414</v>
      </c>
      <c r="BG21" s="22">
        <f t="shared" si="7"/>
        <v>101.98231585945268</v>
      </c>
      <c r="BH21" s="62">
        <f t="shared" si="8"/>
        <v>380.64898252611937</v>
      </c>
      <c r="BI21" s="62">
        <f ca="1">AVERAGE(OFFSET($BH$3,0,0,'Données projet'!$E$11+1,1))-AVERAGE(OFFSET($H$3,0,0,'Données projet'!$E$11+1,1))</f>
        <v>299.10536994156814</v>
      </c>
      <c r="BJ21" s="62">
        <f t="shared" si="38"/>
        <v>292.57799203101769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6.1540000000000008</v>
      </c>
      <c r="BY21" s="13">
        <f>IF('Données projet'!$A$114&gt;35,BY20+BX21-CG20,IF(A21&lt;'Données projet'!$A$114,$BV$205^A21,IF(A21='Données projet'!$A$114,'Données projet'!$B$114,BY20+BX21-CG20)))</f>
        <v>42.182000000000009</v>
      </c>
      <c r="BZ21" s="14">
        <f>BY21*VLOOKUP('Données projet'!$B$12,Paramètres!$A$1:$I$89,3,0)*VLOOKUP('Données projet'!$B$12,Paramètres!$A$1:$I$89,5,0)</f>
        <v>32.90196000000001</v>
      </c>
      <c r="CA21" s="14">
        <f t="shared" si="39"/>
        <v>10.096462135187913</v>
      </c>
      <c r="CB21" s="22">
        <f t="shared" si="10"/>
        <v>74.888918552118966</v>
      </c>
      <c r="CC21" s="62">
        <f t="shared" si="11"/>
        <v>353.55558521878567</v>
      </c>
      <c r="CD21" s="62">
        <f ca="1">AVERAGE(OFFSET($CC$3,0,0,'Données projet'!$E$12+1,1))-AVERAGE(OFFSET($H$3,0,0,'Données projet'!$E$12+1,1))</f>
        <v>197.51529454208725</v>
      </c>
      <c r="CE21" s="62">
        <f t="shared" si="40"/>
        <v>196.65362486387215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15.8</v>
      </c>
      <c r="CT21" s="13">
        <f>IF('Données projet'!$A$140&gt;35,CT20+CS21-DB20,IF(A21&lt;'Données projet'!$A$140,$CQ$205^A21,IF(A21='Données projet'!$A$140,'Données projet'!$B$140,CT20+CS21-DB20)))</f>
        <v>106.4</v>
      </c>
      <c r="CU21" s="18">
        <f>CT21*VLOOKUP('Données projet'!$B$13,Paramètres!$A$1:$I$89,3,0)*VLOOKUP('Données projet'!$B$13,Paramètres!$A$1:$I$89,5,0)</f>
        <v>58.094400000000007</v>
      </c>
      <c r="CV21" s="14">
        <f t="shared" si="41"/>
        <v>16.6855722721399</v>
      </c>
      <c r="CW21" s="22">
        <f t="shared" si="13"/>
        <v>130.24178504064366</v>
      </c>
      <c r="CX21" s="62">
        <f t="shared" si="14"/>
        <v>408.90845170731035</v>
      </c>
      <c r="CY21" s="62">
        <f ca="1">AVERAGE(OFFSET($CX$3,0,0,'Données projet'!$E$13+1,1))-AVERAGE(OFFSET($H$3,0,0,'Données projet'!$E$13+1,1))</f>
        <v>303.14853302260451</v>
      </c>
      <c r="CZ21" s="62">
        <f t="shared" si="42"/>
        <v>298.74602928001929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8.6993724711492852</v>
      </c>
      <c r="DH21" s="23">
        <f>EXP(-LN(2)/2)*DH20+(1-EXP(-LN(2)/2))/(LN(2)/2)*DB21*DE21*VLOOKUP('Données projet'!$B$13,Paramètres!$A$1:$I$89,3,0)*0.475*44/12</f>
        <v>3.7505976047038896</v>
      </c>
      <c r="DI21" s="24">
        <f t="shared" si="15"/>
        <v>12.449970075853175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70">
        <f t="shared" si="1"/>
        <v>256.66666666666669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4.3352272727272725</v>
      </c>
      <c r="N22" s="14">
        <f>IF('Données projet'!$A$36&gt;35,N21+M22-V21,IF(A22&lt;'Données projet'!$A$36,$K$205^A22,IF(A22='Données projet'!$A$36,'Données projet'!$B$36,N21+M22-V21)))</f>
        <v>82.369318181818159</v>
      </c>
      <c r="O22" s="14">
        <f>N22*VLOOKUP('Données projet'!$B$9,Paramètres!$A$1:$I$89,3,0)*VLOOKUP('Données projet'!$B$9,Paramètres!$A$1:$I$89,5,0)</f>
        <v>74.527759090909072</v>
      </c>
      <c r="P22" s="14">
        <f t="shared" si="33"/>
        <v>20.793725444267654</v>
      </c>
      <c r="Q22" s="22">
        <f t="shared" si="2"/>
        <v>166.01825223209946</v>
      </c>
      <c r="R22" s="62">
        <f t="shared" si="0"/>
        <v>445.90714112098829</v>
      </c>
      <c r="S22" s="62">
        <f ca="1">AVERAGE(OFFSET($R$3,0,0,'Données projet'!$E$9+1,1))-AVERAGE(OFFSET($H$3,0,0,'Données projet'!$E$9+1,1))</f>
        <v>441.6145113257511</v>
      </c>
      <c r="T22" s="62">
        <f t="shared" si="34"/>
        <v>295.8399381972477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20</v>
      </c>
      <c r="AI22" s="14">
        <f>IF('Données projet'!$A$62&gt;35,AI21+AH22-AQ21,IF(A22&lt;'Données projet'!$A$62,$AF$205^A22,IF(A22='Données projet'!$A$62,'Données projet'!$B$62,AI21+AH22-AQ21)))</f>
        <v>71</v>
      </c>
      <c r="AJ22" s="14">
        <f>AI22*VLOOKUP('Données projet'!$B$10,Paramètres!$A$1:$I$89,3,0)*VLOOKUP('Données projet'!$B$10,Paramètres!$A$1:$I$89,5,0)</f>
        <v>60.918000000000006</v>
      </c>
      <c r="AK22" s="14">
        <f t="shared" si="35"/>
        <v>17.400162706980499</v>
      </c>
      <c r="AL22" s="22">
        <f t="shared" si="4"/>
        <v>136.40413338132439</v>
      </c>
      <c r="AM22" s="62">
        <f t="shared" si="5"/>
        <v>416.29302227021321</v>
      </c>
      <c r="AN22" s="62">
        <f ca="1">AVERAGE(OFFSET($AM$3,0,0,'Données projet'!$E$10+1,1))-AVERAGE(OFFSET($H$3,0,0,'Données projet'!$E$10+1,1))</f>
        <v>623.31285537237943</v>
      </c>
      <c r="AO22" s="62">
        <f t="shared" si="36"/>
        <v>462.33909258902241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11.6</v>
      </c>
      <c r="BD22" s="13">
        <f>IF('Données projet'!$A$88&gt;35,BD21+BC22-BL21,IF(A22&lt;'Données projet'!$A$88,$BA$205^A22,IF(A22='Données projet'!$A$88,'Données projet'!$B$88,BD21+BC22-BL21)))</f>
        <v>68.400000000000006</v>
      </c>
      <c r="BE22" s="14">
        <f>BD22*VLOOKUP('Données projet'!$B$11,Paramètres!$A$1:$I$89,3,0)*VLOOKUP('Données projet'!$B$11,Paramètres!$A$1:$I$89,5,0)</f>
        <v>54.419040000000003</v>
      </c>
      <c r="BF22" s="14">
        <f t="shared" si="37"/>
        <v>15.749310274925152</v>
      </c>
      <c r="BG22" s="22">
        <f t="shared" si="7"/>
        <v>122.20987672882796</v>
      </c>
      <c r="BH22" s="62">
        <f t="shared" si="8"/>
        <v>402.09876561771682</v>
      </c>
      <c r="BI22" s="62">
        <f ca="1">AVERAGE(OFFSET($BH$3,0,0,'Données projet'!$E$11+1,1))-AVERAGE(OFFSET($H$3,0,0,'Données projet'!$E$11+1,1))</f>
        <v>299.10536994156814</v>
      </c>
      <c r="BJ22" s="62">
        <f t="shared" si="38"/>
        <v>292.57799203101769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6.1540000000000008</v>
      </c>
      <c r="BY22" s="13">
        <f>IF('Données projet'!$A$114&gt;35,BY21+BX22-CG21,IF(A22&lt;'Données projet'!$A$114,$BV$205^A22,IF(A22='Données projet'!$A$114,'Données projet'!$B$114,BY21+BX22-CG21)))</f>
        <v>48.336000000000013</v>
      </c>
      <c r="BZ22" s="14">
        <f>BY22*VLOOKUP('Données projet'!$B$12,Paramètres!$A$1:$I$89,3,0)*VLOOKUP('Données projet'!$B$12,Paramètres!$A$1:$I$89,5,0)</f>
        <v>37.702080000000009</v>
      </c>
      <c r="CA22" s="14">
        <f t="shared" si="39"/>
        <v>11.387501661134454</v>
      </c>
      <c r="CB22" s="22">
        <f t="shared" si="10"/>
        <v>85.497688059809192</v>
      </c>
      <c r="CC22" s="62">
        <f t="shared" si="11"/>
        <v>365.38657694869806</v>
      </c>
      <c r="CD22" s="62">
        <f ca="1">AVERAGE(OFFSET($CC$3,0,0,'Données projet'!$E$12+1,1))-AVERAGE(OFFSET($H$3,0,0,'Données projet'!$E$12+1,1))</f>
        <v>197.51529454208725</v>
      </c>
      <c r="CE22" s="62">
        <f t="shared" si="40"/>
        <v>196.65362486387215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15.8</v>
      </c>
      <c r="CT22" s="13">
        <f>IF('Données projet'!$A$140&gt;35,CT21+CS22-DB21,IF(A22&lt;'Données projet'!$A$140,$CQ$205^A22,IF(A22='Données projet'!$A$140,'Données projet'!$B$140,CT21+CS22-DB21)))</f>
        <v>122.2</v>
      </c>
      <c r="CU22" s="18">
        <f>CT22*VLOOKUP('Données projet'!$B$13,Paramètres!$A$1:$I$89,3,0)*VLOOKUP('Données projet'!$B$13,Paramètres!$A$1:$I$89,5,0)</f>
        <v>66.721199999999996</v>
      </c>
      <c r="CV22" s="14">
        <f t="shared" si="41"/>
        <v>18.856956599005905</v>
      </c>
      <c r="CW22" s="22">
        <f t="shared" si="13"/>
        <v>149.0486227432686</v>
      </c>
      <c r="CX22" s="62">
        <f t="shared" si="14"/>
        <v>428.93751163215745</v>
      </c>
      <c r="CY22" s="62">
        <f ca="1">AVERAGE(OFFSET($CX$3,0,0,'Données projet'!$E$13+1,1))-AVERAGE(OFFSET($H$3,0,0,'Données projet'!$E$13+1,1))</f>
        <v>303.14853302260451</v>
      </c>
      <c r="CZ22" s="62">
        <f t="shared" si="42"/>
        <v>298.74602928001929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8.4614876734455926</v>
      </c>
      <c r="DH22" s="23">
        <f>EXP(-LN(2)/2)*DH21+(1-EXP(-LN(2)/2))/(LN(2)/2)*DB22*DE22*VLOOKUP('Données projet'!$B$13,Paramètres!$A$1:$I$89,3,0)*0.475*44/12</f>
        <v>2.6520729997881425</v>
      </c>
      <c r="DI22" s="24">
        <f t="shared" si="15"/>
        <v>11.113560673233735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70">
        <f t="shared" si="1"/>
        <v>256.66666666666669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4.3352272727272725</v>
      </c>
      <c r="N23" s="14">
        <f>IF('Données projet'!$A$36&gt;35,N22+M23-V22,IF(A23&lt;'Données projet'!$A$36,$K$205^A23,IF(A23='Données projet'!$A$36,'Données projet'!$B$36,N22+M23-V22)))</f>
        <v>86.704545454545425</v>
      </c>
      <c r="O23" s="14">
        <f>N23*VLOOKUP('Données projet'!$B$9,Paramètres!$A$1:$I$89,3,0)*VLOOKUP('Données projet'!$B$9,Paramètres!$A$1:$I$89,5,0)</f>
        <v>78.450272727272704</v>
      </c>
      <c r="P23" s="14">
        <f t="shared" si="33"/>
        <v>21.757837441954852</v>
      </c>
      <c r="Q23" s="22">
        <f t="shared" si="2"/>
        <v>174.52912521140465</v>
      </c>
      <c r="R23" s="62">
        <f t="shared" si="0"/>
        <v>455.64023632251576</v>
      </c>
      <c r="S23" s="62">
        <f ca="1">AVERAGE(OFFSET($R$3,0,0,'Données projet'!$E$9+1,1))-AVERAGE(OFFSET($H$3,0,0,'Données projet'!$E$9+1,1))</f>
        <v>441.6145113257511</v>
      </c>
      <c r="T23" s="62">
        <f t="shared" si="34"/>
        <v>295.8399381972477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20</v>
      </c>
      <c r="AI23" s="14">
        <f>IF('Données projet'!$A$62&gt;35,AI22+AH23-AQ22,IF(A23&lt;'Données projet'!$A$62,$AF$205^A23,IF(A23='Données projet'!$A$62,'Données projet'!$B$62,AI22+AH23-AQ22)))</f>
        <v>91</v>
      </c>
      <c r="AJ23" s="14">
        <f>AI23*VLOOKUP('Données projet'!$B$10,Paramètres!$A$1:$I$89,3,0)*VLOOKUP('Données projet'!$B$10,Paramètres!$A$1:$I$89,5,0)</f>
        <v>78.078000000000003</v>
      </c>
      <c r="AK23" s="14">
        <f t="shared" si="35"/>
        <v>21.666582091642084</v>
      </c>
      <c r="AL23" s="22">
        <f t="shared" si="4"/>
        <v>173.72181380960993</v>
      </c>
      <c r="AM23" s="62">
        <f t="shared" si="5"/>
        <v>454.8329249207211</v>
      </c>
      <c r="AN23" s="62">
        <f ca="1">AVERAGE(OFFSET($AM$3,0,0,'Données projet'!$E$10+1,1))-AVERAGE(OFFSET($H$3,0,0,'Données projet'!$E$10+1,1))</f>
        <v>623.31285537237943</v>
      </c>
      <c r="AO23" s="62">
        <f t="shared" si="36"/>
        <v>462.33909258902241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80</v>
      </c>
      <c r="BB23" s="13">
        <f>VLOOKUP(A23,'Données projet'!$A$87:$I$107,9,0)</f>
        <v>11.6</v>
      </c>
      <c r="BC23" s="13">
        <f t="array" ref="BC23">INDEX(BB:BB,MIN(IF(ISNUMBER(BB23:BB219),ROW(BB23:BB219),"")))</f>
        <v>11.6</v>
      </c>
      <c r="BD23" s="13">
        <f>IF('Données projet'!$A$88&gt;35,BD22+BC23-BL22,IF(A23&lt;'Données projet'!$A$88,$BA$205^A23,IF(A23='Données projet'!$A$88,'Données projet'!$B$88,BD22+BC23-BL22)))</f>
        <v>80</v>
      </c>
      <c r="BE23" s="14">
        <f>BD23*VLOOKUP('Données projet'!$B$11,Paramètres!$A$1:$I$89,3,0)*VLOOKUP('Données projet'!$B$11,Paramètres!$A$1:$I$89,5,0)</f>
        <v>63.647999999999996</v>
      </c>
      <c r="BF23" s="14">
        <f t="shared" si="37"/>
        <v>18.087405707268363</v>
      </c>
      <c r="BG23" s="22">
        <f t="shared" si="7"/>
        <v>142.35583160682572</v>
      </c>
      <c r="BH23" s="62">
        <f t="shared" si="8"/>
        <v>423.46694271793683</v>
      </c>
      <c r="BI23" s="62">
        <f ca="1">AVERAGE(OFFSET($BH$3,0,0,'Données projet'!$E$11+1,1))-AVERAGE(OFFSET($H$3,0,0,'Données projet'!$E$11+1,1))</f>
        <v>299.10536994156814</v>
      </c>
      <c r="BJ23" s="62">
        <f t="shared" si="38"/>
        <v>292.57799203101769</v>
      </c>
      <c r="BK23" s="16">
        <f>IF(ISNA(VLOOKUP(A23,'Données projet'!$A$87:$I$107,3,0)),0,VLOOKUP(A23,'Données projet'!$A$87:$I$107,3,0))</f>
        <v>2</v>
      </c>
      <c r="BL23" s="16">
        <f>IF(ISNA(VLOOKUP(A23,'Données projet'!$A$87:$I$107,4,0)),0,VLOOKUP(A23,'Données projet'!$A$87:$I$107,4,0))</f>
        <v>28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54.49</v>
      </c>
      <c r="BW23" s="13">
        <f>VLOOKUP(A23,'Données projet'!$A$113:$I$133,9,0)</f>
        <v>6.1540000000000008</v>
      </c>
      <c r="BX23" s="13">
        <f t="array" ref="BX23">INDEX(BW:BW,MIN(IF(ISNUMBER(BW23:BW219),ROW(BW23:BW219),"")))</f>
        <v>6.1540000000000008</v>
      </c>
      <c r="BY23" s="13">
        <f>IF('Données projet'!$A$114&gt;35,BY22+BX23-CG22,IF(A23&lt;'Données projet'!$A$114,$BV$205^A23,IF(A23='Données projet'!$A$114,'Données projet'!$B$114,BY22+BX23-CG22)))</f>
        <v>54.490000000000016</v>
      </c>
      <c r="BZ23" s="14">
        <f>BY23*VLOOKUP('Données projet'!$B$12,Paramètres!$A$1:$I$89,3,0)*VLOOKUP('Données projet'!$B$12,Paramètres!$A$1:$I$89,5,0)</f>
        <v>42.502200000000016</v>
      </c>
      <c r="CA23" s="14">
        <f t="shared" si="39"/>
        <v>12.659495165807101</v>
      </c>
      <c r="CB23" s="22">
        <f t="shared" si="10"/>
        <v>96.07328574711407</v>
      </c>
      <c r="CC23" s="62">
        <f t="shared" si="11"/>
        <v>377.18439685822523</v>
      </c>
      <c r="CD23" s="62">
        <f ca="1">AVERAGE(OFFSET($CC$3,0,0,'Données projet'!$E$12+1,1))-AVERAGE(OFFSET($H$3,0,0,'Données projet'!$E$12+1,1))</f>
        <v>197.51529454208725</v>
      </c>
      <c r="CE23" s="62">
        <f t="shared" si="40"/>
        <v>196.65362486387215</v>
      </c>
      <c r="CF23" s="16">
        <f>IF(ISNA(VLOOKUP(A23,'Données projet'!$A$113:$I$133,3,0)),0,VLOOKUP(A23,'Données projet'!$A$113:$I$133,3,0))</f>
        <v>2</v>
      </c>
      <c r="CG23" s="16">
        <f>IF(ISNA(VLOOKUP(A23,'Données projet'!$A$113:$I$133,4,0)),0,VLOOKUP(A23,'Données projet'!$A$113:$I$133,4,0))</f>
        <v>16.03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138</v>
      </c>
      <c r="CR23" s="13">
        <f>VLOOKUP(A23,'Données projet'!$A$139:$I$159,9,0)</f>
        <v>15.8</v>
      </c>
      <c r="CS23" s="13">
        <f t="array" ref="CS23">INDEX(CR:CR,MIN(IF(ISNUMBER(CR23:CR219),ROW(CR23:CR219),"")))</f>
        <v>15.8</v>
      </c>
      <c r="CT23" s="13">
        <f>IF('Données projet'!$A$140&gt;35,CT22+CS23-DB22,IF(A23&lt;'Données projet'!$A$140,$CQ$205^A23,IF(A23='Données projet'!$A$140,'Données projet'!$B$140,CT22+CS23-DB22)))</f>
        <v>138</v>
      </c>
      <c r="CU23" s="18">
        <f>CT23*VLOOKUP('Données projet'!$B$13,Paramètres!$A$1:$I$89,3,0)*VLOOKUP('Données projet'!$B$13,Paramètres!$A$1:$I$89,5,0)</f>
        <v>75.347999999999999</v>
      </c>
      <c r="CV23" s="14">
        <f t="shared" si="41"/>
        <v>20.99581051771704</v>
      </c>
      <c r="CW23" s="22">
        <f t="shared" si="13"/>
        <v>167.79880331835713</v>
      </c>
      <c r="CX23" s="62">
        <f t="shared" si="14"/>
        <v>448.90991442946824</v>
      </c>
      <c r="CY23" s="62">
        <f ca="1">AVERAGE(OFFSET($CX$3,0,0,'Données projet'!$E$13+1,1))-AVERAGE(OFFSET($H$3,0,0,'Données projet'!$E$13+1,1))</f>
        <v>303.14853302260451</v>
      </c>
      <c r="CZ23" s="62">
        <f t="shared" si="42"/>
        <v>298.74602928001929</v>
      </c>
      <c r="DA23" s="16">
        <f>IF(ISNA(VLOOKUP(A23,'Données projet'!$A$139:$I$159,3,0)),0,VLOOKUP(A23,'Données projet'!$A$139:$I$159,3,0))</f>
        <v>3</v>
      </c>
      <c r="DB23" s="16">
        <f>IF(ISNA(VLOOKUP(A23,'Données projet'!$A$139:$I$159,4,0)),0,VLOOKUP(A23,'Données projet'!$A$139:$I$159,4,0))</f>
        <v>42</v>
      </c>
      <c r="DC23" s="17">
        <f>IF(ISNA(VLOOKUP(A23,'Données projet'!$A$139:$I$159,5,0)),0%,VLOOKUP(A23,'Données projet'!$A$139:$I$159,5,0)*VLOOKUP('Données projet'!$B$13,Paramètres!$A$1:$I$89,7,0))</f>
        <v>0.12</v>
      </c>
      <c r="DD23" s="17">
        <f>IF(ISNA(VLOOKUP(A23,'Données projet'!$A$139:$I$159,6,0)),0%,VLOOKUP(A23,'Données projet'!$A$139:$I$159,6,0)*VLOOKUP('Données projet'!$B$13,Paramètres!$A$1:$I$89,7,0))</f>
        <v>0.27</v>
      </c>
      <c r="DE23" s="17">
        <f>IF(ISNA(VLOOKUP(A23,'Données projet'!$A$139:$I$159,7,0)),0%,VLOOKUP(A23,'Données projet'!$A$139:$I$159,7,0))</f>
        <v>0.35</v>
      </c>
      <c r="DF23" s="23">
        <f>EXP(-LN(2)/35)*DF22+(1-EXP(-LN(2)/35))/(LN(2)/35)*DB23*DC23*VLOOKUP('Données projet'!$B$13,Paramètres!$A$1:$I$89,3,0)*0.475*44/12</f>
        <v>3.6504931310567437</v>
      </c>
      <c r="DG23" s="23">
        <f>EXP(-LN(2)/25)*DG22+(1-EXP(-LN(2)/25))/(LN(2)/25)*Calculateur!DB23*Calculateur!DD23*VLOOKUP('Données projet'!$B$13,Paramètres!$A$1:$I$89,3,0)*0.475*44/12</f>
        <v>16.411377282513818</v>
      </c>
      <c r="DH23" s="23">
        <f>EXP(-LN(2)/2)*DH22+(1-EXP(-LN(2)/2))/(LN(2)/2)*DB23*DE23*VLOOKUP('Données projet'!$B$13,Paramètres!$A$1:$I$89,3,0)*0.475*44/12</f>
        <v>10.962821668758863</v>
      </c>
      <c r="DI23" s="24">
        <f t="shared" si="15"/>
        <v>31.024692082329427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70">
        <f t="shared" si="1"/>
        <v>256.66666666666669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4.3352272727272725</v>
      </c>
      <c r="N24" s="14">
        <f>IF('Données projet'!$A$36&gt;35,N23+M24-V23,IF(A24&lt;'Données projet'!$A$36,$K$205^A24,IF(A24='Données projet'!$A$36,'Données projet'!$B$36,N23+M24-V23)))</f>
        <v>91.039772727272691</v>
      </c>
      <c r="O24" s="14">
        <f>N24*VLOOKUP('Données projet'!$B$9,Paramètres!$A$1:$I$89,3,0)*VLOOKUP('Données projet'!$B$9,Paramètres!$A$1:$I$89,5,0)</f>
        <v>82.372786363636322</v>
      </c>
      <c r="P24" s="14">
        <f t="shared" si="33"/>
        <v>22.716352142318268</v>
      </c>
      <c r="Q24" s="22">
        <f t="shared" si="2"/>
        <v>183.0302495645376</v>
      </c>
      <c r="R24" s="62">
        <f t="shared" si="0"/>
        <v>465.36358289787091</v>
      </c>
      <c r="S24" s="62">
        <f ca="1">AVERAGE(OFFSET($R$3,0,0,'Données projet'!$E$9+1,1))-AVERAGE(OFFSET($H$3,0,0,'Données projet'!$E$9+1,1))</f>
        <v>441.6145113257511</v>
      </c>
      <c r="T24" s="62">
        <f t="shared" si="34"/>
        <v>295.8399381972477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>
        <f>VLOOKUP(A24,'Données projet'!$A$61:$I$81,2,0)</f>
        <v>111</v>
      </c>
      <c r="AG24" s="13">
        <f>VLOOKUP(A24,'Données projet'!$A$61:$I$81,9,0)</f>
        <v>20</v>
      </c>
      <c r="AH24" s="13">
        <f t="array" ref="AH24">INDEX(AG:AG,MIN(IF(ISNUMBER(AG24:AG220),ROW(AG24:AG220),"")))</f>
        <v>20</v>
      </c>
      <c r="AI24" s="14">
        <f>IF('Données projet'!$A$62&gt;35,AI23+AH24-AQ23,IF(A24&lt;'Données projet'!$A$62,$AF$205^A24,IF(A24='Données projet'!$A$62,'Données projet'!$B$62,AI23+AH24-AQ23)))</f>
        <v>111</v>
      </c>
      <c r="AJ24" s="14">
        <f>AI24*VLOOKUP('Données projet'!$B$10,Paramètres!$A$1:$I$89,3,0)*VLOOKUP('Données projet'!$B$10,Paramètres!$A$1:$I$89,5,0)</f>
        <v>95.238000000000014</v>
      </c>
      <c r="AK24" s="14">
        <f t="shared" si="35"/>
        <v>25.824315354051141</v>
      </c>
      <c r="AL24" s="22">
        <f t="shared" si="4"/>
        <v>210.85019924163907</v>
      </c>
      <c r="AM24" s="62">
        <f t="shared" si="5"/>
        <v>493.18353257497239</v>
      </c>
      <c r="AN24" s="62">
        <f ca="1">AVERAGE(OFFSET($AM$3,0,0,'Données projet'!$E$10+1,1))-AVERAGE(OFFSET($H$3,0,0,'Données projet'!$E$10+1,1))</f>
        <v>623.31285537237943</v>
      </c>
      <c r="AO24" s="62">
        <f t="shared" si="36"/>
        <v>462.33909258902241</v>
      </c>
      <c r="AP24" s="16">
        <f>IF(ISNA(VLOOKUP(A24,'Données projet'!$A$61:$I$81,3,0)),0,VLOOKUP(A24,'Données projet'!$A$61:$I$81,3,0))</f>
        <v>2</v>
      </c>
      <c r="AQ24" s="16">
        <f>IF(ISNA(VLOOKUP(A24,'Données projet'!$A$61:$I$81,4,0)),0,VLOOKUP(A24,'Données projet'!$A$61:$I$81,4,0))</f>
        <v>8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12.6</v>
      </c>
      <c r="BD24" s="13">
        <f>IF('Données projet'!$A$88&gt;35,BD23+BC24-BL23,IF(A24&lt;'Données projet'!$A$88,$BA$205^A24,IF(A24='Données projet'!$A$88,'Données projet'!$B$88,BD23+BC24-BL23)))</f>
        <v>64.599999999999994</v>
      </c>
      <c r="BE24" s="14">
        <f>BD24*VLOOKUP('Données projet'!$B$11,Paramètres!$A$1:$I$89,3,0)*VLOOKUP('Données projet'!$B$11,Paramètres!$A$1:$I$89,5,0)</f>
        <v>51.395759999999996</v>
      </c>
      <c r="BF24" s="14">
        <f t="shared" si="37"/>
        <v>14.973641136922506</v>
      </c>
      <c r="BG24" s="22">
        <f t="shared" si="7"/>
        <v>115.59337364680668</v>
      </c>
      <c r="BH24" s="62">
        <f t="shared" si="8"/>
        <v>397.92670698014001</v>
      </c>
      <c r="BI24" s="62">
        <f ca="1">AVERAGE(OFFSET($BH$3,0,0,'Données projet'!$E$11+1,1))-AVERAGE(OFFSET($H$3,0,0,'Données projet'!$E$11+1,1))</f>
        <v>299.10536994156814</v>
      </c>
      <c r="BJ24" s="62">
        <f t="shared" si="38"/>
        <v>292.57799203101769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6.7959999999999994</v>
      </c>
      <c r="BY24" s="13">
        <f>IF('Données projet'!$A$114&gt;35,BY23+BX24-CG23,IF(A24&lt;'Données projet'!$A$114,$BV$205^A24,IF(A24='Données projet'!$A$114,'Données projet'!$B$114,BY23+BX24-CG23)))</f>
        <v>45.256000000000014</v>
      </c>
      <c r="BZ24" s="14">
        <f>BY24*VLOOKUP('Données projet'!$B$12,Paramètres!$A$1:$I$89,3,0)*VLOOKUP('Données projet'!$B$12,Paramètres!$A$1:$I$89,5,0)</f>
        <v>35.299680000000009</v>
      </c>
      <c r="CA24" s="14">
        <f t="shared" si="39"/>
        <v>10.74390886663921</v>
      </c>
      <c r="CB24" s="22">
        <f t="shared" si="10"/>
        <v>80.192583942729968</v>
      </c>
      <c r="CC24" s="62">
        <f t="shared" si="11"/>
        <v>362.5259172760633</v>
      </c>
      <c r="CD24" s="62">
        <f ca="1">AVERAGE(OFFSET($CC$3,0,0,'Données projet'!$E$12+1,1))-AVERAGE(OFFSET($H$3,0,0,'Données projet'!$E$12+1,1))</f>
        <v>197.51529454208725</v>
      </c>
      <c r="CE24" s="62">
        <f t="shared" si="40"/>
        <v>196.65362486387215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16.8</v>
      </c>
      <c r="CT24" s="13">
        <f>IF('Données projet'!$A$140&gt;35,CT23+CS24-DB23,IF(A24&lt;'Données projet'!$A$140,$CQ$205^A24,IF(A24='Données projet'!$A$140,'Données projet'!$B$140,CT23+CS24-DB23)))</f>
        <v>112.80000000000001</v>
      </c>
      <c r="CU24" s="18">
        <f>CT24*VLOOKUP('Données projet'!$B$13,Paramètres!$A$1:$I$89,3,0)*VLOOKUP('Données projet'!$B$13,Paramètres!$A$1:$I$89,5,0)</f>
        <v>61.588800000000006</v>
      </c>
      <c r="CV24" s="14">
        <f t="shared" si="41"/>
        <v>17.56935444538782</v>
      </c>
      <c r="CW24" s="22">
        <f t="shared" si="13"/>
        <v>137.86711899238378</v>
      </c>
      <c r="CX24" s="62">
        <f t="shared" si="14"/>
        <v>420.20045232571709</v>
      </c>
      <c r="CY24" s="62">
        <f ca="1">AVERAGE(OFFSET($CX$3,0,0,'Données projet'!$E$13+1,1))-AVERAGE(OFFSET($H$3,0,0,'Données projet'!$E$13+1,1))</f>
        <v>303.14853302260451</v>
      </c>
      <c r="CZ24" s="62">
        <f t="shared" si="42"/>
        <v>298.74602928001929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3.5789091873376742</v>
      </c>
      <c r="DG24" s="23">
        <f>EXP(-LN(2)/25)*DG23+(1-EXP(-LN(2)/25))/(LN(2)/25)*Calculateur!DB24*Calculateur!DD24*VLOOKUP('Données projet'!$B$13,Paramètres!$A$1:$I$89,3,0)*0.475*44/12</f>
        <v>15.962607307686655</v>
      </c>
      <c r="DH24" s="23">
        <f>EXP(-LN(2)/2)*DH23+(1-EXP(-LN(2)/2))/(LN(2)/2)*DB24*DE24*VLOOKUP('Données projet'!$B$13,Paramètres!$A$1:$I$89,3,0)*0.475*44/12</f>
        <v>7.7518855429182159</v>
      </c>
      <c r="DI24" s="24">
        <f t="shared" si="15"/>
        <v>27.293402037942545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70">
        <f t="shared" si="1"/>
        <v>256.66666666666669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4.3352272727272725</v>
      </c>
      <c r="N25" s="14">
        <f>IF('Données projet'!$A$36&gt;35,N24+M25-V24,IF(A25&lt;'Données projet'!$A$36,$K$205^A25,IF(A25='Données projet'!$A$36,'Données projet'!$B$36,N24+M25-V24)))</f>
        <v>95.374999999999957</v>
      </c>
      <c r="O25" s="14">
        <f>N25*VLOOKUP('Données projet'!$B$9,Paramètres!$A$1:$I$89,3,0)*VLOOKUP('Données projet'!$B$9,Paramètres!$A$1:$I$89,5,0)</f>
        <v>86.295299999999969</v>
      </c>
      <c r="P25" s="14">
        <f t="shared" si="33"/>
        <v>23.66956651478727</v>
      </c>
      <c r="Q25" s="22">
        <f t="shared" si="2"/>
        <v>191.52214251325447</v>
      </c>
      <c r="R25" s="62">
        <f t="shared" si="0"/>
        <v>475.07769806881004</v>
      </c>
      <c r="S25" s="62">
        <f ca="1">AVERAGE(OFFSET($R$3,0,0,'Données projet'!$E$9+1,1))-AVERAGE(OFFSET($H$3,0,0,'Données projet'!$E$9+1,1))</f>
        <v>441.6145113257511</v>
      </c>
      <c r="T25" s="62">
        <f t="shared" si="34"/>
        <v>295.8399381972477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23.333333333333332</v>
      </c>
      <c r="AI25" s="14">
        <f>IF('Données projet'!$A$62&gt;35,AI24+AH25-AQ24,IF(A25&lt;'Données projet'!$A$62,$AF$205^A25,IF(A25='Données projet'!$A$62,'Données projet'!$B$62,AI24+AH25-AQ24)))</f>
        <v>126.33333333333334</v>
      </c>
      <c r="AJ25" s="14">
        <f>AI25*VLOOKUP('Données projet'!$B$10,Paramètres!$A$1:$I$89,3,0)*VLOOKUP('Données projet'!$B$10,Paramètres!$A$1:$I$89,5,0)</f>
        <v>108.39400000000003</v>
      </c>
      <c r="AK25" s="14">
        <f t="shared" si="35"/>
        <v>28.952275163466386</v>
      </c>
      <c r="AL25" s="22">
        <f t="shared" si="4"/>
        <v>239.21142924303732</v>
      </c>
      <c r="AM25" s="62">
        <f t="shared" si="5"/>
        <v>522.76698479859283</v>
      </c>
      <c r="AN25" s="62">
        <f ca="1">AVERAGE(OFFSET($AM$3,0,0,'Données projet'!$E$10+1,1))-AVERAGE(OFFSET($H$3,0,0,'Données projet'!$E$10+1,1))</f>
        <v>623.31285537237943</v>
      </c>
      <c r="AO25" s="62">
        <f t="shared" si="36"/>
        <v>462.33909258902241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12.6</v>
      </c>
      <c r="BD25" s="13">
        <f>IF('Données projet'!$A$88&gt;35,BD24+BC25-BL24,IF(A25&lt;'Données projet'!$A$88,$BA$205^A25,IF(A25='Données projet'!$A$88,'Données projet'!$B$88,BD24+BC25-BL24)))</f>
        <v>77.199999999999989</v>
      </c>
      <c r="BE25" s="14">
        <f>BD25*VLOOKUP('Données projet'!$B$11,Paramètres!$A$1:$I$89,3,0)*VLOOKUP('Données projet'!$B$11,Paramètres!$A$1:$I$89,5,0)</f>
        <v>61.42031999999999</v>
      </c>
      <c r="BF25" s="14">
        <f t="shared" si="37"/>
        <v>17.526880037631354</v>
      </c>
      <c r="BG25" s="22">
        <f t="shared" si="7"/>
        <v>137.4997067322079</v>
      </c>
      <c r="BH25" s="62">
        <f t="shared" si="8"/>
        <v>421.05526228776341</v>
      </c>
      <c r="BI25" s="62">
        <f ca="1">AVERAGE(OFFSET($BH$3,0,0,'Données projet'!$E$11+1,1))-AVERAGE(OFFSET($H$3,0,0,'Données projet'!$E$11+1,1))</f>
        <v>299.10536994156814</v>
      </c>
      <c r="BJ25" s="62">
        <f t="shared" si="38"/>
        <v>292.57799203101769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6.7959999999999994</v>
      </c>
      <c r="BY25" s="13">
        <f>IF('Données projet'!$A$114&gt;35,BY24+BX25-CG24,IF(A25&lt;'Données projet'!$A$114,$BV$205^A25,IF(A25='Données projet'!$A$114,'Données projet'!$B$114,BY24+BX25-CG24)))</f>
        <v>52.052000000000014</v>
      </c>
      <c r="BZ25" s="14">
        <f>BY25*VLOOKUP('Données projet'!$B$12,Paramètres!$A$1:$I$89,3,0)*VLOOKUP('Données projet'!$B$12,Paramètres!$A$1:$I$89,5,0)</f>
        <v>40.600560000000009</v>
      </c>
      <c r="CA25" s="14">
        <f t="shared" si="39"/>
        <v>12.157687079358311</v>
      </c>
      <c r="CB25" s="22">
        <f t="shared" si="10"/>
        <v>91.887280329882401</v>
      </c>
      <c r="CC25" s="62">
        <f t="shared" si="11"/>
        <v>375.44283588543794</v>
      </c>
      <c r="CD25" s="62">
        <f ca="1">AVERAGE(OFFSET($CC$3,0,0,'Données projet'!$E$12+1,1))-AVERAGE(OFFSET($H$3,0,0,'Données projet'!$E$12+1,1))</f>
        <v>197.51529454208725</v>
      </c>
      <c r="CE25" s="62">
        <f t="shared" si="40"/>
        <v>196.65362486387215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16.8</v>
      </c>
      <c r="CT25" s="13">
        <f>IF('Données projet'!$A$140&gt;35,CT24+CS25-DB24,IF(A25&lt;'Données projet'!$A$140,$CQ$205^A25,IF(A25='Données projet'!$A$140,'Données projet'!$B$140,CT24+CS25-DB24)))</f>
        <v>129.60000000000002</v>
      </c>
      <c r="CU25" s="18">
        <f>CT25*VLOOKUP('Données projet'!$B$13,Paramètres!$A$1:$I$89,3,0)*VLOOKUP('Données projet'!$B$13,Paramètres!$A$1:$I$89,5,0)</f>
        <v>70.761600000000016</v>
      </c>
      <c r="CV25" s="14">
        <f t="shared" si="41"/>
        <v>19.862470414169767</v>
      </c>
      <c r="CW25" s="22">
        <f t="shared" si="13"/>
        <v>157.83692263801237</v>
      </c>
      <c r="CX25" s="62">
        <f t="shared" si="14"/>
        <v>441.39247819356791</v>
      </c>
      <c r="CY25" s="62">
        <f ca="1">AVERAGE(OFFSET($CX$3,0,0,'Données projet'!$E$13+1,1))-AVERAGE(OFFSET($H$3,0,0,'Données projet'!$E$13+1,1))</f>
        <v>303.14853302260451</v>
      </c>
      <c r="CZ25" s="62">
        <f t="shared" si="42"/>
        <v>298.74602928001929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3.5087289610930412</v>
      </c>
      <c r="DG25" s="23">
        <f>EXP(-LN(2)/25)*DG24+(1-EXP(-LN(2)/25))/(LN(2)/25)*Calculateur!DB25*Calculateur!DD25*VLOOKUP('Données projet'!$B$13,Paramètres!$A$1:$I$89,3,0)*0.475*44/12</f>
        <v>15.526108971420928</v>
      </c>
      <c r="DH25" s="23">
        <f>EXP(-LN(2)/2)*DH24+(1-EXP(-LN(2)/2))/(LN(2)/2)*DB25*DE25*VLOOKUP('Données projet'!$B$13,Paramètres!$A$1:$I$89,3,0)*0.475*44/12</f>
        <v>5.4814108343794326</v>
      </c>
      <c r="DI25" s="24">
        <f t="shared" si="15"/>
        <v>24.516248766893401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70">
        <f t="shared" si="1"/>
        <v>256.66666666666669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4.3352272727272725</v>
      </c>
      <c r="N26" s="14">
        <f>IF('Données projet'!$A$36&gt;35,N25+M26-V25,IF(A26&lt;'Données projet'!$A$36,$K$205^A26,IF(A26='Données projet'!$A$36,'Données projet'!$B$36,N25+M26-V25)))</f>
        <v>99.710227272727224</v>
      </c>
      <c r="O26" s="14">
        <f>N26*VLOOKUP('Données projet'!$B$9,Paramètres!$A$1:$I$89,3,0)*VLOOKUP('Données projet'!$B$9,Paramètres!$A$1:$I$89,5,0)</f>
        <v>90.217813636363587</v>
      </c>
      <c r="P26" s="14">
        <f t="shared" si="33"/>
        <v>24.61774900551816</v>
      </c>
      <c r="Q26" s="22">
        <f t="shared" si="2"/>
        <v>200.00527160127737</v>
      </c>
      <c r="R26" s="62">
        <f t="shared" si="0"/>
        <v>484.78304937905511</v>
      </c>
      <c r="S26" s="62">
        <f ca="1">AVERAGE(OFFSET($R$3,0,0,'Données projet'!$E$9+1,1))-AVERAGE(OFFSET($H$3,0,0,'Données projet'!$E$9+1,1))</f>
        <v>441.6145113257511</v>
      </c>
      <c r="T26" s="62">
        <f t="shared" si="34"/>
        <v>295.8399381972477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23.333333333333332</v>
      </c>
      <c r="AI26" s="14">
        <f>IF('Données projet'!$A$62&gt;35,AI25+AH26-AQ25,IF(A26&lt;'Données projet'!$A$62,$AF$205^A26,IF(A26='Données projet'!$A$62,'Données projet'!$B$62,AI25+AH26-AQ25)))</f>
        <v>149.66666666666669</v>
      </c>
      <c r="AJ26" s="14">
        <f>AI26*VLOOKUP('Données projet'!$B$10,Paramètres!$A$1:$I$89,3,0)*VLOOKUP('Données projet'!$B$10,Paramètres!$A$1:$I$89,5,0)</f>
        <v>128.41400000000002</v>
      </c>
      <c r="AK26" s="14">
        <f t="shared" si="35"/>
        <v>33.629619895329526</v>
      </c>
      <c r="AL26" s="22">
        <f t="shared" si="4"/>
        <v>282.22597131769891</v>
      </c>
      <c r="AM26" s="62">
        <f t="shared" si="5"/>
        <v>567.00374909547668</v>
      </c>
      <c r="AN26" s="62">
        <f ca="1">AVERAGE(OFFSET($AM$3,0,0,'Données projet'!$E$10+1,1))-AVERAGE(OFFSET($H$3,0,0,'Données projet'!$E$10+1,1))</f>
        <v>623.31285537237943</v>
      </c>
      <c r="AO26" s="62">
        <f t="shared" si="36"/>
        <v>462.33909258902241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12.6</v>
      </c>
      <c r="BD26" s="13">
        <f>IF('Données projet'!$A$88&gt;35,BD25+BC26-BL25,IF(A26&lt;'Données projet'!$A$88,$BA$205^A26,IF(A26='Données projet'!$A$88,'Données projet'!$B$88,BD25+BC26-BL25)))</f>
        <v>89.799999999999983</v>
      </c>
      <c r="BE26" s="14">
        <f>BD26*VLOOKUP('Données projet'!$B$11,Paramètres!$A$1:$I$89,3,0)*VLOOKUP('Données projet'!$B$11,Paramètres!$A$1:$I$89,5,0)</f>
        <v>71.444879999999998</v>
      </c>
      <c r="BF26" s="14">
        <f t="shared" si="37"/>
        <v>20.03184442542841</v>
      </c>
      <c r="BG26" s="22">
        <f t="shared" si="7"/>
        <v>159.32196170762117</v>
      </c>
      <c r="BH26" s="62">
        <f t="shared" si="8"/>
        <v>444.09973948539891</v>
      </c>
      <c r="BI26" s="62">
        <f ca="1">AVERAGE(OFFSET($BH$3,0,0,'Données projet'!$E$11+1,1))-AVERAGE(OFFSET($H$3,0,0,'Données projet'!$E$11+1,1))</f>
        <v>299.10536994156814</v>
      </c>
      <c r="BJ26" s="62">
        <f t="shared" si="38"/>
        <v>292.57799203101769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6.7959999999999994</v>
      </c>
      <c r="BY26" s="13">
        <f>IF('Données projet'!$A$114&gt;35,BY25+BX26-CG25,IF(A26&lt;'Données projet'!$A$114,$BV$205^A26,IF(A26='Données projet'!$A$114,'Données projet'!$B$114,BY25+BX26-CG25)))</f>
        <v>58.848000000000013</v>
      </c>
      <c r="BZ26" s="14">
        <f>BY26*VLOOKUP('Données projet'!$B$12,Paramètres!$A$1:$I$89,3,0)*VLOOKUP('Données projet'!$B$12,Paramètres!$A$1:$I$89,5,0)</f>
        <v>45.901440000000015</v>
      </c>
      <c r="CA26" s="14">
        <f t="shared" si="39"/>
        <v>13.550077919007659</v>
      </c>
      <c r="CB26" s="22">
        <f t="shared" si="10"/>
        <v>103.54472704227169</v>
      </c>
      <c r="CC26" s="62">
        <f t="shared" si="11"/>
        <v>388.32250482004946</v>
      </c>
      <c r="CD26" s="62">
        <f ca="1">AVERAGE(OFFSET($CC$3,0,0,'Données projet'!$E$12+1,1))-AVERAGE(OFFSET($H$3,0,0,'Données projet'!$E$12+1,1))</f>
        <v>197.51529454208725</v>
      </c>
      <c r="CE26" s="62">
        <f t="shared" si="40"/>
        <v>196.65362486387215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16.8</v>
      </c>
      <c r="CT26" s="13">
        <f>IF('Données projet'!$A$140&gt;35,CT25+CS26-DB25,IF(A26&lt;'Données projet'!$A$140,$CQ$205^A26,IF(A26='Données projet'!$A$140,'Données projet'!$B$140,CT25+CS26-DB25)))</f>
        <v>146.40000000000003</v>
      </c>
      <c r="CU26" s="18">
        <f>CT26*VLOOKUP('Données projet'!$B$13,Paramètres!$A$1:$I$89,3,0)*VLOOKUP('Données projet'!$B$13,Paramètres!$A$1:$I$89,5,0)</f>
        <v>79.934400000000025</v>
      </c>
      <c r="CV26" s="14">
        <f t="shared" si="41"/>
        <v>22.121143821921812</v>
      </c>
      <c r="CW26" s="22">
        <f t="shared" si="13"/>
        <v>177.74673882318052</v>
      </c>
      <c r="CX26" s="62">
        <f t="shared" si="14"/>
        <v>462.52451660095829</v>
      </c>
      <c r="CY26" s="62">
        <f ca="1">AVERAGE(OFFSET($CX$3,0,0,'Données projet'!$E$13+1,1))-AVERAGE(OFFSET($H$3,0,0,'Données projet'!$E$13+1,1))</f>
        <v>303.14853302260451</v>
      </c>
      <c r="CZ26" s="62">
        <f t="shared" si="42"/>
        <v>298.74602928001929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3.4399249262793541</v>
      </c>
      <c r="DG26" s="23">
        <f>EXP(-LN(2)/25)*DG25+(1-EXP(-LN(2)/25))/(LN(2)/25)*Calculateur!DB26*Calculateur!DD26*VLOOKUP('Données projet'!$B$13,Paramètres!$A$1:$I$89,3,0)*0.475*44/12</f>
        <v>15.101546705114838</v>
      </c>
      <c r="DH26" s="23">
        <f>EXP(-LN(2)/2)*DH25+(1-EXP(-LN(2)/2))/(LN(2)/2)*DB26*DE26*VLOOKUP('Données projet'!$B$13,Paramètres!$A$1:$I$89,3,0)*0.475*44/12</f>
        <v>3.8759427714591084</v>
      </c>
      <c r="DI26" s="24">
        <f t="shared" si="15"/>
        <v>22.4174144028533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70">
        <f t="shared" si="1"/>
        <v>256.66666666666669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4.3352272727272725</v>
      </c>
      <c r="N27" s="14">
        <f>IF('Données projet'!$A$36&gt;35,N26+M27-V26,IF(A27&lt;'Données projet'!$A$36,$K$205^A27,IF(A27='Données projet'!$A$36,'Données projet'!$B$36,N26+M27-V26)))</f>
        <v>104.04545454545449</v>
      </c>
      <c r="O27" s="14">
        <f>N27*VLOOKUP('Données projet'!$B$9,Paramètres!$A$1:$I$89,3,0)*VLOOKUP('Données projet'!$B$9,Paramètres!$A$1:$I$89,5,0)</f>
        <v>94.14032727272722</v>
      </c>
      <c r="P27" s="14">
        <f t="shared" si="33"/>
        <v>25.561143397467401</v>
      </c>
      <c r="Q27" s="22">
        <f t="shared" si="2"/>
        <v>208.48006141725565</v>
      </c>
      <c r="R27" s="62">
        <f t="shared" si="0"/>
        <v>494.48006141725568</v>
      </c>
      <c r="S27" s="62">
        <f ca="1">AVERAGE(OFFSET($R$3,0,0,'Données projet'!$E$9+1,1))-AVERAGE(OFFSET($H$3,0,0,'Données projet'!$E$9+1,1))</f>
        <v>441.6145113257511</v>
      </c>
      <c r="T27" s="62">
        <f t="shared" si="34"/>
        <v>295.8399381972477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>
        <f>VLOOKUP(A27,'Données projet'!$A$61:$I$81,2,0)</f>
        <v>173</v>
      </c>
      <c r="AG27" s="13">
        <f>VLOOKUP(A27,'Données projet'!$A$61:$I$81,9,0)</f>
        <v>23.333333333333332</v>
      </c>
      <c r="AH27" s="13">
        <f t="array" ref="AH27">INDEX(AG:AG,MIN(IF(ISNUMBER(AG27:AG223),ROW(AG27:AG223),"")))</f>
        <v>23.333333333333332</v>
      </c>
      <c r="AI27" s="14">
        <f>IF('Données projet'!$A$62&gt;35,AI26+AH27-AQ26,IF(A27&lt;'Données projet'!$A$62,$AF$205^A27,IF(A27='Données projet'!$A$62,'Données projet'!$B$62,AI26+AH27-AQ26)))</f>
        <v>173.00000000000003</v>
      </c>
      <c r="AJ27" s="14">
        <f>AI27*VLOOKUP('Données projet'!$B$10,Paramètres!$A$1:$I$89,3,0)*VLOOKUP('Données projet'!$B$10,Paramètres!$A$1:$I$89,5,0)</f>
        <v>148.43400000000003</v>
      </c>
      <c r="AK27" s="14">
        <f t="shared" si="35"/>
        <v>38.222489421716382</v>
      </c>
      <c r="AL27" s="22">
        <f t="shared" si="4"/>
        <v>325.0933857428227</v>
      </c>
      <c r="AM27" s="62">
        <f t="shared" si="5"/>
        <v>611.09338574282265</v>
      </c>
      <c r="AN27" s="62">
        <f ca="1">AVERAGE(OFFSET($AM$3,0,0,'Données projet'!$E$10+1,1))-AVERAGE(OFFSET($H$3,0,0,'Données projet'!$E$10+1,1))</f>
        <v>623.31285537237943</v>
      </c>
      <c r="AO27" s="62">
        <f t="shared" si="36"/>
        <v>462.33909258902241</v>
      </c>
      <c r="AP27" s="16">
        <f>IF(ISNA(VLOOKUP(A27,'Données projet'!$A$61:$I$81,3,0)),0,VLOOKUP(A27,'Données projet'!$A$61:$I$81,3,0))</f>
        <v>3</v>
      </c>
      <c r="AQ27" s="16">
        <f>IF(ISNA(VLOOKUP(A27,'Données projet'!$A$61:$I$81,4,0)),0,VLOOKUP(A27,'Données projet'!$A$61:$I$81,4,0))</f>
        <v>47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12.6</v>
      </c>
      <c r="BD27" s="13">
        <f>IF('Données projet'!$A$88&gt;35,BD26+BC27-BL26,IF(A27&lt;'Données projet'!$A$88,$BA$205^A27,IF(A27='Données projet'!$A$88,'Données projet'!$B$88,BD26+BC27-BL26)))</f>
        <v>102.39999999999998</v>
      </c>
      <c r="BE27" s="14">
        <f>BD27*VLOOKUP('Données projet'!$B$11,Paramètres!$A$1:$I$89,3,0)*VLOOKUP('Données projet'!$B$11,Paramètres!$A$1:$I$89,5,0)</f>
        <v>81.469439999999992</v>
      </c>
      <c r="BF27" s="14">
        <f t="shared" si="37"/>
        <v>22.496088365195678</v>
      </c>
      <c r="BG27" s="22">
        <f t="shared" si="7"/>
        <v>181.07329523604912</v>
      </c>
      <c r="BH27" s="62">
        <f t="shared" si="8"/>
        <v>467.07329523604915</v>
      </c>
      <c r="BI27" s="62">
        <f ca="1">AVERAGE(OFFSET($BH$3,0,0,'Données projet'!$E$11+1,1))-AVERAGE(OFFSET($H$3,0,0,'Données projet'!$E$11+1,1))</f>
        <v>299.10536994156814</v>
      </c>
      <c r="BJ27" s="62">
        <f t="shared" si="38"/>
        <v>292.57799203101769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6.7959999999999994</v>
      </c>
      <c r="BY27" s="13">
        <f>IF('Données projet'!$A$114&gt;35,BY26+BX27-CG26,IF(A27&lt;'Données projet'!$A$114,$BV$205^A27,IF(A27='Données projet'!$A$114,'Données projet'!$B$114,BY26+BX27-CG26)))</f>
        <v>65.644000000000005</v>
      </c>
      <c r="BZ27" s="14">
        <f>BY27*VLOOKUP('Données projet'!$B$12,Paramètres!$A$1:$I$89,3,0)*VLOOKUP('Données projet'!$B$12,Paramètres!$A$1:$I$89,5,0)</f>
        <v>51.202320000000007</v>
      </c>
      <c r="CA27" s="14">
        <f t="shared" si="39"/>
        <v>14.92383333528576</v>
      </c>
      <c r="CB27" s="22">
        <f t="shared" si="10"/>
        <v>115.16971705895604</v>
      </c>
      <c r="CC27" s="62">
        <f t="shared" si="11"/>
        <v>401.16971705895605</v>
      </c>
      <c r="CD27" s="62">
        <f ca="1">AVERAGE(OFFSET($CC$3,0,0,'Données projet'!$E$12+1,1))-AVERAGE(OFFSET($H$3,0,0,'Données projet'!$E$12+1,1))</f>
        <v>197.51529454208725</v>
      </c>
      <c r="CE27" s="62">
        <f t="shared" si="40"/>
        <v>196.65362486387215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16.8</v>
      </c>
      <c r="CT27" s="13">
        <f>IF('Données projet'!$A$140&gt;35,CT26+CS27-DB26,IF(A27&lt;'Données projet'!$A$140,$CQ$205^A27,IF(A27='Données projet'!$A$140,'Données projet'!$B$140,CT26+CS27-DB26)))</f>
        <v>163.20000000000005</v>
      </c>
      <c r="CU27" s="18">
        <f>CT27*VLOOKUP('Données projet'!$B$13,Paramètres!$A$1:$I$89,3,0)*VLOOKUP('Données projet'!$B$13,Paramètres!$A$1:$I$89,5,0)</f>
        <v>89.10720000000002</v>
      </c>
      <c r="CV27" s="14">
        <f t="shared" si="41"/>
        <v>24.349778356363352</v>
      </c>
      <c r="CW27" s="22">
        <f t="shared" si="13"/>
        <v>197.60423730399955</v>
      </c>
      <c r="CX27" s="62">
        <f t="shared" si="14"/>
        <v>483.60423730399953</v>
      </c>
      <c r="CY27" s="62">
        <f ca="1">AVERAGE(OFFSET($CX$3,0,0,'Données projet'!$E$13+1,1))-AVERAGE(OFFSET($H$3,0,0,'Données projet'!$E$13+1,1))</f>
        <v>303.14853302260451</v>
      </c>
      <c r="CZ27" s="62">
        <f t="shared" si="42"/>
        <v>298.74602928001929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3.3724700966220462</v>
      </c>
      <c r="DG27" s="23">
        <f>EXP(-LN(2)/25)*DG26+(1-EXP(-LN(2)/25))/(LN(2)/25)*Calculateur!DB27*Calculateur!DD27*VLOOKUP('Données projet'!$B$13,Paramètres!$A$1:$I$89,3,0)*0.475*44/12</f>
        <v>14.688594116307646</v>
      </c>
      <c r="DH27" s="23">
        <f>EXP(-LN(2)/2)*DH26+(1-EXP(-LN(2)/2))/(LN(2)/2)*DB27*DE27*VLOOKUP('Données projet'!$B$13,Paramètres!$A$1:$I$89,3,0)*0.475*44/12</f>
        <v>2.7407054171897167</v>
      </c>
      <c r="DI27" s="24">
        <f t="shared" si="15"/>
        <v>20.801769630119409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70">
        <f t="shared" si="1"/>
        <v>256.66666666666669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4.3352272727272725</v>
      </c>
      <c r="N28" s="14">
        <f>IF('Données projet'!$A$36&gt;35,N27+M28-V27,IF(A28&lt;'Données projet'!$A$36,$K$205^A28,IF(A28='Données projet'!$A$36,'Données projet'!$B$36,N27+M28-V27)))</f>
        <v>108.38068181818176</v>
      </c>
      <c r="O28" s="14">
        <f>N28*VLOOKUP('Données projet'!$B$9,Paramètres!$A$1:$I$89,3,0)*VLOOKUP('Données projet'!$B$9,Paramètres!$A$1:$I$89,5,0)</f>
        <v>98.062840909090852</v>
      </c>
      <c r="P28" s="14">
        <f t="shared" si="33"/>
        <v>26.499972008991026</v>
      </c>
      <c r="Q28" s="22">
        <f t="shared" si="2"/>
        <v>216.94689916565926</v>
      </c>
      <c r="R28" s="62">
        <f t="shared" si="0"/>
        <v>504.16912138788149</v>
      </c>
      <c r="S28" s="62">
        <f ca="1">AVERAGE(OFFSET($R$3,0,0,'Données projet'!$E$9+1,1))-AVERAGE(OFFSET($H$3,0,0,'Données projet'!$E$9+1,1))</f>
        <v>441.6145113257511</v>
      </c>
      <c r="T28" s="62">
        <f t="shared" si="34"/>
        <v>295.8399381972477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24</v>
      </c>
      <c r="AI28" s="14">
        <f>IF('Données projet'!$A$62&gt;35,AI27+AH28-AQ27,IF(A28&lt;'Données projet'!$A$62,$AF$205^A28,IF(A28='Données projet'!$A$62,'Données projet'!$B$62,AI27+AH28-AQ27)))</f>
        <v>150.00000000000003</v>
      </c>
      <c r="AJ28" s="14">
        <f>AI28*VLOOKUP('Données projet'!$B$10,Paramètres!$A$1:$I$89,3,0)*VLOOKUP('Données projet'!$B$10,Paramètres!$A$1:$I$89,5,0)</f>
        <v>128.70000000000005</v>
      </c>
      <c r="AK28" s="14">
        <f t="shared" si="35"/>
        <v>33.695792019186115</v>
      </c>
      <c r="AL28" s="22">
        <f t="shared" si="4"/>
        <v>282.83933776674922</v>
      </c>
      <c r="AM28" s="62">
        <f t="shared" si="5"/>
        <v>570.06155998897145</v>
      </c>
      <c r="AN28" s="62">
        <f ca="1">AVERAGE(OFFSET($AM$3,0,0,'Données projet'!$E$10+1,1))-AVERAGE(OFFSET($H$3,0,0,'Données projet'!$E$10+1,1))</f>
        <v>623.31285537237943</v>
      </c>
      <c r="AO28" s="62">
        <f t="shared" si="36"/>
        <v>462.33909258902241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115</v>
      </c>
      <c r="BB28" s="13">
        <f>VLOOKUP(A28,'Données projet'!$A$87:$I$107,9,0)</f>
        <v>12.6</v>
      </c>
      <c r="BC28" s="13">
        <f t="array" ref="BC28">INDEX(BB:BB,MIN(IF(ISNUMBER(BB28:BB224),ROW(BB28:BB224),"")))</f>
        <v>12.6</v>
      </c>
      <c r="BD28" s="13">
        <f>IF('Données projet'!$A$88&gt;35,BD27+BC28-BL27,IF(A28&lt;'Données projet'!$A$88,$BA$205^A28,IF(A28='Données projet'!$A$88,'Données projet'!$B$88,BD27+BC28-BL27)))</f>
        <v>114.99999999999997</v>
      </c>
      <c r="BE28" s="14">
        <f>BD28*VLOOKUP('Données projet'!$B$11,Paramètres!$A$1:$I$89,3,0)*VLOOKUP('Données projet'!$B$11,Paramètres!$A$1:$I$89,5,0)</f>
        <v>91.493999999999986</v>
      </c>
      <c r="BF28" s="14">
        <f t="shared" si="37"/>
        <v>24.925195840896517</v>
      </c>
      <c r="BG28" s="22">
        <f t="shared" si="7"/>
        <v>202.76343275622807</v>
      </c>
      <c r="BH28" s="62">
        <f t="shared" si="8"/>
        <v>489.98565497845027</v>
      </c>
      <c r="BI28" s="62">
        <f ca="1">AVERAGE(OFFSET($BH$3,0,0,'Données projet'!$E$11+1,1))-AVERAGE(OFFSET($H$3,0,0,'Données projet'!$E$11+1,1))</f>
        <v>299.10536994156814</v>
      </c>
      <c r="BJ28" s="62">
        <f t="shared" si="38"/>
        <v>292.57799203101769</v>
      </c>
      <c r="BK28" s="16">
        <f>IF(ISNA(VLOOKUP(A28,'Données projet'!$A$87:$I$107,3,0)),0,VLOOKUP(A28,'Données projet'!$A$87:$I$107,3,0))</f>
        <v>3</v>
      </c>
      <c r="BL28" s="16">
        <f>IF(ISNA(VLOOKUP(A28,'Données projet'!$A$87:$I$107,4,0)),0,VLOOKUP(A28,'Données projet'!$A$87:$I$107,4,0))</f>
        <v>28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0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0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72.44</v>
      </c>
      <c r="BW28" s="13">
        <f>VLOOKUP(A28,'Données projet'!$A$113:$I$133,9,0)</f>
        <v>6.7959999999999994</v>
      </c>
      <c r="BX28" s="13">
        <f t="array" ref="BX28">INDEX(BW:BW,MIN(IF(ISNUMBER(BW28:BW224),ROW(BW28:BW224),"")))</f>
        <v>6.7959999999999994</v>
      </c>
      <c r="BY28" s="13">
        <f>IF('Données projet'!$A$114&gt;35,BY27+BX28-CG27,IF(A28&lt;'Données projet'!$A$114,$BV$205^A28,IF(A28='Données projet'!$A$114,'Données projet'!$B$114,BY27+BX28-CG27)))</f>
        <v>72.44</v>
      </c>
      <c r="BZ28" s="14">
        <f>BY28*VLOOKUP('Données projet'!$B$12,Paramètres!$A$1:$I$89,3,0)*VLOOKUP('Données projet'!$B$12,Paramètres!$A$1:$I$89,5,0)</f>
        <v>56.5032</v>
      </c>
      <c r="CA28" s="14">
        <f t="shared" si="39"/>
        <v>16.281102363962344</v>
      </c>
      <c r="CB28" s="22">
        <f t="shared" si="10"/>
        <v>126.76599328390107</v>
      </c>
      <c r="CC28" s="62">
        <f t="shared" si="11"/>
        <v>413.98821550612331</v>
      </c>
      <c r="CD28" s="62">
        <f ca="1">AVERAGE(OFFSET($CC$3,0,0,'Données projet'!$E$12+1,1))-AVERAGE(OFFSET($H$3,0,0,'Données projet'!$E$12+1,1))</f>
        <v>197.51529454208725</v>
      </c>
      <c r="CE28" s="62">
        <f t="shared" si="40"/>
        <v>196.65362486387215</v>
      </c>
      <c r="CF28" s="16">
        <f>IF(ISNA(VLOOKUP(A28,'Données projet'!$A$113:$I$133,3,0)),0,VLOOKUP(A28,'Données projet'!$A$113:$I$133,3,0))</f>
        <v>3</v>
      </c>
      <c r="CG28" s="16">
        <f>IF(ISNA(VLOOKUP(A28,'Données projet'!$A$113:$I$133,4,0)),0,VLOOKUP(A28,'Données projet'!$A$113:$I$133,4,0))</f>
        <v>17.309999999999999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0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0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180</v>
      </c>
      <c r="CR28" s="13">
        <f>VLOOKUP(A28,'Données projet'!$A$139:$I$159,9,0)</f>
        <v>16.8</v>
      </c>
      <c r="CS28" s="13">
        <f t="array" ref="CS28">INDEX(CR:CR,MIN(IF(ISNUMBER(CR28:CR224),ROW(CR28:CR224),"")))</f>
        <v>16.8</v>
      </c>
      <c r="CT28" s="13">
        <f>IF('Données projet'!$A$140&gt;35,CT27+CS28-DB27,IF(A28&lt;'Données projet'!$A$140,$CQ$205^A28,IF(A28='Données projet'!$A$140,'Données projet'!$B$140,CT27+CS28-DB27)))</f>
        <v>180.00000000000006</v>
      </c>
      <c r="CU28" s="18">
        <f>CT28*VLOOKUP('Données projet'!$B$13,Paramètres!$A$1:$I$89,3,0)*VLOOKUP('Données projet'!$B$13,Paramètres!$A$1:$I$89,5,0)</f>
        <v>98.28000000000003</v>
      </c>
      <c r="CV28" s="14">
        <f t="shared" si="41"/>
        <v>26.551818424463473</v>
      </c>
      <c r="CW28" s="22">
        <f t="shared" si="13"/>
        <v>217.41541708927392</v>
      </c>
      <c r="CX28" s="62">
        <f t="shared" si="14"/>
        <v>504.63763931149617</v>
      </c>
      <c r="CY28" s="62">
        <f ca="1">AVERAGE(OFFSET($CX$3,0,0,'Données projet'!$E$13+1,1))-AVERAGE(OFFSET($H$3,0,0,'Données projet'!$E$13+1,1))</f>
        <v>303.14853302260451</v>
      </c>
      <c r="CZ28" s="62">
        <f t="shared" si="42"/>
        <v>298.74602928001929</v>
      </c>
      <c r="DA28" s="16">
        <f>IF(ISNA(VLOOKUP(A28,'Données projet'!$A$139:$I$159,3,0)),0,VLOOKUP(A28,'Données projet'!$A$139:$I$159,3,0))</f>
        <v>4</v>
      </c>
      <c r="DB28" s="16">
        <f>IF(ISNA(VLOOKUP(A28,'Données projet'!$A$139:$I$159,4,0)),0,VLOOKUP(A28,'Données projet'!$A$139:$I$159,4,0))</f>
        <v>42</v>
      </c>
      <c r="DC28" s="17">
        <f>IF(ISNA(VLOOKUP(A28,'Données projet'!$A$139:$I$159,5,0)),0%,VLOOKUP(A28,'Données projet'!$A$139:$I$159,5,0)*VLOOKUP('Données projet'!$B$13,Paramètres!$A$1:$I$89,7,0))</f>
        <v>0.12</v>
      </c>
      <c r="DD28" s="17">
        <f>IF(ISNA(VLOOKUP(A28,'Données projet'!$A$139:$I$159,6,0)),0%,VLOOKUP(A28,'Données projet'!$A$139:$I$159,6,0)*VLOOKUP('Données projet'!$B$13,Paramètres!$A$1:$I$89,7,0))</f>
        <v>0.27</v>
      </c>
      <c r="DE28" s="17">
        <f>IF(ISNA(VLOOKUP(A28,'Données projet'!$A$139:$I$159,7,0)),0%,VLOOKUP(A28,'Données projet'!$A$139:$I$159,7,0))</f>
        <v>0.35</v>
      </c>
      <c r="DF28" s="23">
        <f>EXP(-LN(2)/35)*DF27+(1-EXP(-LN(2)/35))/(LN(2)/35)*DB28*DC28*VLOOKUP('Données projet'!$B$13,Paramètres!$A$1:$I$89,3,0)*0.475*44/12</f>
        <v>6.9568311460876782</v>
      </c>
      <c r="DG28" s="23">
        <f>EXP(-LN(2)/25)*DG27+(1-EXP(-LN(2)/25))/(LN(2)/25)*Calculateur!DB28*Calculateur!DD28*VLOOKUP('Données projet'!$B$13,Paramètres!$A$1:$I$89,3,0)*0.475*44/12</f>
        <v>22.468203172226513</v>
      </c>
      <c r="DH28" s="23">
        <f>EXP(-LN(2)/2)*DH27+(1-EXP(-LN(2)/2))/(LN(2)/2)*DB28*DE28*VLOOKUP('Données projet'!$B$13,Paramètres!$A$1:$I$89,3,0)*0.475*44/12</f>
        <v>11.025494252136474</v>
      </c>
      <c r="DI28" s="24">
        <f t="shared" si="15"/>
        <v>40.450528570450665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70">
        <f t="shared" si="1"/>
        <v>256.66666666666669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4.3352272727272725</v>
      </c>
      <c r="N29" s="14">
        <f>IF('Données projet'!$A$36&gt;35,N28+M29-V28,IF(A29&lt;'Données projet'!$A$36,$K$205^A29,IF(A29='Données projet'!$A$36,'Données projet'!$B$36,N28+M29-V28)))</f>
        <v>112.71590909090902</v>
      </c>
      <c r="O29" s="14">
        <f>N29*VLOOKUP('Données projet'!$B$9,Paramètres!$A$1:$I$89,3,0)*VLOOKUP('Données projet'!$B$9,Paramètres!$A$1:$I$89,5,0)</f>
        <v>101.98535454545448</v>
      </c>
      <c r="P29" s="14">
        <f t="shared" si="33"/>
        <v>27.43443836626232</v>
      </c>
      <c r="Q29" s="22">
        <f t="shared" si="2"/>
        <v>225.40613932124006</v>
      </c>
      <c r="R29" s="62">
        <f t="shared" si="0"/>
        <v>513.85058376568452</v>
      </c>
      <c r="S29" s="62">
        <f ca="1">AVERAGE(OFFSET($R$3,0,0,'Données projet'!$E$9+1,1))-AVERAGE(OFFSET($H$3,0,0,'Données projet'!$E$9+1,1))</f>
        <v>441.6145113257511</v>
      </c>
      <c r="T29" s="62">
        <f t="shared" si="34"/>
        <v>295.8399381972477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24</v>
      </c>
      <c r="AI29" s="14">
        <f>IF('Données projet'!$A$62&gt;35,AI28+AH29-AQ28,IF(A29&lt;'Données projet'!$A$62,$AF$205^A29,IF(A29='Données projet'!$A$62,'Données projet'!$B$62,AI28+AH29-AQ28)))</f>
        <v>174.00000000000003</v>
      </c>
      <c r="AJ29" s="14">
        <f>AI29*VLOOKUP('Données projet'!$B$10,Paramètres!$A$1:$I$89,3,0)*VLOOKUP('Données projet'!$B$10,Paramètres!$A$1:$I$89,5,0)</f>
        <v>149.29200000000003</v>
      </c>
      <c r="AK29" s="14">
        <f t="shared" si="35"/>
        <v>38.417645803815446</v>
      </c>
      <c r="AL29" s="22">
        <f t="shared" si="4"/>
        <v>326.92763310831191</v>
      </c>
      <c r="AM29" s="62">
        <f t="shared" si="5"/>
        <v>615.37207755275631</v>
      </c>
      <c r="AN29" s="62">
        <f ca="1">AVERAGE(OFFSET($AM$3,0,0,'Données projet'!$E$10+1,1))-AVERAGE(OFFSET($H$3,0,0,'Données projet'!$E$10+1,1))</f>
        <v>623.31285537237943</v>
      </c>
      <c r="AO29" s="62">
        <f t="shared" si="36"/>
        <v>462.33909258902241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11.8</v>
      </c>
      <c r="BD29" s="13">
        <f>IF('Données projet'!$A$88&gt;35,BD28+BC29-BL28,IF(A29&lt;'Données projet'!$A$88,$BA$205^A29,IF(A29='Données projet'!$A$88,'Données projet'!$B$88,BD28+BC29-BL28)))</f>
        <v>98.799999999999969</v>
      </c>
      <c r="BE29" s="14">
        <f>BD29*VLOOKUP('Données projet'!$B$11,Paramètres!$A$1:$I$89,3,0)*VLOOKUP('Données projet'!$B$11,Paramètres!$A$1:$I$89,5,0)</f>
        <v>78.605279999999979</v>
      </c>
      <c r="BF29" s="14">
        <f t="shared" si="37"/>
        <v>21.795819556945734</v>
      </c>
      <c r="BG29" s="22">
        <f t="shared" si="7"/>
        <v>174.86524839501377</v>
      </c>
      <c r="BH29" s="62">
        <f t="shared" si="8"/>
        <v>463.30969283945819</v>
      </c>
      <c r="BI29" s="62">
        <f ca="1">AVERAGE(OFFSET($BH$3,0,0,'Données projet'!$E$11+1,1))-AVERAGE(OFFSET($H$3,0,0,'Données projet'!$E$11+1,1))</f>
        <v>299.10536994156814</v>
      </c>
      <c r="BJ29" s="62">
        <f t="shared" si="38"/>
        <v>292.57799203101769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0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0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7.371666666666667</v>
      </c>
      <c r="BY29" s="13">
        <f>IF('Données projet'!$A$114&gt;35,BY28+BX29-CG28,IF(A29&lt;'Données projet'!$A$114,$BV$205^A29,IF(A29='Données projet'!$A$114,'Données projet'!$B$114,BY28+BX29-CG28)))</f>
        <v>62.501666666666665</v>
      </c>
      <c r="BZ29" s="14">
        <f>BY29*VLOOKUP('Données projet'!$B$12,Paramètres!$A$1:$I$89,3,0)*VLOOKUP('Données projet'!$B$12,Paramètres!$A$1:$I$89,5,0)</f>
        <v>48.751300000000001</v>
      </c>
      <c r="CA29" s="14">
        <f t="shared" si="39"/>
        <v>14.290804304876655</v>
      </c>
      <c r="CB29" s="22">
        <f t="shared" si="10"/>
        <v>109.79833166432684</v>
      </c>
      <c r="CC29" s="62">
        <f t="shared" si="11"/>
        <v>398.2427761087713</v>
      </c>
      <c r="CD29" s="62">
        <f ca="1">AVERAGE(OFFSET($CC$3,0,0,'Données projet'!$E$12+1,1))-AVERAGE(OFFSET($H$3,0,0,'Données projet'!$E$12+1,1))</f>
        <v>197.51529454208725</v>
      </c>
      <c r="CE29" s="62">
        <f t="shared" si="40"/>
        <v>196.65362486387215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0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0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16</v>
      </c>
      <c r="CT29" s="13">
        <f>IF('Données projet'!$A$140&gt;35,CT28+CS29-DB28,IF(A29&lt;'Données projet'!$A$140,$CQ$205^A29,IF(A29='Données projet'!$A$140,'Données projet'!$B$140,CT28+CS29-DB28)))</f>
        <v>154.00000000000006</v>
      </c>
      <c r="CU29" s="18">
        <f>CT29*VLOOKUP('Données projet'!$B$13,Paramètres!$A$1:$I$89,3,0)*VLOOKUP('Données projet'!$B$13,Paramètres!$A$1:$I$89,5,0)</f>
        <v>84.084000000000032</v>
      </c>
      <c r="CV29" s="14">
        <f t="shared" si="41"/>
        <v>23.132831417334547</v>
      </c>
      <c r="CW29" s="22">
        <f t="shared" si="13"/>
        <v>186.73598138519102</v>
      </c>
      <c r="CX29" s="62">
        <f t="shared" si="14"/>
        <v>475.18042582963551</v>
      </c>
      <c r="CY29" s="62">
        <f ca="1">AVERAGE(OFFSET($CX$3,0,0,'Données projet'!$E$13+1,1))-AVERAGE(OFFSET($H$3,0,0,'Données projet'!$E$13+1,1))</f>
        <v>303.14853302260451</v>
      </c>
      <c r="CZ29" s="62">
        <f t="shared" si="42"/>
        <v>298.74602928001929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6.8204119305609119</v>
      </c>
      <c r="DG29" s="23">
        <f>EXP(-LN(2)/25)*DG28+(1-EXP(-LN(2)/25))/(LN(2)/25)*Calculateur!DB29*Calculateur!DD29*VLOOKUP('Données projet'!$B$13,Paramètres!$A$1:$I$89,3,0)*0.475*44/12</f>
        <v>21.853808974930526</v>
      </c>
      <c r="DH29" s="23">
        <f>EXP(-LN(2)/2)*DH28+(1-EXP(-LN(2)/2))/(LN(2)/2)*DB29*DE29*VLOOKUP('Données projet'!$B$13,Paramètres!$A$1:$I$89,3,0)*0.475*44/12</f>
        <v>7.7962017516190034</v>
      </c>
      <c r="DI29" s="24">
        <f t="shared" si="15"/>
        <v>36.47042265711044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70">
        <f t="shared" si="1"/>
        <v>256.66666666666669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4.3352272727272725</v>
      </c>
      <c r="N30" s="14">
        <f>IF('Données projet'!$A$36&gt;35,N29+M30-V29,IF(A30&lt;'Données projet'!$A$36,$K$205^A30,IF(A30='Données projet'!$A$36,'Données projet'!$B$36,N29+M30-V29)))</f>
        <v>117.05113636363629</v>
      </c>
      <c r="O30" s="14">
        <f>N30*VLOOKUP('Données projet'!$B$9,Paramètres!$A$1:$I$89,3,0)*VLOOKUP('Données projet'!$B$9,Paramètres!$A$1:$I$89,5,0)</f>
        <v>105.90786818181812</v>
      </c>
      <c r="P30" s="14">
        <f t="shared" si="33"/>
        <v>28.364729452983948</v>
      </c>
      <c r="Q30" s="22">
        <f t="shared" si="2"/>
        <v>233.85810754728024</v>
      </c>
      <c r="R30" s="62">
        <f t="shared" si="0"/>
        <v>523.5247742139469</v>
      </c>
      <c r="S30" s="62">
        <f ca="1">AVERAGE(OFFSET($R$3,0,0,'Données projet'!$E$9+1,1))-AVERAGE(OFFSET($H$3,0,0,'Données projet'!$E$9+1,1))</f>
        <v>441.6145113257511</v>
      </c>
      <c r="T30" s="62">
        <f t="shared" si="34"/>
        <v>295.8399381972477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>
        <f>VLOOKUP(A30,'Données projet'!$A$61:$I$81,2,0)</f>
        <v>198</v>
      </c>
      <c r="AG30" s="13">
        <f>VLOOKUP(A30,'Données projet'!$A$61:$I$81,9,0)</f>
        <v>24</v>
      </c>
      <c r="AH30" s="13">
        <f t="array" ref="AH30">INDEX(AG:AG,MIN(IF(ISNUMBER(AG30:AG226),ROW(AG30:AG226),"")))</f>
        <v>24</v>
      </c>
      <c r="AI30" s="14">
        <f>IF('Données projet'!$A$62&gt;35,AI29+AH30-AQ29,IF(A30&lt;'Données projet'!$A$62,$AF$205^A30,IF(A30='Données projet'!$A$62,'Données projet'!$B$62,AI29+AH30-AQ29)))</f>
        <v>198.00000000000003</v>
      </c>
      <c r="AJ30" s="14">
        <f>AI30*VLOOKUP('Données projet'!$B$10,Paramètres!$A$1:$I$89,3,0)*VLOOKUP('Données projet'!$B$10,Paramètres!$A$1:$I$89,5,0)</f>
        <v>169.88400000000004</v>
      </c>
      <c r="AK30" s="14">
        <f t="shared" si="35"/>
        <v>43.064042412117296</v>
      </c>
      <c r="AL30" s="22">
        <f t="shared" si="4"/>
        <v>370.88450720110433</v>
      </c>
      <c r="AM30" s="62">
        <f t="shared" si="5"/>
        <v>660.55117386777101</v>
      </c>
      <c r="AN30" s="62">
        <f ca="1">AVERAGE(OFFSET($AM$3,0,0,'Données projet'!$E$10+1,1))-AVERAGE(OFFSET($H$3,0,0,'Données projet'!$E$10+1,1))</f>
        <v>623.31285537237943</v>
      </c>
      <c r="AO30" s="62">
        <f t="shared" si="36"/>
        <v>462.33909258902241</v>
      </c>
      <c r="AP30" s="16">
        <f>IF(ISNA(VLOOKUP(A30,'Données projet'!$A$61:$I$81,3,0)),0,VLOOKUP(A30,'Données projet'!$A$61:$I$81,3,0))</f>
        <v>4</v>
      </c>
      <c r="AQ30" s="16">
        <f>IF(ISNA(VLOOKUP(A30,'Données projet'!$A$61:$I$81,4,0)),0,VLOOKUP(A30,'Données projet'!$A$61:$I$81,4,0))</f>
        <v>43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11.8</v>
      </c>
      <c r="BD30" s="13">
        <f>IF('Données projet'!$A$88&gt;35,BD29+BC30-BL29,IF(A30&lt;'Données projet'!$A$88,$BA$205^A30,IF(A30='Données projet'!$A$88,'Données projet'!$B$88,BD29+BC30-BL29)))</f>
        <v>110.59999999999997</v>
      </c>
      <c r="BE30" s="14">
        <f>BD30*VLOOKUP('Données projet'!$B$11,Paramètres!$A$1:$I$89,3,0)*VLOOKUP('Données projet'!$B$11,Paramètres!$A$1:$I$89,5,0)</f>
        <v>87.993359999999981</v>
      </c>
      <c r="BF30" s="14">
        <f t="shared" si="37"/>
        <v>24.080638481970816</v>
      </c>
      <c r="BG30" s="22">
        <f t="shared" si="7"/>
        <v>195.19554735609913</v>
      </c>
      <c r="BH30" s="62">
        <f t="shared" si="8"/>
        <v>484.86221402276578</v>
      </c>
      <c r="BI30" s="62">
        <f ca="1">AVERAGE(OFFSET($BH$3,0,0,'Données projet'!$E$11+1,1))-AVERAGE(OFFSET($H$3,0,0,'Données projet'!$E$11+1,1))</f>
        <v>299.10536994156814</v>
      </c>
      <c r="BJ30" s="62">
        <f t="shared" si="38"/>
        <v>292.57799203101769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0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0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7.371666666666667</v>
      </c>
      <c r="BY30" s="13">
        <f>IF('Données projet'!$A$114&gt;35,BY29+BX30-CG29,IF(A30&lt;'Données projet'!$A$114,$BV$205^A30,IF(A30='Données projet'!$A$114,'Données projet'!$B$114,BY29+BX30-CG29)))</f>
        <v>69.873333333333335</v>
      </c>
      <c r="BZ30" s="14">
        <f>BY30*VLOOKUP('Données projet'!$B$12,Paramètres!$A$1:$I$89,3,0)*VLOOKUP('Données projet'!$B$12,Paramètres!$A$1:$I$89,5,0)</f>
        <v>54.501200000000004</v>
      </c>
      <c r="CA30" s="14">
        <f t="shared" si="39"/>
        <v>15.770318466043152</v>
      </c>
      <c r="CB30" s="22">
        <f t="shared" si="10"/>
        <v>122.38956132835851</v>
      </c>
      <c r="CC30" s="62">
        <f t="shared" si="11"/>
        <v>412.05622799502521</v>
      </c>
      <c r="CD30" s="62">
        <f ca="1">AVERAGE(OFFSET($CC$3,0,0,'Données projet'!$E$12+1,1))-AVERAGE(OFFSET($H$3,0,0,'Données projet'!$E$12+1,1))</f>
        <v>197.51529454208725</v>
      </c>
      <c r="CE30" s="62">
        <f t="shared" si="40"/>
        <v>196.65362486387215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0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0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16</v>
      </c>
      <c r="CT30" s="13">
        <f>IF('Données projet'!$A$140&gt;35,CT29+CS30-DB29,IF(A30&lt;'Données projet'!$A$140,$CQ$205^A30,IF(A30='Données projet'!$A$140,'Données projet'!$B$140,CT29+CS30-DB29)))</f>
        <v>170.00000000000006</v>
      </c>
      <c r="CU30" s="18">
        <f>CT30*VLOOKUP('Données projet'!$B$13,Paramètres!$A$1:$I$89,3,0)*VLOOKUP('Données projet'!$B$13,Paramètres!$A$1:$I$89,5,0)</f>
        <v>92.820000000000036</v>
      </c>
      <c r="CV30" s="14">
        <f t="shared" si="41"/>
        <v>25.244115055224729</v>
      </c>
      <c r="CW30" s="22">
        <f t="shared" si="13"/>
        <v>205.62833372118314</v>
      </c>
      <c r="CX30" s="62">
        <f t="shared" si="14"/>
        <v>495.29500038784983</v>
      </c>
      <c r="CY30" s="62">
        <f ca="1">AVERAGE(OFFSET($CX$3,0,0,'Données projet'!$E$13+1,1))-AVERAGE(OFFSET($H$3,0,0,'Données projet'!$E$13+1,1))</f>
        <v>303.14853302260451</v>
      </c>
      <c r="CZ30" s="62">
        <f t="shared" si="42"/>
        <v>298.74602928001929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6.6866678126431198</v>
      </c>
      <c r="DG30" s="23">
        <f>EXP(-LN(2)/25)*DG29+(1-EXP(-LN(2)/25))/(LN(2)/25)*Calculateur!DB30*Calculateur!DD30*VLOOKUP('Données projet'!$B$13,Paramètres!$A$1:$I$89,3,0)*0.475*44/12</f>
        <v>21.256215419269186</v>
      </c>
      <c r="DH30" s="23">
        <f>EXP(-LN(2)/2)*DH29+(1-EXP(-LN(2)/2))/(LN(2)/2)*DB30*DE30*VLOOKUP('Données projet'!$B$13,Paramètres!$A$1:$I$89,3,0)*0.475*44/12</f>
        <v>5.5127471260682377</v>
      </c>
      <c r="DI30" s="24">
        <f t="shared" si="15"/>
        <v>33.455630357980539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70">
        <f t="shared" si="1"/>
        <v>256.66666666666669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4.3352272727272725</v>
      </c>
      <c r="N31" s="14">
        <f>IF('Données projet'!$A$36&gt;35,N30+M31-V30,IF(A31&lt;'Données projet'!$A$36,$K$205^A31,IF(A31='Données projet'!$A$36,'Données projet'!$B$36,N30+M31-V30)))</f>
        <v>121.38636363636355</v>
      </c>
      <c r="O31" s="14">
        <f>N31*VLOOKUP('Données projet'!$B$9,Paramètres!$A$1:$I$89,3,0)*VLOOKUP('Données projet'!$B$9,Paramètres!$A$1:$I$89,5,0)</f>
        <v>109.83038181818173</v>
      </c>
      <c r="P31" s="14">
        <f t="shared" si="33"/>
        <v>29.291017617440126</v>
      </c>
      <c r="Q31" s="22">
        <f t="shared" si="2"/>
        <v>242.30310401704142</v>
      </c>
      <c r="R31" s="62">
        <f t="shared" si="0"/>
        <v>533.19199290593031</v>
      </c>
      <c r="S31" s="62">
        <f ca="1">AVERAGE(OFFSET($R$3,0,0,'Données projet'!$E$9+1,1))-AVERAGE(OFFSET($H$3,0,0,'Données projet'!$E$9+1,1))</f>
        <v>441.6145113257511</v>
      </c>
      <c r="T31" s="62">
        <f t="shared" si="34"/>
        <v>295.8399381972477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24.333333333333332</v>
      </c>
      <c r="AI31" s="14">
        <f>IF('Données projet'!$A$62&gt;35,AI30+AH31-AQ30,IF(A31&lt;'Données projet'!$A$62,$AF$205^A31,IF(A31='Données projet'!$A$62,'Données projet'!$B$62,AI30+AH31-AQ30)))</f>
        <v>179.33333333333337</v>
      </c>
      <c r="AJ31" s="14">
        <f>AI31*VLOOKUP('Données projet'!$B$10,Paramètres!$A$1:$I$89,3,0)*VLOOKUP('Données projet'!$B$10,Paramètres!$A$1:$I$89,5,0)</f>
        <v>153.86800000000005</v>
      </c>
      <c r="AK31" s="14">
        <f t="shared" si="35"/>
        <v>39.456295775469606</v>
      </c>
      <c r="AL31" s="22">
        <f t="shared" si="4"/>
        <v>336.70648180894301</v>
      </c>
      <c r="AM31" s="62">
        <f t="shared" si="5"/>
        <v>627.59537069783187</v>
      </c>
      <c r="AN31" s="62">
        <f ca="1">AVERAGE(OFFSET($AM$3,0,0,'Données projet'!$E$10+1,1))-AVERAGE(OFFSET($H$3,0,0,'Données projet'!$E$10+1,1))</f>
        <v>623.31285537237943</v>
      </c>
      <c r="AO31" s="62">
        <f t="shared" si="36"/>
        <v>462.33909258902241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11.8</v>
      </c>
      <c r="BD31" s="13">
        <f>IF('Données projet'!$A$88&gt;35,BD30+BC31-BL30,IF(A31&lt;'Données projet'!$A$88,$BA$205^A31,IF(A31='Données projet'!$A$88,'Données projet'!$B$88,BD30+BC31-BL30)))</f>
        <v>122.39999999999996</v>
      </c>
      <c r="BE31" s="14">
        <f>BD31*VLOOKUP('Données projet'!$B$11,Paramètres!$A$1:$I$89,3,0)*VLOOKUP('Données projet'!$B$11,Paramètres!$A$1:$I$89,5,0)</f>
        <v>97.381439999999984</v>
      </c>
      <c r="BF31" s="14">
        <f t="shared" si="37"/>
        <v>26.337201615555198</v>
      </c>
      <c r="BG31" s="22">
        <f t="shared" si="7"/>
        <v>215.47663414709197</v>
      </c>
      <c r="BH31" s="62">
        <f t="shared" si="8"/>
        <v>506.3655230359808</v>
      </c>
      <c r="BI31" s="62">
        <f ca="1">AVERAGE(OFFSET($BH$3,0,0,'Données projet'!$E$11+1,1))-AVERAGE(OFFSET($H$3,0,0,'Données projet'!$E$11+1,1))</f>
        <v>299.10536994156814</v>
      </c>
      <c r="BJ31" s="62">
        <f t="shared" si="38"/>
        <v>292.57799203101769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0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0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7.371666666666667</v>
      </c>
      <c r="BY31" s="13">
        <f>IF('Données projet'!$A$114&gt;35,BY30+BX31-CG30,IF(A31&lt;'Données projet'!$A$114,$BV$205^A31,IF(A31='Données projet'!$A$114,'Données projet'!$B$114,BY30+BX31-CG30)))</f>
        <v>77.245000000000005</v>
      </c>
      <c r="BZ31" s="14">
        <f>BY31*VLOOKUP('Données projet'!$B$12,Paramètres!$A$1:$I$89,3,0)*VLOOKUP('Données projet'!$B$12,Paramètres!$A$1:$I$89,5,0)</f>
        <v>60.251100000000008</v>
      </c>
      <c r="CA31" s="14">
        <f t="shared" si="39"/>
        <v>17.23173953170177</v>
      </c>
      <c r="CB31" s="22">
        <f t="shared" si="10"/>
        <v>134.94927885104727</v>
      </c>
      <c r="CC31" s="62">
        <f t="shared" si="11"/>
        <v>425.83816773993613</v>
      </c>
      <c r="CD31" s="62">
        <f ca="1">AVERAGE(OFFSET($CC$3,0,0,'Données projet'!$E$12+1,1))-AVERAGE(OFFSET($H$3,0,0,'Données projet'!$E$12+1,1))</f>
        <v>197.51529454208725</v>
      </c>
      <c r="CE31" s="62">
        <f t="shared" si="40"/>
        <v>196.65362486387215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0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0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16</v>
      </c>
      <c r="CT31" s="13">
        <f>IF('Données projet'!$A$140&gt;35,CT30+CS31-DB30,IF(A31&lt;'Données projet'!$A$140,$CQ$205^A31,IF(A31='Données projet'!$A$140,'Données projet'!$B$140,CT30+CS31-DB30)))</f>
        <v>186.00000000000006</v>
      </c>
      <c r="CU31" s="18">
        <f>CT31*VLOOKUP('Données projet'!$B$13,Paramètres!$A$1:$I$89,3,0)*VLOOKUP('Données projet'!$B$13,Paramètres!$A$1:$I$89,5,0)</f>
        <v>101.55600000000003</v>
      </c>
      <c r="CV31" s="14">
        <f t="shared" si="41"/>
        <v>27.332359320696909</v>
      </c>
      <c r="CW31" s="22">
        <f t="shared" si="13"/>
        <v>224.48055915021382</v>
      </c>
      <c r="CX31" s="62">
        <f t="shared" si="14"/>
        <v>515.36944803910274</v>
      </c>
      <c r="CY31" s="62">
        <f ca="1">AVERAGE(OFFSET($CX$3,0,0,'Données projet'!$E$13+1,1))-AVERAGE(OFFSET($H$3,0,0,'Données projet'!$E$13+1,1))</f>
        <v>303.14853302260451</v>
      </c>
      <c r="CZ31" s="62">
        <f t="shared" si="42"/>
        <v>298.74602928001929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6.5555463353018393</v>
      </c>
      <c r="DG31" s="23">
        <f>EXP(-LN(2)/25)*DG30+(1-EXP(-LN(2)/25))/(LN(2)/25)*Calculateur!DB31*Calculateur!DD31*VLOOKUP('Données projet'!$B$13,Paramètres!$A$1:$I$89,3,0)*0.475*44/12</f>
        <v>20.674963090813481</v>
      </c>
      <c r="DH31" s="23">
        <f>EXP(-LN(2)/2)*DH30+(1-EXP(-LN(2)/2))/(LN(2)/2)*DB31*DE31*VLOOKUP('Données projet'!$B$13,Paramètres!$A$1:$I$89,3,0)*0.475*44/12</f>
        <v>3.8981008758095022</v>
      </c>
      <c r="DI31" s="24">
        <f t="shared" si="15"/>
        <v>31.128610301924819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70">
        <f t="shared" si="1"/>
        <v>256.66666666666669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4.3352272727272725</v>
      </c>
      <c r="N32" s="14">
        <f>IF('Données projet'!$A$36&gt;35,N31+M32-V31,IF(A32&lt;'Données projet'!$A$36,$K$205^A32,IF(A32='Données projet'!$A$36,'Données projet'!$B$36,N31+M32-V31)))</f>
        <v>125.72159090909082</v>
      </c>
      <c r="O32" s="14">
        <f>N32*VLOOKUP('Données projet'!$B$9,Paramètres!$A$1:$I$89,3,0)*VLOOKUP('Données projet'!$B$9,Paramètres!$A$1:$I$89,5,0)</f>
        <v>113.75289545454538</v>
      </c>
      <c r="P32" s="14">
        <f t="shared" si="33"/>
        <v>30.213462199456867</v>
      </c>
      <c r="Q32" s="22">
        <f t="shared" si="2"/>
        <v>250.74140624738729</v>
      </c>
      <c r="R32" s="62">
        <f t="shared" si="0"/>
        <v>542.8525173584984</v>
      </c>
      <c r="S32" s="62">
        <f ca="1">AVERAGE(OFFSET($R$3,0,0,'Données projet'!$E$9+1,1))-AVERAGE(OFFSET($H$3,0,0,'Données projet'!$E$9+1,1))</f>
        <v>441.6145113257511</v>
      </c>
      <c r="T32" s="62">
        <f t="shared" si="34"/>
        <v>295.8399381972477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24.333333333333332</v>
      </c>
      <c r="AI32" s="14">
        <f>IF('Données projet'!$A$62&gt;35,AI31+AH32-AQ31,IF(A32&lt;'Données projet'!$A$62,$AF$205^A32,IF(A32='Données projet'!$A$62,'Données projet'!$B$62,AI31+AH32-AQ31)))</f>
        <v>203.66666666666671</v>
      </c>
      <c r="AJ32" s="14">
        <f>AI32*VLOOKUP('Données projet'!$B$10,Paramètres!$A$1:$I$89,3,0)*VLOOKUP('Données projet'!$B$10,Paramètres!$A$1:$I$89,5,0)</f>
        <v>174.74600000000007</v>
      </c>
      <c r="AK32" s="14">
        <f t="shared" si="35"/>
        <v>44.151260306486655</v>
      </c>
      <c r="AL32" s="22">
        <f t="shared" si="4"/>
        <v>381.24606170046428</v>
      </c>
      <c r="AM32" s="62">
        <f t="shared" si="5"/>
        <v>673.35717281157542</v>
      </c>
      <c r="AN32" s="62">
        <f ca="1">AVERAGE(OFFSET($AM$3,0,0,'Données projet'!$E$10+1,1))-AVERAGE(OFFSET($H$3,0,0,'Données projet'!$E$10+1,1))</f>
        <v>623.31285537237943</v>
      </c>
      <c r="AO32" s="62">
        <f t="shared" si="36"/>
        <v>462.33909258902241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11.8</v>
      </c>
      <c r="BD32" s="13">
        <f>IF('Données projet'!$A$88&gt;35,BD31+BC32-BL31,IF(A32&lt;'Données projet'!$A$88,$BA$205^A32,IF(A32='Données projet'!$A$88,'Données projet'!$B$88,BD31+BC32-BL31)))</f>
        <v>134.19999999999996</v>
      </c>
      <c r="BE32" s="14">
        <f>BD32*VLOOKUP('Données projet'!$B$11,Paramètres!$A$1:$I$89,3,0)*VLOOKUP('Données projet'!$B$11,Paramètres!$A$1:$I$89,5,0)</f>
        <v>106.76951999999997</v>
      </c>
      <c r="BF32" s="14">
        <f t="shared" si="37"/>
        <v>28.568542914630683</v>
      </c>
      <c r="BG32" s="22">
        <f t="shared" si="7"/>
        <v>235.71379290964839</v>
      </c>
      <c r="BH32" s="62">
        <f t="shared" si="8"/>
        <v>527.8249040207595</v>
      </c>
      <c r="BI32" s="62">
        <f ca="1">AVERAGE(OFFSET($BH$3,0,0,'Données projet'!$E$11+1,1))-AVERAGE(OFFSET($H$3,0,0,'Données projet'!$E$11+1,1))</f>
        <v>299.10536994156814</v>
      </c>
      <c r="BJ32" s="62">
        <f t="shared" si="38"/>
        <v>292.57799203101769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0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0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7.371666666666667</v>
      </c>
      <c r="BY32" s="13">
        <f>IF('Données projet'!$A$114&gt;35,BY31+BX32-CG31,IF(A32&lt;'Données projet'!$A$114,$BV$205^A32,IF(A32='Données projet'!$A$114,'Données projet'!$B$114,BY31+BX32-CG31)))</f>
        <v>84.616666666666674</v>
      </c>
      <c r="BZ32" s="14">
        <f>BY32*VLOOKUP('Données projet'!$B$12,Paramètres!$A$1:$I$89,3,0)*VLOOKUP('Données projet'!$B$12,Paramètres!$A$1:$I$89,5,0)</f>
        <v>66.001000000000005</v>
      </c>
      <c r="CA32" s="14">
        <f t="shared" si="39"/>
        <v>18.67699061481818</v>
      </c>
      <c r="CB32" s="22">
        <f t="shared" si="10"/>
        <v>147.48083365414166</v>
      </c>
      <c r="CC32" s="62">
        <f t="shared" si="11"/>
        <v>439.59194476525283</v>
      </c>
      <c r="CD32" s="62">
        <f ca="1">AVERAGE(OFFSET($CC$3,0,0,'Données projet'!$E$12+1,1))-AVERAGE(OFFSET($H$3,0,0,'Données projet'!$E$12+1,1))</f>
        <v>197.51529454208725</v>
      </c>
      <c r="CE32" s="62">
        <f t="shared" si="40"/>
        <v>196.65362486387215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0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0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16</v>
      </c>
      <c r="CT32" s="13">
        <f>IF('Données projet'!$A$140&gt;35,CT31+CS32-DB31,IF(A32&lt;'Données projet'!$A$140,$CQ$205^A32,IF(A32='Données projet'!$A$140,'Données projet'!$B$140,CT31+CS32-DB31)))</f>
        <v>202.00000000000006</v>
      </c>
      <c r="CU32" s="18">
        <f>CT32*VLOOKUP('Données projet'!$B$13,Paramètres!$A$1:$I$89,3,0)*VLOOKUP('Données projet'!$B$13,Paramètres!$A$1:$I$89,5,0)</f>
        <v>110.29200000000003</v>
      </c>
      <c r="CV32" s="14">
        <f t="shared" si="41"/>
        <v>29.39977143172484</v>
      </c>
      <c r="CW32" s="22">
        <f t="shared" si="13"/>
        <v>243.29650191025416</v>
      </c>
      <c r="CX32" s="62">
        <f t="shared" si="14"/>
        <v>535.40761302136525</v>
      </c>
      <c r="CY32" s="62">
        <f ca="1">AVERAGE(OFFSET($CX$3,0,0,'Données projet'!$E$13+1,1))-AVERAGE(OFFSET($H$3,0,0,'Données projet'!$E$13+1,1))</f>
        <v>303.14853302260451</v>
      </c>
      <c r="CZ32" s="62">
        <f t="shared" si="42"/>
        <v>298.74602928001929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6.4269960701550168</v>
      </c>
      <c r="DG32" s="23">
        <f>EXP(-LN(2)/25)*DG31+(1-EXP(-LN(2)/25))/(LN(2)/25)*Calculateur!DB32*Calculateur!DD32*VLOOKUP('Données projet'!$B$13,Paramètres!$A$1:$I$89,3,0)*0.475*44/12</f>
        <v>20.109605137846131</v>
      </c>
      <c r="DH32" s="23">
        <f>EXP(-LN(2)/2)*DH31+(1-EXP(-LN(2)/2))/(LN(2)/2)*DB32*DE32*VLOOKUP('Données projet'!$B$13,Paramètres!$A$1:$I$89,3,0)*0.475*44/12</f>
        <v>2.7563735630341193</v>
      </c>
      <c r="DI32" s="24">
        <f t="shared" si="15"/>
        <v>29.292974771035269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70">
        <f t="shared" si="1"/>
        <v>256.66666666666669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4.3352272727272725</v>
      </c>
      <c r="N33" s="14">
        <f>IF('Données projet'!$A$36&gt;35,N32+M33-V32,IF(A33&lt;'Données projet'!$A$36,$K$205^A33,IF(A33='Données projet'!$A$36,'Données projet'!$B$36,N32+M33-V32)))</f>
        <v>130.0568181818181</v>
      </c>
      <c r="O33" s="14">
        <f>N33*VLOOKUP('Données projet'!$B$9,Paramètres!$A$1:$I$89,3,0)*VLOOKUP('Données projet'!$B$9,Paramètres!$A$1:$I$89,5,0)</f>
        <v>117.67540909090901</v>
      </c>
      <c r="P33" s="14">
        <f t="shared" si="33"/>
        <v>31.13221092664957</v>
      </c>
      <c r="Q33" s="22">
        <f t="shared" si="2"/>
        <v>259.17327153058113</v>
      </c>
      <c r="R33" s="62">
        <f t="shared" si="0"/>
        <v>552.50660486391439</v>
      </c>
      <c r="S33" s="62">
        <f ca="1">AVERAGE(OFFSET($R$3,0,0,'Données projet'!$E$9+1,1))-AVERAGE(OFFSET($H$3,0,0,'Données projet'!$E$9+1,1))</f>
        <v>441.6145113257511</v>
      </c>
      <c r="T33" s="62">
        <f t="shared" si="34"/>
        <v>295.8399381972477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228</v>
      </c>
      <c r="AG33" s="13">
        <f>VLOOKUP(A33,'Données projet'!$A$61:$I$81,9,0)</f>
        <v>24.333333333333332</v>
      </c>
      <c r="AH33" s="13">
        <f t="array" ref="AH33">INDEX(AG:AG,MIN(IF(ISNUMBER(AG33:AG229),ROW(AG33:AG229),"")))</f>
        <v>24.333333333333332</v>
      </c>
      <c r="AI33" s="14">
        <f>IF('Données projet'!$A$62&gt;35,AI32+AH33-AQ32,IF(A33&lt;'Données projet'!$A$62,$AF$205^A33,IF(A33='Données projet'!$A$62,'Données projet'!$B$62,AI32+AH33-AQ32)))</f>
        <v>228.00000000000006</v>
      </c>
      <c r="AJ33" s="14">
        <f>AI33*VLOOKUP('Données projet'!$B$10,Paramètres!$A$1:$I$89,3,0)*VLOOKUP('Données projet'!$B$10,Paramètres!$A$1:$I$89,5,0)</f>
        <v>195.62400000000008</v>
      </c>
      <c r="AK33" s="14">
        <f t="shared" si="35"/>
        <v>48.781220625276006</v>
      </c>
      <c r="AL33" s="22">
        <f t="shared" si="4"/>
        <v>425.67242592235584</v>
      </c>
      <c r="AM33" s="62">
        <f t="shared" si="5"/>
        <v>719.0057592556891</v>
      </c>
      <c r="AN33" s="62">
        <f ca="1">AVERAGE(OFFSET($AM$3,0,0,'Données projet'!$E$10+1,1))-AVERAGE(OFFSET($H$3,0,0,'Données projet'!$E$10+1,1))</f>
        <v>623.31285537237943</v>
      </c>
      <c r="AO33" s="62">
        <f t="shared" si="36"/>
        <v>462.33909258902241</v>
      </c>
      <c r="AP33" s="16">
        <f>IF(ISNA(VLOOKUP(A33,'Données projet'!$A$61:$I$81,3,0)),0,VLOOKUP(A33,'Données projet'!$A$61:$I$81,3,0))</f>
        <v>5</v>
      </c>
      <c r="AQ33" s="16">
        <f>IF(ISNA(VLOOKUP(A33,'Données projet'!$A$61:$I$81,4,0)),0,VLOOKUP(A33,'Données projet'!$A$61:$I$81,4,0))</f>
        <v>48</v>
      </c>
      <c r="AR33" s="17">
        <f>IF(ISNA(VLOOKUP(A33,'Données projet'!$A$61:$I$81,5,0)),0%,VLOOKUP(A33,'Données projet'!$A$61:$I$81,5,0)*VLOOKUP('Données projet'!$B$10,Paramètres!$A$1:$I$89,7,0))</f>
        <v>0.159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7.2389030455989198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7.2389030455989198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146</v>
      </c>
      <c r="BB33" s="13">
        <f>VLOOKUP(A33,'Données projet'!$A$87:$I$107,9,0)</f>
        <v>11.8</v>
      </c>
      <c r="BC33" s="13">
        <f t="array" ref="BC33">INDEX(BB:BB,MIN(IF(ISNUMBER(BB33:BB229),ROW(BB33:BB229),"")))</f>
        <v>11.8</v>
      </c>
      <c r="BD33" s="13">
        <f>IF('Données projet'!$A$88&gt;35,BD32+BC33-BL32,IF(A33&lt;'Données projet'!$A$88,$BA$205^A33,IF(A33='Données projet'!$A$88,'Données projet'!$B$88,BD32+BC33-BL32)))</f>
        <v>145.99999999999997</v>
      </c>
      <c r="BE33" s="14">
        <f>BD33*VLOOKUP('Données projet'!$B$11,Paramètres!$A$1:$I$89,3,0)*VLOOKUP('Données projet'!$B$11,Paramètres!$A$1:$I$89,5,0)</f>
        <v>116.15759999999999</v>
      </c>
      <c r="BF33" s="14">
        <f t="shared" si="37"/>
        <v>30.777132266613055</v>
      </c>
      <c r="BG33" s="22">
        <f t="shared" si="7"/>
        <v>255.91132536435109</v>
      </c>
      <c r="BH33" s="62">
        <f t="shared" si="8"/>
        <v>549.24465869768437</v>
      </c>
      <c r="BI33" s="62">
        <f ca="1">AVERAGE(OFFSET($BH$3,0,0,'Données projet'!$E$11+1,1))-AVERAGE(OFFSET($H$3,0,0,'Données projet'!$E$11+1,1))</f>
        <v>299.10536994156814</v>
      </c>
      <c r="BJ33" s="62">
        <f t="shared" si="38"/>
        <v>292.57799203101769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28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0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0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7.371666666666667</v>
      </c>
      <c r="BY33" s="13">
        <f>IF('Données projet'!$A$114&gt;35,BY32+BX33-CG32,IF(A33&lt;'Données projet'!$A$114,$BV$205^A33,IF(A33='Données projet'!$A$114,'Données projet'!$B$114,BY32+BX33-CG32)))</f>
        <v>91.988333333333344</v>
      </c>
      <c r="BZ33" s="14">
        <f>BY33*VLOOKUP('Données projet'!$B$12,Paramètres!$A$1:$I$89,3,0)*VLOOKUP('Données projet'!$B$12,Paramètres!$A$1:$I$89,5,0)</f>
        <v>71.750900000000016</v>
      </c>
      <c r="CA33" s="14">
        <f t="shared" si="39"/>
        <v>20.107640591696931</v>
      </c>
      <c r="CB33" s="22">
        <f t="shared" si="10"/>
        <v>159.9869581972055</v>
      </c>
      <c r="CC33" s="62">
        <f t="shared" si="11"/>
        <v>453.32029153053884</v>
      </c>
      <c r="CD33" s="62">
        <f ca="1">AVERAGE(OFFSET($CC$3,0,0,'Données projet'!$E$12+1,1))-AVERAGE(OFFSET($H$3,0,0,'Données projet'!$E$12+1,1))</f>
        <v>197.51529454208725</v>
      </c>
      <c r="CE33" s="62">
        <f t="shared" si="40"/>
        <v>196.65362486387215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0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0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218</v>
      </c>
      <c r="CR33" s="13">
        <f>VLOOKUP(A33,'Données projet'!$A$139:$I$159,9,0)</f>
        <v>16</v>
      </c>
      <c r="CS33" s="13">
        <f t="array" ref="CS33">INDEX(CR:CR,MIN(IF(ISNUMBER(CR33:CR229),ROW(CR33:CR229),"")))</f>
        <v>16</v>
      </c>
      <c r="CT33" s="13">
        <f>IF('Données projet'!$A$140&gt;35,CT32+CS33-DB32,IF(A33&lt;'Données projet'!$A$140,$CQ$205^A33,IF(A33='Données projet'!$A$140,'Données projet'!$B$140,CT32+CS33-DB32)))</f>
        <v>218.00000000000006</v>
      </c>
      <c r="CU33" s="18">
        <f>CT33*VLOOKUP('Données projet'!$B$13,Paramètres!$A$1:$I$89,3,0)*VLOOKUP('Données projet'!$B$13,Paramètres!$A$1:$I$89,5,0)</f>
        <v>119.02800000000002</v>
      </c>
      <c r="CV33" s="14">
        <f t="shared" si="41"/>
        <v>31.448189060298173</v>
      </c>
      <c r="CW33" s="22">
        <f t="shared" si="13"/>
        <v>262.07936261335271</v>
      </c>
      <c r="CX33" s="62">
        <f t="shared" si="14"/>
        <v>555.41269594668597</v>
      </c>
      <c r="CY33" s="62">
        <f ca="1">AVERAGE(OFFSET($CX$3,0,0,'Données projet'!$E$13+1,1))-AVERAGE(OFFSET($H$3,0,0,'Données projet'!$E$13+1,1))</f>
        <v>303.14853302260451</v>
      </c>
      <c r="CZ33" s="62">
        <f t="shared" si="42"/>
        <v>298.74602928001929</v>
      </c>
      <c r="DA33" s="16">
        <f>IF(ISNA(VLOOKUP(A33,'Données projet'!$A$139:$I$159,3,0)),0,VLOOKUP(A33,'Données projet'!$A$139:$I$159,3,0))</f>
        <v>5</v>
      </c>
      <c r="DB33" s="16">
        <f>IF(ISNA(VLOOKUP(A33,'Données projet'!$A$139:$I$159,4,0)),0,VLOOKUP(A33,'Données projet'!$A$139:$I$159,4,0))</f>
        <v>42</v>
      </c>
      <c r="DC33" s="17">
        <f>IF(ISNA(VLOOKUP(A33,'Données projet'!$A$139:$I$159,5,0)),0%,VLOOKUP(A33,'Données projet'!$A$139:$I$159,5,0)*VLOOKUP('Données projet'!$B$13,Paramètres!$A$1:$I$89,7,0))</f>
        <v>0.18</v>
      </c>
      <c r="DD33" s="17">
        <f>IF(ISNA(VLOOKUP(A33,'Données projet'!$A$139:$I$159,6,0)),0%,VLOOKUP(A33,'Données projet'!$A$139:$I$159,6,0)*VLOOKUP('Données projet'!$B$13,Paramètres!$A$1:$I$89,7,0))</f>
        <v>0.23519999999999999</v>
      </c>
      <c r="DE33" s="17">
        <f>IF(ISNA(VLOOKUP(A33,'Données projet'!$A$139:$I$159,7,0)),0%,VLOOKUP(A33,'Données projet'!$A$139:$I$159,7,0))</f>
        <v>0.30799999999999994</v>
      </c>
      <c r="DF33" s="23">
        <f>EXP(-LN(2)/35)*DF32+(1-EXP(-LN(2)/35))/(LN(2)/35)*DB33*DC33*VLOOKUP('Données projet'!$B$13,Paramètres!$A$1:$I$89,3,0)*0.475*44/12</f>
        <v>11.776706293884921</v>
      </c>
      <c r="DG33" s="23">
        <f>EXP(-LN(2)/25)*DG32+(1-EXP(-LN(2)/25))/(LN(2)/25)*Calculateur!DB33*Calculateur!DD33*VLOOKUP('Données projet'!$B$13,Paramètres!$A$1:$I$89,3,0)*0.475*44/12</f>
        <v>26.686501635193125</v>
      </c>
      <c r="DH33" s="23">
        <f>EXP(-LN(2)/2)*DH32+(1-EXP(-LN(2)/2))/(LN(2)/2)*DB33*DE33*VLOOKUP('Données projet'!$B$13,Paramètres!$A$1:$I$89,3,0)*0.475*44/12</f>
        <v>9.9460705603428377</v>
      </c>
      <c r="DI33" s="24">
        <f t="shared" si="15"/>
        <v>48.409278489420885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70">
        <f t="shared" si="1"/>
        <v>256.66666666666669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4.3352272727272725</v>
      </c>
      <c r="N34" s="14">
        <f>IF('Données projet'!$A$36&gt;35,N33+M34-V33,IF(A34&lt;'Données projet'!$A$36,$K$205^A34,IF(A34='Données projet'!$A$36,'Données projet'!$B$36,N33+M34-V33)))</f>
        <v>134.39204545454538</v>
      </c>
      <c r="O34" s="14">
        <f>N34*VLOOKUP('Données projet'!$B$9,Paramètres!$A$1:$I$89,3,0)*VLOOKUP('Données projet'!$B$9,Paramètres!$A$1:$I$89,5,0)</f>
        <v>121.59792272727265</v>
      </c>
      <c r="P34" s="14">
        <f t="shared" si="33"/>
        <v>32.047401119274099</v>
      </c>
      <c r="Q34" s="22">
        <f t="shared" si="2"/>
        <v>267.59893903273559</v>
      </c>
      <c r="R34" s="62">
        <f t="shared" si="0"/>
        <v>560.9322723660689</v>
      </c>
      <c r="S34" s="62">
        <f ca="1">AVERAGE(OFFSET($R$3,0,0,'Données projet'!$E$9+1,1))-AVERAGE(OFFSET($H$3,0,0,'Données projet'!$E$9+1,1))</f>
        <v>441.6145113257511</v>
      </c>
      <c r="T34" s="62">
        <f t="shared" si="34"/>
        <v>295.8399381972477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24.333333333333332</v>
      </c>
      <c r="AI34" s="14">
        <f>IF('Données projet'!$A$62&gt;35,AI33+AH34-AQ33,IF(A34&lt;'Données projet'!$A$62,$AF$205^A34,IF(A34='Données projet'!$A$62,'Données projet'!$B$62,AI33+AH34-AQ33)))</f>
        <v>204.3333333333334</v>
      </c>
      <c r="AJ34" s="14">
        <f>AI34*VLOOKUP('Données projet'!$B$10,Paramètres!$A$1:$I$89,3,0)*VLOOKUP('Données projet'!$B$10,Paramètres!$A$1:$I$89,5,0)</f>
        <v>175.31800000000007</v>
      </c>
      <c r="AK34" s="14">
        <f t="shared" si="35"/>
        <v>44.27893503827304</v>
      </c>
      <c r="AL34" s="22">
        <f t="shared" si="4"/>
        <v>382.4646618583256</v>
      </c>
      <c r="AM34" s="62">
        <f t="shared" si="5"/>
        <v>675.79799519165886</v>
      </c>
      <c r="AN34" s="62">
        <f ca="1">AVERAGE(OFFSET($AM$3,0,0,'Données projet'!$E$10+1,1))-AVERAGE(OFFSET($H$3,0,0,'Données projet'!$E$10+1,1))</f>
        <v>623.31285537237943</v>
      </c>
      <c r="AO34" s="62">
        <f t="shared" si="36"/>
        <v>462.33909258902241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7.0969525721696085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7.0969525721696085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10.8</v>
      </c>
      <c r="BD34" s="13">
        <f>IF('Données projet'!$A$88&gt;35,BD33+BC34-BL33,IF(A34&lt;'Données projet'!$A$88,$BA$205^A34,IF(A34='Données projet'!$A$88,'Données projet'!$B$88,BD33+BC34-BL33)))</f>
        <v>128.79999999999998</v>
      </c>
      <c r="BE34" s="14">
        <f>BD34*VLOOKUP('Données projet'!$B$11,Paramètres!$A$1:$I$89,3,0)*VLOOKUP('Données projet'!$B$11,Paramètres!$A$1:$I$89,5,0)</f>
        <v>102.47327999999999</v>
      </c>
      <c r="BF34" s="14">
        <f t="shared" si="37"/>
        <v>27.550381949314474</v>
      </c>
      <c r="BG34" s="22">
        <f t="shared" si="7"/>
        <v>226.45787789505599</v>
      </c>
      <c r="BH34" s="62">
        <f t="shared" si="8"/>
        <v>519.79121122838933</v>
      </c>
      <c r="BI34" s="62">
        <f ca="1">AVERAGE(OFFSET($BH$3,0,0,'Données projet'!$E$11+1,1))-AVERAGE(OFFSET($H$3,0,0,'Données projet'!$E$11+1,1))</f>
        <v>299.10536994156814</v>
      </c>
      <c r="BJ34" s="62">
        <f t="shared" si="38"/>
        <v>292.57799203101769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0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0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>
        <f>VLOOKUP(A34,'Données projet'!$A$113:$I$133,2,0)</f>
        <v>99.36</v>
      </c>
      <c r="BW34" s="13">
        <f>VLOOKUP(A34,'Données projet'!$A$113:$I$133,9,0)</f>
        <v>7.371666666666667</v>
      </c>
      <c r="BX34" s="13">
        <f t="array" ref="BX34">INDEX(BW:BW,MIN(IF(ISNUMBER(BW34:BW230),ROW(BW34:BW230),"")))</f>
        <v>7.371666666666667</v>
      </c>
      <c r="BY34" s="13">
        <f>IF('Données projet'!$A$114&gt;35,BY33+BX34-CG33,IF(A34&lt;'Données projet'!$A$114,$BV$205^A34,IF(A34='Données projet'!$A$114,'Données projet'!$B$114,BY33+BX34-CG33)))</f>
        <v>99.360000000000014</v>
      </c>
      <c r="BZ34" s="14">
        <f>BY34*VLOOKUP('Données projet'!$B$12,Paramètres!$A$1:$I$89,3,0)*VLOOKUP('Données projet'!$B$12,Paramètres!$A$1:$I$89,5,0)</f>
        <v>77.500800000000012</v>
      </c>
      <c r="CA34" s="14">
        <f t="shared" si="39"/>
        <v>21.524992579009275</v>
      </c>
      <c r="CB34" s="22">
        <f t="shared" si="10"/>
        <v>172.46992207510786</v>
      </c>
      <c r="CC34" s="62">
        <f t="shared" si="11"/>
        <v>465.80325540844115</v>
      </c>
      <c r="CD34" s="62">
        <f ca="1">AVERAGE(OFFSET($CC$3,0,0,'Données projet'!$E$12+1,1))-AVERAGE(OFFSET($H$3,0,0,'Données projet'!$E$12+1,1))</f>
        <v>197.51529454208725</v>
      </c>
      <c r="CE34" s="62">
        <f t="shared" si="40"/>
        <v>196.65362486387215</v>
      </c>
      <c r="CF34" s="16">
        <f>IF(ISNA(VLOOKUP(A34,'Données projet'!$A$113:$I$133,3,0)),0,VLOOKUP(A34,'Données projet'!$A$113:$I$133,3,0))</f>
        <v>4</v>
      </c>
      <c r="CG34" s="16">
        <f>IF(ISNA(VLOOKUP(A34,'Données projet'!$A$113:$I$133,4,0)),0,VLOOKUP(A34,'Données projet'!$A$113:$I$133,4,0))</f>
        <v>23.08</v>
      </c>
      <c r="CH34" s="17">
        <f>IF(ISNA(VLOOKUP(A34,'Données projet'!$A$113:$I$133,5,0)),0%,VLOOKUP(A34,'Données projet'!$A$113:$I$133,5,0)*VLOOKUP('Données projet'!$B$12,Paramètres!$A$1:$I$89,7,0))</f>
        <v>0.129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2.5672444749050132</v>
      </c>
      <c r="CL34" s="23">
        <f>EXP(-LN(2)/25)*CL33+(1-EXP(-LN(2)/25))/(LN(2)/25)*Calculateur!CG34*Calculateur!CI34*VLOOKUP('Données projet'!$B$12,Paramètres!$A$1:$I$89,3,0)*0.475*44/12</f>
        <v>0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2.5672444749050132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14.4</v>
      </c>
      <c r="CT34" s="13">
        <f>IF('Données projet'!$A$140&gt;35,CT33+CS34-DB33,IF(A34&lt;'Données projet'!$A$140,$CQ$205^A34,IF(A34='Données projet'!$A$140,'Données projet'!$B$140,CT33+CS34-DB33)))</f>
        <v>190.40000000000006</v>
      </c>
      <c r="CU34" s="18">
        <f>CT34*VLOOKUP('Données projet'!$B$13,Paramètres!$A$1:$I$89,3,0)*VLOOKUP('Données projet'!$B$13,Paramètres!$A$1:$I$89,5,0)</f>
        <v>103.95840000000003</v>
      </c>
      <c r="CV34" s="14">
        <f t="shared" si="41"/>
        <v>27.902890560352166</v>
      </c>
      <c r="CW34" s="22">
        <f t="shared" si="13"/>
        <v>229.65841439261337</v>
      </c>
      <c r="CX34" s="62">
        <f t="shared" si="14"/>
        <v>522.99174772594665</v>
      </c>
      <c r="CY34" s="62">
        <f ca="1">AVERAGE(OFFSET($CX$3,0,0,'Données projet'!$E$13+1,1))-AVERAGE(OFFSET($H$3,0,0,'Données projet'!$E$13+1,1))</f>
        <v>303.14853302260451</v>
      </c>
      <c r="CZ34" s="62">
        <f t="shared" si="42"/>
        <v>298.74602928001929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11.545772266543405</v>
      </c>
      <c r="DG34" s="23">
        <f>EXP(-LN(2)/25)*DG33+(1-EXP(-LN(2)/25))/(LN(2)/25)*Calculateur!DB34*Calculateur!DD34*VLOOKUP('Données projet'!$B$13,Paramètres!$A$1:$I$89,3,0)*0.475*44/12</f>
        <v>25.956757844596641</v>
      </c>
      <c r="DH34" s="23">
        <f>EXP(-LN(2)/2)*DH33+(1-EXP(-LN(2)/2))/(LN(2)/2)*DB34*DE34*VLOOKUP('Données projet'!$B$13,Paramètres!$A$1:$I$89,3,0)*0.475*44/12</f>
        <v>7.0329339393783057</v>
      </c>
      <c r="DI34" s="24">
        <f t="shared" si="15"/>
        <v>44.53546405051835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70">
        <f t="shared" si="1"/>
        <v>256.66666666666669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4.3352272727272725</v>
      </c>
      <c r="N35" s="14">
        <f>IF('Données projet'!$A$36&gt;35,N34+M35-V34,IF(A35&lt;'Données projet'!$A$36,$K$205^A35,IF(A35='Données projet'!$A$36,'Données projet'!$B$36,N34+M35-V34)))</f>
        <v>138.72727272727266</v>
      </c>
      <c r="O35" s="14">
        <f>N35*VLOOKUP('Données projet'!$B$9,Paramètres!$A$1:$I$89,3,0)*VLOOKUP('Données projet'!$B$9,Paramètres!$A$1:$I$89,5,0)</f>
        <v>125.52043636363631</v>
      </c>
      <c r="P35" s="14">
        <f t="shared" si="33"/>
        <v>32.959160735246577</v>
      </c>
      <c r="Q35" s="22">
        <f t="shared" ref="Q35:Q66" si="53">(O35+P35)*0.475*44/12</f>
        <v>276.01863161388769</v>
      </c>
      <c r="R35" s="62">
        <f t="shared" si="0"/>
        <v>569.35196494722095</v>
      </c>
      <c r="S35" s="62">
        <f ca="1">AVERAGE(OFFSET($R$3,0,0,'Données projet'!$E$9+1,1))-AVERAGE(OFFSET($H$3,0,0,'Données projet'!$E$9+1,1))</f>
        <v>441.6145113257511</v>
      </c>
      <c r="T35" s="62">
        <f t="shared" si="34"/>
        <v>295.8399381972477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24.333333333333332</v>
      </c>
      <c r="AI35" s="14">
        <f>IF('Données projet'!$A$62&gt;35,AI34+AH35-AQ34,IF(A35&lt;'Données projet'!$A$62,$AF$205^A35,IF(A35='Données projet'!$A$62,'Données projet'!$B$62,AI34+AH35-AQ34)))</f>
        <v>228.66666666666674</v>
      </c>
      <c r="AJ35" s="14">
        <f>AI35*VLOOKUP('Données projet'!$B$10,Paramètres!$A$1:$I$89,3,0)*VLOOKUP('Données projet'!$B$10,Paramètres!$A$1:$I$89,5,0)</f>
        <v>196.19600000000008</v>
      </c>
      <c r="AK35" s="14">
        <f t="shared" si="35"/>
        <v>48.907231617752288</v>
      </c>
      <c r="AL35" s="22">
        <f t="shared" si="4"/>
        <v>426.88812840091873</v>
      </c>
      <c r="AM35" s="62">
        <f t="shared" si="5"/>
        <v>720.22146173425199</v>
      </c>
      <c r="AN35" s="62">
        <f ca="1">AVERAGE(OFFSET($AM$3,0,0,'Données projet'!$E$10+1,1))-AVERAGE(OFFSET($H$3,0,0,'Données projet'!$E$10+1,1))</f>
        <v>623.31285537237943</v>
      </c>
      <c r="AO35" s="62">
        <f t="shared" si="36"/>
        <v>462.33909258902241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6.9577856609430064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6.9577856609430064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10.8</v>
      </c>
      <c r="BD35" s="13">
        <f>IF('Données projet'!$A$88&gt;35,BD34+BC35-BL34,IF(A35&lt;'Données projet'!$A$88,$BA$205^A35,IF(A35='Données projet'!$A$88,'Données projet'!$B$88,BD34+BC35-BL34)))</f>
        <v>139.6</v>
      </c>
      <c r="BE35" s="14">
        <f>BD35*VLOOKUP('Données projet'!$B$11,Paramètres!$A$1:$I$89,3,0)*VLOOKUP('Données projet'!$B$11,Paramètres!$A$1:$I$89,5,0)</f>
        <v>111.06576</v>
      </c>
      <c r="BF35" s="14">
        <f t="shared" si="37"/>
        <v>29.581944857062648</v>
      </c>
      <c r="BG35" s="22">
        <f t="shared" si="7"/>
        <v>244.96141929271744</v>
      </c>
      <c r="BH35" s="62">
        <f t="shared" si="8"/>
        <v>538.29475262605069</v>
      </c>
      <c r="BI35" s="62">
        <f ca="1">AVERAGE(OFFSET($BH$3,0,0,'Données projet'!$E$11+1,1))-AVERAGE(OFFSET($H$3,0,0,'Données projet'!$E$11+1,1))</f>
        <v>299.10536994156814</v>
      </c>
      <c r="BJ35" s="62">
        <f t="shared" si="38"/>
        <v>292.57799203101769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0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0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7.371666666666667</v>
      </c>
      <c r="BY35" s="13">
        <f>IF('Données projet'!$A$114&gt;35,BY34+BX35-CG34,IF(A35&lt;'Données projet'!$A$114,$BV$205^A35,IF(A35='Données projet'!$A$114,'Données projet'!$B$114,BY34+BX35-CG34)))</f>
        <v>83.651666666666685</v>
      </c>
      <c r="BZ35" s="14">
        <f>BY35*VLOOKUP('Données projet'!$B$12,Paramètres!$A$1:$I$89,3,0)*VLOOKUP('Données projet'!$B$12,Paramètres!$A$1:$I$89,5,0)</f>
        <v>65.248300000000015</v>
      </c>
      <c r="CA35" s="14">
        <f t="shared" si="39"/>
        <v>18.488658926958259</v>
      </c>
      <c r="CB35" s="22">
        <f t="shared" si="10"/>
        <v>145.84187013111898</v>
      </c>
      <c r="CC35" s="62">
        <f t="shared" si="11"/>
        <v>439.1752034644523</v>
      </c>
      <c r="CD35" s="62">
        <f ca="1">AVERAGE(OFFSET($CC$3,0,0,'Données projet'!$E$12+1,1))-AVERAGE(OFFSET($H$3,0,0,'Données projet'!$E$12+1,1))</f>
        <v>197.51529454208725</v>
      </c>
      <c r="CE35" s="62">
        <f t="shared" si="40"/>
        <v>196.65362486387215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2.5169023766166392</v>
      </c>
      <c r="CL35" s="23">
        <f>EXP(-LN(2)/25)*CL34+(1-EXP(-LN(2)/25))/(LN(2)/25)*Calculateur!CG35*Calculateur!CI35*VLOOKUP('Données projet'!$B$12,Paramètres!$A$1:$I$89,3,0)*0.475*44/12</f>
        <v>0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2.5169023766166392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14.4</v>
      </c>
      <c r="CT35" s="13">
        <f>IF('Données projet'!$A$140&gt;35,CT34+CS35-DB34,IF(A35&lt;'Données projet'!$A$140,$CQ$205^A35,IF(A35='Données projet'!$A$140,'Données projet'!$B$140,CT34+CS35-DB34)))</f>
        <v>204.80000000000007</v>
      </c>
      <c r="CU35" s="18">
        <f>CT35*VLOOKUP('Données projet'!$B$13,Paramètres!$A$1:$I$89,3,0)*VLOOKUP('Données projet'!$B$13,Paramètres!$A$1:$I$89,5,0)</f>
        <v>111.82080000000003</v>
      </c>
      <c r="CV35" s="14">
        <f t="shared" si="41"/>
        <v>29.759568497877257</v>
      </c>
      <c r="CW35" s="22">
        <f t="shared" si="13"/>
        <v>246.5858084671363</v>
      </c>
      <c r="CX35" s="62">
        <f t="shared" si="14"/>
        <v>539.91914180046956</v>
      </c>
      <c r="CY35" s="62">
        <f ca="1">AVERAGE(OFFSET($CX$3,0,0,'Données projet'!$E$13+1,1))-AVERAGE(OFFSET($H$3,0,0,'Données projet'!$E$13+1,1))</f>
        <v>303.14853302260451</v>
      </c>
      <c r="CZ35" s="62">
        <f t="shared" si="42"/>
        <v>298.74602928001929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11.319366714622209</v>
      </c>
      <c r="DG35" s="23">
        <f>EXP(-LN(2)/25)*DG34+(1-EXP(-LN(2)/25))/(LN(2)/25)*Calculateur!DB35*Calculateur!DD35*VLOOKUP('Données projet'!$B$13,Paramètres!$A$1:$I$89,3,0)*0.475*44/12</f>
        <v>25.246968936329576</v>
      </c>
      <c r="DH35" s="23">
        <f>EXP(-LN(2)/2)*DH34+(1-EXP(-LN(2)/2))/(LN(2)/2)*DB35*DE35*VLOOKUP('Données projet'!$B$13,Paramètres!$A$1:$I$89,3,0)*0.475*44/12</f>
        <v>4.9730352801714197</v>
      </c>
      <c r="DI35" s="24">
        <f t="shared" si="15"/>
        <v>41.539370931123202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70">
        <f t="shared" si="1"/>
        <v>256.66666666666669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4.3352272727272725</v>
      </c>
      <c r="N36" s="14">
        <f>IF('Données projet'!$A$36&gt;35,N35+M36-V35,IF(A36&lt;'Données projet'!$A$36,$K$205^A36,IF(A36='Données projet'!$A$36,'Données projet'!$B$36,N35+M36-V35)))</f>
        <v>143.06249999999994</v>
      </c>
      <c r="O36" s="14">
        <f>N36*VLOOKUP('Données projet'!$B$9,Paramètres!$A$1:$I$89,3,0)*VLOOKUP('Données projet'!$B$9,Paramètres!$A$1:$I$89,5,0)</f>
        <v>129.44294999999994</v>
      </c>
      <c r="P36" s="14">
        <f t="shared" si="33"/>
        <v>33.867609280865778</v>
      </c>
      <c r="Q36" s="22">
        <f t="shared" si="53"/>
        <v>284.43255741417448</v>
      </c>
      <c r="R36" s="62">
        <f t="shared" si="0"/>
        <v>577.7658907475078</v>
      </c>
      <c r="S36" s="62">
        <f ca="1">AVERAGE(OFFSET($R$3,0,0,'Données projet'!$E$9+1,1))-AVERAGE(OFFSET($H$3,0,0,'Données projet'!$E$9+1,1))</f>
        <v>441.6145113257511</v>
      </c>
      <c r="T36" s="62">
        <f t="shared" si="34"/>
        <v>295.8399381972477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24.333333333333332</v>
      </c>
      <c r="AI36" s="14">
        <f>IF('Données projet'!$A$62&gt;35,AI35+AH36-AQ35,IF(A36&lt;'Données projet'!$A$62,$AF$205^A36,IF(A36='Données projet'!$A$62,'Données projet'!$B$62,AI35+AH36-AQ35)))</f>
        <v>253.00000000000009</v>
      </c>
      <c r="AJ36" s="14">
        <f>AI36*VLOOKUP('Données projet'!$B$10,Paramètres!$A$1:$I$89,3,0)*VLOOKUP('Données projet'!$B$10,Paramètres!$A$1:$I$89,5,0)</f>
        <v>217.0740000000001</v>
      </c>
      <c r="AK36" s="14">
        <f t="shared" si="35"/>
        <v>53.478439358974512</v>
      </c>
      <c r="AL36" s="22">
        <f t="shared" si="4"/>
        <v>471.21216521688075</v>
      </c>
      <c r="AM36" s="62">
        <f t="shared" si="5"/>
        <v>764.54549855021401</v>
      </c>
      <c r="AN36" s="62">
        <f ca="1">AVERAGE(OFFSET($AM$3,0,0,'Données projet'!$E$10+1,1))-AVERAGE(OFFSET($H$3,0,0,'Données projet'!$E$10+1,1))</f>
        <v>623.31285537237943</v>
      </c>
      <c r="AO36" s="62">
        <f t="shared" si="36"/>
        <v>462.33909258902241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6.8213477279621237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6.8213477279621237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10.8</v>
      </c>
      <c r="BD36" s="13">
        <f>IF('Données projet'!$A$88&gt;35,BD35+BC36-BL35,IF(A36&lt;'Données projet'!$A$88,$BA$205^A36,IF(A36='Données projet'!$A$88,'Données projet'!$B$88,BD35+BC36-BL35)))</f>
        <v>150.4</v>
      </c>
      <c r="BE36" s="14">
        <f>BD36*VLOOKUP('Données projet'!$B$11,Paramètres!$A$1:$I$89,3,0)*VLOOKUP('Données projet'!$B$11,Paramètres!$A$1:$I$89,5,0)</f>
        <v>119.65824000000002</v>
      </c>
      <c r="BF36" s="14">
        <f t="shared" si="37"/>
        <v>31.595276160231336</v>
      </c>
      <c r="BG36" s="22">
        <f t="shared" si="7"/>
        <v>263.43320731240294</v>
      </c>
      <c r="BH36" s="62">
        <f t="shared" si="8"/>
        <v>556.76654064573631</v>
      </c>
      <c r="BI36" s="62">
        <f ca="1">AVERAGE(OFFSET($BH$3,0,0,'Données projet'!$E$11+1,1))-AVERAGE(OFFSET($H$3,0,0,'Données projet'!$E$11+1,1))</f>
        <v>299.10536994156814</v>
      </c>
      <c r="BJ36" s="62">
        <f t="shared" si="38"/>
        <v>292.57799203101769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0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0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7.371666666666667</v>
      </c>
      <c r="BY36" s="13">
        <f>IF('Données projet'!$A$114&gt;35,BY35+BX36-CG35,IF(A36&lt;'Données projet'!$A$114,$BV$205^A36,IF(A36='Données projet'!$A$114,'Données projet'!$B$114,BY35+BX36-CG35)))</f>
        <v>91.023333333333355</v>
      </c>
      <c r="BZ36" s="14">
        <f>BY36*VLOOKUP('Données projet'!$B$12,Paramètres!$A$1:$I$89,3,0)*VLOOKUP('Données projet'!$B$12,Paramètres!$A$1:$I$89,5,0)</f>
        <v>70.998200000000026</v>
      </c>
      <c r="CA36" s="14">
        <f t="shared" si="39"/>
        <v>19.921141165553667</v>
      </c>
      <c r="CB36" s="22">
        <f t="shared" si="10"/>
        <v>158.35118586333934</v>
      </c>
      <c r="CC36" s="62">
        <f t="shared" si="11"/>
        <v>451.68451919667268</v>
      </c>
      <c r="CD36" s="62">
        <f ca="1">AVERAGE(OFFSET($CC$3,0,0,'Données projet'!$E$12+1,1))-AVERAGE(OFFSET($H$3,0,0,'Données projet'!$E$12+1,1))</f>
        <v>197.51529454208725</v>
      </c>
      <c r="CE36" s="62">
        <f t="shared" si="40"/>
        <v>196.65362486387215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2.4675474561700521</v>
      </c>
      <c r="CL36" s="23">
        <f>EXP(-LN(2)/25)*CL35+(1-EXP(-LN(2)/25))/(LN(2)/25)*Calculateur!CG36*Calculateur!CI36*VLOOKUP('Données projet'!$B$12,Paramètres!$A$1:$I$89,3,0)*0.475*44/12</f>
        <v>0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2.4675474561700521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14.4</v>
      </c>
      <c r="CT36" s="13">
        <f>IF('Données projet'!$A$140&gt;35,CT35+CS36-DB35,IF(A36&lt;'Données projet'!$A$140,$CQ$205^A36,IF(A36='Données projet'!$A$140,'Données projet'!$B$140,CT35+CS36-DB35)))</f>
        <v>219.20000000000007</v>
      </c>
      <c r="CU36" s="18">
        <f>CT36*VLOOKUP('Données projet'!$B$13,Paramètres!$A$1:$I$89,3,0)*VLOOKUP('Données projet'!$B$13,Paramètres!$A$1:$I$89,5,0)</f>
        <v>119.68320000000003</v>
      </c>
      <c r="CV36" s="14">
        <f t="shared" si="41"/>
        <v>31.601099532596194</v>
      </c>
      <c r="CW36" s="22">
        <f t="shared" si="13"/>
        <v>263.48682168593842</v>
      </c>
      <c r="CX36" s="62">
        <f t="shared" si="14"/>
        <v>556.82015501927174</v>
      </c>
      <c r="CY36" s="62">
        <f ca="1">AVERAGE(OFFSET($CX$3,0,0,'Données projet'!$E$13+1,1))-AVERAGE(OFFSET($H$3,0,0,'Données projet'!$E$13+1,1))</f>
        <v>303.14853302260451</v>
      </c>
      <c r="CZ36" s="62">
        <f t="shared" si="42"/>
        <v>298.74602928001929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11.097400837480437</v>
      </c>
      <c r="DG36" s="23">
        <f>EXP(-LN(2)/25)*DG35+(1-EXP(-LN(2)/25))/(LN(2)/25)*Calculateur!DB36*Calculateur!DD36*VLOOKUP('Données projet'!$B$13,Paramètres!$A$1:$I$89,3,0)*0.475*44/12</f>
        <v>24.556589243085252</v>
      </c>
      <c r="DH36" s="23">
        <f>EXP(-LN(2)/2)*DH35+(1-EXP(-LN(2)/2))/(LN(2)/2)*DB36*DE36*VLOOKUP('Données projet'!$B$13,Paramètres!$A$1:$I$89,3,0)*0.475*44/12</f>
        <v>3.5164669696891533</v>
      </c>
      <c r="DI36" s="24">
        <f t="shared" si="15"/>
        <v>39.170457050254846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70">
        <f t="shared" si="1"/>
        <v>256.66666666666669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4.3352272727272725</v>
      </c>
      <c r="N37" s="14">
        <f>IF('Données projet'!$A$36&gt;35,N36+M37-V36,IF(A37&lt;'Données projet'!$A$36,$K$205^A37,IF(A37='Données projet'!$A$36,'Données projet'!$B$36,N36+M37-V36)))</f>
        <v>147.39772727272722</v>
      </c>
      <c r="O37" s="14">
        <f>N37*VLOOKUP('Données projet'!$B$9,Paramètres!$A$1:$I$89,3,0)*VLOOKUP('Données projet'!$B$9,Paramètres!$A$1:$I$89,5,0)</f>
        <v>133.36546363636359</v>
      </c>
      <c r="P37" s="14">
        <f t="shared" si="33"/>
        <v>34.772858608043407</v>
      </c>
      <c r="Q37" s="22">
        <f t="shared" si="53"/>
        <v>292.84091124234214</v>
      </c>
      <c r="R37" s="62">
        <f t="shared" si="0"/>
        <v>586.1742445756754</v>
      </c>
      <c r="S37" s="62">
        <f ca="1">AVERAGE(OFFSET($R$3,0,0,'Données projet'!$E$9+1,1))-AVERAGE(OFFSET($H$3,0,0,'Données projet'!$E$9+1,1))</f>
        <v>441.6145113257511</v>
      </c>
      <c r="T37" s="62">
        <f t="shared" si="34"/>
        <v>295.8399381972477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24.333333333333332</v>
      </c>
      <c r="AI37" s="14">
        <f>IF('Données projet'!$A$62&gt;35,AI36+AH37-AQ36,IF(A37&lt;'Données projet'!$A$62,$AF$205^A37,IF(A37='Données projet'!$A$62,'Données projet'!$B$62,AI36+AH37-AQ36)))</f>
        <v>277.33333333333343</v>
      </c>
      <c r="AJ37" s="14">
        <f>AI37*VLOOKUP('Données projet'!$B$10,Paramètres!$A$1:$I$89,3,0)*VLOOKUP('Données projet'!$B$10,Paramètres!$A$1:$I$89,5,0)</f>
        <v>237.95200000000008</v>
      </c>
      <c r="AK37" s="14">
        <f t="shared" si="35"/>
        <v>57.99867376947342</v>
      </c>
      <c r="AL37" s="22">
        <f t="shared" si="4"/>
        <v>515.44742348183297</v>
      </c>
      <c r="AM37" s="62">
        <f t="shared" si="5"/>
        <v>808.78075681516634</v>
      </c>
      <c r="AN37" s="62">
        <f ca="1">AVERAGE(OFFSET($AM$3,0,0,'Données projet'!$E$10+1,1))-AVERAGE(OFFSET($H$3,0,0,'Données projet'!$E$10+1,1))</f>
        <v>623.31285537237943</v>
      </c>
      <c r="AO37" s="62">
        <f t="shared" si="36"/>
        <v>462.33909258902241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6.687585259628074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6.687585259628074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10.8</v>
      </c>
      <c r="BD37" s="13">
        <f>IF('Données projet'!$A$88&gt;35,BD36+BC37-BL36,IF(A37&lt;'Données projet'!$A$88,$BA$205^A37,IF(A37='Données projet'!$A$88,'Données projet'!$B$88,BD36+BC37-BL36)))</f>
        <v>161.20000000000002</v>
      </c>
      <c r="BE37" s="14">
        <f>BD37*VLOOKUP('Données projet'!$B$11,Paramètres!$A$1:$I$89,3,0)*VLOOKUP('Données projet'!$B$11,Paramètres!$A$1:$I$89,5,0)</f>
        <v>128.25072</v>
      </c>
      <c r="BF37" s="14">
        <f t="shared" si="37"/>
        <v>33.591833937449593</v>
      </c>
      <c r="BG37" s="22">
        <f t="shared" si="7"/>
        <v>281.875781441058</v>
      </c>
      <c r="BH37" s="62">
        <f t="shared" si="8"/>
        <v>575.20911477439131</v>
      </c>
      <c r="BI37" s="62">
        <f ca="1">AVERAGE(OFFSET($BH$3,0,0,'Données projet'!$E$11+1,1))-AVERAGE(OFFSET($H$3,0,0,'Données projet'!$E$11+1,1))</f>
        <v>299.10536994156814</v>
      </c>
      <c r="BJ37" s="62">
        <f t="shared" si="38"/>
        <v>292.57799203101769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0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0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7.371666666666667</v>
      </c>
      <c r="BY37" s="13">
        <f>IF('Données projet'!$A$114&gt;35,BY36+BX37-CG36,IF(A37&lt;'Données projet'!$A$114,$BV$205^A37,IF(A37='Données projet'!$A$114,'Données projet'!$B$114,BY36+BX37-CG36)))</f>
        <v>98.395000000000024</v>
      </c>
      <c r="BZ37" s="14">
        <f>BY37*VLOOKUP('Données projet'!$B$12,Paramètres!$A$1:$I$89,3,0)*VLOOKUP('Données projet'!$B$12,Paramètres!$A$1:$I$89,5,0)</f>
        <v>76.748100000000022</v>
      </c>
      <c r="CA37" s="14">
        <f t="shared" si="39"/>
        <v>21.340167562366407</v>
      </c>
      <c r="CB37" s="22">
        <f t="shared" si="10"/>
        <v>170.83706600445487</v>
      </c>
      <c r="CC37" s="62">
        <f t="shared" si="11"/>
        <v>464.17039933778818</v>
      </c>
      <c r="CD37" s="62">
        <f ca="1">AVERAGE(OFFSET($CC$3,0,0,'Données projet'!$E$12+1,1))-AVERAGE(OFFSET($H$3,0,0,'Données projet'!$E$12+1,1))</f>
        <v>197.51529454208725</v>
      </c>
      <c r="CE37" s="62">
        <f t="shared" si="40"/>
        <v>196.65362486387215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2.4191603556098937</v>
      </c>
      <c r="CL37" s="23">
        <f>EXP(-LN(2)/25)*CL36+(1-EXP(-LN(2)/25))/(LN(2)/25)*Calculateur!CG37*Calculateur!CI37*VLOOKUP('Données projet'!$B$12,Paramètres!$A$1:$I$89,3,0)*0.475*44/12</f>
        <v>0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2.4191603556098937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14.4</v>
      </c>
      <c r="CT37" s="13">
        <f>IF('Données projet'!$A$140&gt;35,CT36+CS37-DB36,IF(A37&lt;'Données projet'!$A$140,$CQ$205^A37,IF(A37='Données projet'!$A$140,'Données projet'!$B$140,CT36+CS37-DB36)))</f>
        <v>233.60000000000008</v>
      </c>
      <c r="CU37" s="18">
        <f>CT37*VLOOKUP('Données projet'!$B$13,Paramètres!$A$1:$I$89,3,0)*VLOOKUP('Données projet'!$B$13,Paramètres!$A$1:$I$89,5,0)</f>
        <v>127.54560000000004</v>
      </c>
      <c r="CV37" s="14">
        <f t="shared" si="41"/>
        <v>33.428591950384806</v>
      </c>
      <c r="CW37" s="22">
        <f t="shared" si="13"/>
        <v>280.36338431358689</v>
      </c>
      <c r="CX37" s="62">
        <f t="shared" si="14"/>
        <v>573.69671764692021</v>
      </c>
      <c r="CY37" s="62">
        <f ca="1">AVERAGE(OFFSET($CX$3,0,0,'Données projet'!$E$13+1,1))-AVERAGE(OFFSET($H$3,0,0,'Données projet'!$E$13+1,1))</f>
        <v>303.14853302260451</v>
      </c>
      <c r="CZ37" s="62">
        <f t="shared" si="42"/>
        <v>298.74602928001929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10.879787575803599</v>
      </c>
      <c r="DG37" s="23">
        <f>EXP(-LN(2)/25)*DG36+(1-EXP(-LN(2)/25))/(LN(2)/25)*Calculateur!DB37*Calculateur!DD37*VLOOKUP('Données projet'!$B$13,Paramètres!$A$1:$I$89,3,0)*0.475*44/12</f>
        <v>23.885088018858184</v>
      </c>
      <c r="DH37" s="23">
        <f>EXP(-LN(2)/2)*DH36+(1-EXP(-LN(2)/2))/(LN(2)/2)*DB37*DE37*VLOOKUP('Données projet'!$B$13,Paramètres!$A$1:$I$89,3,0)*0.475*44/12</f>
        <v>2.4865176400857103</v>
      </c>
      <c r="DI37" s="24">
        <f t="shared" si="15"/>
        <v>37.251393234747489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70">
        <f t="shared" si="1"/>
        <v>256.66666666666669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4.3352272727272725</v>
      </c>
      <c r="N38" s="14">
        <f>IF('Données projet'!$A$36&gt;35,N37+M38-V37,IF(A38&lt;'Données projet'!$A$36,$K$205^A38,IF(A38='Données projet'!$A$36,'Données projet'!$B$36,N37+M38-V37)))</f>
        <v>151.7329545454545</v>
      </c>
      <c r="O38" s="14">
        <f>N38*VLOOKUP('Données projet'!$B$9,Paramètres!$A$1:$I$89,3,0)*VLOOKUP('Données projet'!$B$9,Paramètres!$A$1:$I$89,5,0)</f>
        <v>137.28797727272723</v>
      </c>
      <c r="P38" s="14">
        <f t="shared" si="33"/>
        <v>35.675013615107098</v>
      </c>
      <c r="Q38" s="22">
        <f t="shared" si="53"/>
        <v>301.24387579631144</v>
      </c>
      <c r="R38" s="62">
        <f t="shared" si="0"/>
        <v>594.57720912964476</v>
      </c>
      <c r="S38" s="62">
        <f ca="1">AVERAGE(OFFSET($R$3,0,0,'Données projet'!$E$9+1,1))-AVERAGE(OFFSET($H$3,0,0,'Données projet'!$E$9+1,1))</f>
        <v>441.6145113257511</v>
      </c>
      <c r="T38" s="62">
        <f t="shared" si="34"/>
        <v>295.8399381972477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24.333333333333332</v>
      </c>
      <c r="AI38" s="14">
        <f>IF('Données projet'!$A$62&gt;35,AI37+AH38-AQ37,IF(A38&lt;'Données projet'!$A$62,$AF$205^A38,IF(A38='Données projet'!$A$62,'Données projet'!$B$62,AI37+AH38-AQ37)))</f>
        <v>301.66666666666674</v>
      </c>
      <c r="AJ38" s="14">
        <f>AI38*VLOOKUP('Données projet'!$B$10,Paramètres!$A$1:$I$89,3,0)*VLOOKUP('Données projet'!$B$10,Paramètres!$A$1:$I$89,5,0)</f>
        <v>258.8300000000001</v>
      </c>
      <c r="AK38" s="14">
        <f t="shared" si="35"/>
        <v>62.472915810291624</v>
      </c>
      <c r="AL38" s="22">
        <f t="shared" si="4"/>
        <v>559.60257836959147</v>
      </c>
      <c r="AM38" s="62">
        <f t="shared" si="5"/>
        <v>852.93591170292484</v>
      </c>
      <c r="AN38" s="62">
        <f ca="1">AVERAGE(OFFSET($AM$3,0,0,'Données projet'!$E$10+1,1))-AVERAGE(OFFSET($H$3,0,0,'Données projet'!$E$10+1,1))</f>
        <v>623.31285537237943</v>
      </c>
      <c r="AO38" s="62">
        <f t="shared" si="36"/>
        <v>462.33909258902241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6.5564457917110053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6.5564457917110053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172</v>
      </c>
      <c r="BB38" s="13">
        <f>VLOOKUP(A38,'Données projet'!$A$87:$I$107,9,0)</f>
        <v>10.8</v>
      </c>
      <c r="BC38" s="13">
        <f t="array" ref="BC38">INDEX(BB:BB,MIN(IF(ISNUMBER(BB38:BB234),ROW(BB38:BB234),"")))</f>
        <v>10.8</v>
      </c>
      <c r="BD38" s="13">
        <f>IF('Données projet'!$A$88&gt;35,BD37+BC38-BL37,IF(A38&lt;'Données projet'!$A$88,$BA$205^A38,IF(A38='Données projet'!$A$88,'Données projet'!$B$88,BD37+BC38-BL37)))</f>
        <v>172.00000000000003</v>
      </c>
      <c r="BE38" s="14">
        <f>BD38*VLOOKUP('Données projet'!$B$11,Paramètres!$A$1:$I$89,3,0)*VLOOKUP('Données projet'!$B$11,Paramètres!$A$1:$I$89,5,0)</f>
        <v>136.84320000000002</v>
      </c>
      <c r="BF38" s="14">
        <f t="shared" si="37"/>
        <v>35.572869837729648</v>
      </c>
      <c r="BG38" s="22">
        <f t="shared" si="7"/>
        <v>300.2913216340458</v>
      </c>
      <c r="BH38" s="62">
        <f t="shared" si="8"/>
        <v>593.62465496737912</v>
      </c>
      <c r="BI38" s="62">
        <f ca="1">AVERAGE(OFFSET($BH$3,0,0,'Données projet'!$E$11+1,1))-AVERAGE(OFFSET($H$3,0,0,'Données projet'!$E$11+1,1))</f>
        <v>299.10536994156814</v>
      </c>
      <c r="BJ38" s="62">
        <f t="shared" si="38"/>
        <v>292.57799203101769</v>
      </c>
      <c r="BK38" s="16">
        <f>IF(ISNA(VLOOKUP(A38,'Données projet'!$A$87:$I$107,3,0)),0,VLOOKUP(A38,'Données projet'!$A$87:$I$107,3,0))</f>
        <v>5</v>
      </c>
      <c r="BL38" s="16">
        <f>IF(ISNA(VLOOKUP(A38,'Données projet'!$A$87:$I$107,4,0)),0,VLOOKUP(A38,'Données projet'!$A$87:$I$107,4,0))</f>
        <v>28</v>
      </c>
      <c r="BM38" s="17">
        <f>IF(ISNA(VLOOKUP(A38,'Données projet'!$A$87:$I$107,5,0)),0%,VLOOKUP(A38,'Données projet'!$A$87:$I$107,5,0)*VLOOKUP('Données projet'!$B$11,Paramètres!$A$1:$I$89,7,0))</f>
        <v>0.10600000000000001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2.6103923103826401</v>
      </c>
      <c r="BQ38" s="23">
        <f>EXP(-LN(2)/25)*BQ37+(1-EXP(-LN(2)/25))/(LN(2)/25)*Calculateur!BL38*Calculateur!BN38*VLOOKUP('Données projet'!$B$11,Paramètres!$A$1:$I$89,3,0)*0.475*44/12</f>
        <v>0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2.6103923103826401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7.371666666666667</v>
      </c>
      <c r="BY38" s="13">
        <f>IF('Données projet'!$A$114&gt;35,BY37+BX38-CG37,IF(A38&lt;'Données projet'!$A$114,$BV$205^A38,IF(A38='Données projet'!$A$114,'Données projet'!$B$114,BY37+BX38-CG37)))</f>
        <v>105.76666666666669</v>
      </c>
      <c r="BZ38" s="14">
        <f>BY38*VLOOKUP('Données projet'!$B$12,Paramètres!$A$1:$I$89,3,0)*VLOOKUP('Données projet'!$B$12,Paramètres!$A$1:$I$89,5,0)</f>
        <v>82.498000000000019</v>
      </c>
      <c r="CA38" s="14">
        <f t="shared" si="39"/>
        <v>22.746860847025957</v>
      </c>
      <c r="CB38" s="22">
        <f t="shared" si="10"/>
        <v>183.30146597523688</v>
      </c>
      <c r="CC38" s="62">
        <f t="shared" si="11"/>
        <v>476.63479930857022</v>
      </c>
      <c r="CD38" s="62">
        <f ca="1">AVERAGE(OFFSET($CC$3,0,0,'Données projet'!$E$12+1,1))-AVERAGE(OFFSET($H$3,0,0,'Données projet'!$E$12+1,1))</f>
        <v>197.51529454208725</v>
      </c>
      <c r="CE38" s="62">
        <f t="shared" si="40"/>
        <v>196.65362486387215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2.3717220965785031</v>
      </c>
      <c r="CL38" s="23">
        <f>EXP(-LN(2)/25)*CL37+(1-EXP(-LN(2)/25))/(LN(2)/25)*Calculateur!CG38*Calculateur!CI38*VLOOKUP('Données projet'!$B$12,Paramètres!$A$1:$I$89,3,0)*0.475*44/12</f>
        <v>0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2.3717220965785031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248</v>
      </c>
      <c r="CR38" s="13">
        <f>VLOOKUP(A38,'Données projet'!$A$139:$I$159,9,0)</f>
        <v>14.4</v>
      </c>
      <c r="CS38" s="13">
        <f t="array" ref="CS38">INDEX(CR:CR,MIN(IF(ISNUMBER(CR38:CR234),ROW(CR38:CR234),"")))</f>
        <v>14.4</v>
      </c>
      <c r="CT38" s="13">
        <f>IF('Données projet'!$A$140&gt;35,CT37+CS38-DB37,IF(A38&lt;'Données projet'!$A$140,$CQ$205^A38,IF(A38='Données projet'!$A$140,'Données projet'!$B$140,CT37+CS38-DB37)))</f>
        <v>248.00000000000009</v>
      </c>
      <c r="CU38" s="18">
        <f>CT38*VLOOKUP('Données projet'!$B$13,Paramètres!$A$1:$I$89,3,0)*VLOOKUP('Données projet'!$B$13,Paramètres!$A$1:$I$89,5,0)</f>
        <v>135.40800000000004</v>
      </c>
      <c r="CV38" s="14">
        <f t="shared" si="41"/>
        <v>35.243009677478732</v>
      </c>
      <c r="CW38" s="22">
        <f t="shared" si="13"/>
        <v>297.21717518827558</v>
      </c>
      <c r="CX38" s="62">
        <f t="shared" si="14"/>
        <v>590.55050852160889</v>
      </c>
      <c r="CY38" s="62">
        <f ca="1">AVERAGE(OFFSET($CX$3,0,0,'Données projet'!$E$13+1,1))-AVERAGE(OFFSET($H$3,0,0,'Données projet'!$E$13+1,1))</f>
        <v>303.14853302260451</v>
      </c>
      <c r="CZ38" s="62">
        <f t="shared" si="42"/>
        <v>298.74602928001929</v>
      </c>
      <c r="DA38" s="16">
        <f>IF(ISNA(VLOOKUP(A38,'Données projet'!$A$139:$I$159,3,0)),0,VLOOKUP(A38,'Données projet'!$A$139:$I$159,3,0))</f>
        <v>6</v>
      </c>
      <c r="DB38" s="16">
        <f>IF(ISNA(VLOOKUP(A38,'Données projet'!$A$139:$I$159,4,0)),0,VLOOKUP(A38,'Données projet'!$A$139:$I$159,4,0))</f>
        <v>42</v>
      </c>
      <c r="DC38" s="17">
        <f>IF(ISNA(VLOOKUP(A38,'Données projet'!$A$139:$I$159,5,0)),0%,VLOOKUP(A38,'Données projet'!$A$139:$I$159,5,0)*VLOOKUP('Données projet'!$B$13,Paramètres!$A$1:$I$89,7,0))</f>
        <v>0.24</v>
      </c>
      <c r="DD38" s="17">
        <f>IF(ISNA(VLOOKUP(A38,'Données projet'!$A$139:$I$159,6,0)),0%,VLOOKUP(A38,'Données projet'!$A$139:$I$159,6,0)*VLOOKUP('Données projet'!$B$13,Paramètres!$A$1:$I$89,7,0))</f>
        <v>0.20400000000000001</v>
      </c>
      <c r="DE38" s="17">
        <f>IF(ISNA(VLOOKUP(A38,'Données projet'!$A$139:$I$159,7,0)),0%,VLOOKUP(A38,'Données projet'!$A$139:$I$159,7,0))</f>
        <v>0.26</v>
      </c>
      <c r="DF38" s="23">
        <f>EXP(-LN(2)/35)*DF37+(1-EXP(-LN(2)/35))/(LN(2)/35)*DB38*DC38*VLOOKUP('Données projet'!$B$13,Paramètres!$A$1:$I$89,3,0)*0.475*44/12</f>
        <v>17.967427839570746</v>
      </c>
      <c r="DG38" s="23">
        <f>EXP(-LN(2)/25)*DG37+(1-EXP(-LN(2)/25))/(LN(2)/25)*Calculateur!DB38*Calculateur!DD38*VLOOKUP('Données projet'!$B$13,Paramètres!$A$1:$I$89,3,0)*0.475*44/12</f>
        <v>29.413352603630152</v>
      </c>
      <c r="DH38" s="23">
        <f>EXP(-LN(2)/2)*DH37+(1-EXP(-LN(2)/2))/(LN(2)/2)*DB38*DE38*VLOOKUP('Données projet'!$B$13,Paramètres!$A$1:$I$89,3,0)*0.475*44/12</f>
        <v>8.5089647570325759</v>
      </c>
      <c r="DI38" s="24">
        <f t="shared" si="15"/>
        <v>55.889745200233477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70">
        <f t="shared" si="1"/>
        <v>256.66666666666669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4.3352272727272725</v>
      </c>
      <c r="N39" s="14">
        <f>IF('Données projet'!$A$36&gt;35,N38+M39-V38,IF(A39&lt;'Données projet'!$A$36,$K$205^A39,IF(A39='Données projet'!$A$36,'Données projet'!$B$36,N38+M39-V38)))</f>
        <v>156.06818181818178</v>
      </c>
      <c r="O39" s="14">
        <f>N39*VLOOKUP('Données projet'!$B$9,Paramètres!$A$1:$I$89,3,0)*VLOOKUP('Données projet'!$B$9,Paramètres!$A$1:$I$89,5,0)</f>
        <v>141.21049090909085</v>
      </c>
      <c r="P39" s="14">
        <f t="shared" si="33"/>
        <v>36.574172865260337</v>
      </c>
      <c r="Q39" s="22">
        <f t="shared" si="53"/>
        <v>309.64162274032839</v>
      </c>
      <c r="R39" s="62">
        <f t="shared" si="0"/>
        <v>602.9749560736617</v>
      </c>
      <c r="S39" s="62">
        <f ca="1">AVERAGE(OFFSET($R$3,0,0,'Données projet'!$E$9+1,1))-AVERAGE(OFFSET($H$3,0,0,'Données projet'!$E$9+1,1))</f>
        <v>441.6145113257511</v>
      </c>
      <c r="T39" s="62">
        <f t="shared" si="34"/>
        <v>295.8399381972477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>
        <f>VLOOKUP(A39,'Données projet'!$A$61:$I$81,2,0)</f>
        <v>326</v>
      </c>
      <c r="AG39" s="13">
        <f>VLOOKUP(A39,'Données projet'!$A$61:$I$81,9,0)</f>
        <v>24.333333333333332</v>
      </c>
      <c r="AH39" s="13">
        <f t="array" ref="AH39">INDEX(AG:AG,MIN(IF(ISNUMBER(AG39:AG235),ROW(AG39:AG235),"")))</f>
        <v>24.333333333333332</v>
      </c>
      <c r="AI39" s="14">
        <f>IF('Données projet'!$A$62&gt;35,AI38+AH39-AQ38,IF(A39&lt;'Données projet'!$A$62,$AF$205^A39,IF(A39='Données projet'!$A$62,'Données projet'!$B$62,AI38+AH39-AQ38)))</f>
        <v>326.00000000000006</v>
      </c>
      <c r="AJ39" s="14">
        <f>AI39*VLOOKUP('Données projet'!$B$10,Paramètres!$A$1:$I$89,3,0)*VLOOKUP('Données projet'!$B$10,Paramètres!$A$1:$I$89,5,0)</f>
        <v>279.70800000000008</v>
      </c>
      <c r="AK39" s="14">
        <f t="shared" si="35"/>
        <v>66.905297140324564</v>
      </c>
      <c r="AL39" s="22">
        <f t="shared" si="4"/>
        <v>603.68482585273216</v>
      </c>
      <c r="AM39" s="62">
        <f t="shared" si="5"/>
        <v>897.01815918606553</v>
      </c>
      <c r="AN39" s="62">
        <f ca="1">AVERAGE(OFFSET($AM$3,0,0,'Données projet'!$E$10+1,1))-AVERAGE(OFFSET($H$3,0,0,'Données projet'!$E$10+1,1))</f>
        <v>623.31285537237943</v>
      </c>
      <c r="AO39" s="62">
        <f t="shared" si="36"/>
        <v>462.33909258902241</v>
      </c>
      <c r="AP39" s="16">
        <f>IF(ISNA(VLOOKUP(A39,'Données projet'!$A$61:$I$81,3,0)),0,VLOOKUP(A39,'Données projet'!$A$61:$I$81,3,0))</f>
        <v>6</v>
      </c>
      <c r="AQ39" s="16">
        <f>IF(ISNA(VLOOKUP(A39,'Données projet'!$A$61:$I$81,4,0)),0,VLOOKUP(A39,'Données projet'!$A$61:$I$81,4,0))</f>
        <v>92</v>
      </c>
      <c r="AR39" s="17">
        <f>IF(ISNA(VLOOKUP(A39,'Données projet'!$A$61:$I$81,5,0)),0%,VLOOKUP(A39,'Données projet'!$A$61:$I$81,5,0)*VLOOKUP('Données projet'!$B$10,Paramètres!$A$1:$I$89,7,0))</f>
        <v>0.21200000000000002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24.927296783080966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24.927296783080966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9.6</v>
      </c>
      <c r="BD39" s="13">
        <f>IF('Données projet'!$A$88&gt;35,BD38+BC39-BL38,IF(A39&lt;'Données projet'!$A$88,$BA$205^A39,IF(A39='Données projet'!$A$88,'Données projet'!$B$88,BD38+BC39-BL38)))</f>
        <v>153.60000000000002</v>
      </c>
      <c r="BE39" s="14">
        <f>BD39*VLOOKUP('Données projet'!$B$11,Paramètres!$A$1:$I$89,3,0)*VLOOKUP('Données projet'!$B$11,Paramètres!$A$1:$I$89,5,0)</f>
        <v>122.20416000000003</v>
      </c>
      <c r="BF39" s="14">
        <f t="shared" si="37"/>
        <v>32.188537573102472</v>
      </c>
      <c r="BG39" s="22">
        <f t="shared" si="7"/>
        <v>268.90061493982017</v>
      </c>
      <c r="BH39" s="62">
        <f t="shared" si="8"/>
        <v>562.23394827315349</v>
      </c>
      <c r="BI39" s="62">
        <f ca="1">AVERAGE(OFFSET($BH$3,0,0,'Données projet'!$E$11+1,1))-AVERAGE(OFFSET($H$3,0,0,'Données projet'!$E$11+1,1))</f>
        <v>299.10536994156814</v>
      </c>
      <c r="BJ39" s="62">
        <f t="shared" si="38"/>
        <v>292.57799203101769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2.5592041093581308</v>
      </c>
      <c r="BQ39" s="23">
        <f>EXP(-LN(2)/25)*BQ38+(1-EXP(-LN(2)/25))/(LN(2)/25)*Calculateur!BL39*Calculateur!BN39*VLOOKUP('Données projet'!$B$11,Paramètres!$A$1:$I$89,3,0)*0.475*44/12</f>
        <v>0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2.5592041093581308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7.371666666666667</v>
      </c>
      <c r="BY39" s="13">
        <f>IF('Données projet'!$A$114&gt;35,BY38+BX39-CG38,IF(A39&lt;'Données projet'!$A$114,$BV$205^A39,IF(A39='Données projet'!$A$114,'Données projet'!$B$114,BY38+BX39-CG38)))</f>
        <v>113.13833333333336</v>
      </c>
      <c r="BZ39" s="14">
        <f>BY39*VLOOKUP('Données projet'!$B$12,Paramètres!$A$1:$I$89,3,0)*VLOOKUP('Données projet'!$B$12,Paramètres!$A$1:$I$89,5,0)</f>
        <v>88.24790000000003</v>
      </c>
      <c r="CA39" s="14">
        <f t="shared" si="39"/>
        <v>24.142178383868604</v>
      </c>
      <c r="CB39" s="22">
        <f t="shared" si="10"/>
        <v>195.74605318523786</v>
      </c>
      <c r="CC39" s="62">
        <f t="shared" si="11"/>
        <v>489.07938651857114</v>
      </c>
      <c r="CD39" s="62">
        <f ca="1">AVERAGE(OFFSET($CC$3,0,0,'Données projet'!$E$12+1,1))-AVERAGE(OFFSET($H$3,0,0,'Données projet'!$E$12+1,1))</f>
        <v>197.51529454208725</v>
      </c>
      <c r="CE39" s="62">
        <f t="shared" si="40"/>
        <v>196.65362486387215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2.325214072872237</v>
      </c>
      <c r="CL39" s="23">
        <f>EXP(-LN(2)/25)*CL38+(1-EXP(-LN(2)/25))/(LN(2)/25)*Calculateur!CG39*Calculateur!CI39*VLOOKUP('Données projet'!$B$12,Paramètres!$A$1:$I$89,3,0)*0.475*44/12</f>
        <v>0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2.325214072872237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13.2</v>
      </c>
      <c r="CT39" s="13">
        <f>IF('Données projet'!$A$140&gt;35,CT38+CS39-DB38,IF(A39&lt;'Données projet'!$A$140,$CQ$205^A39,IF(A39='Données projet'!$A$140,'Données projet'!$B$140,CT38+CS39-DB38)))</f>
        <v>219.2000000000001</v>
      </c>
      <c r="CU39" s="18">
        <f>CT39*VLOOKUP('Données projet'!$B$13,Paramètres!$A$1:$I$89,3,0)*VLOOKUP('Données projet'!$B$13,Paramètres!$A$1:$I$89,5,0)</f>
        <v>119.68320000000006</v>
      </c>
      <c r="CV39" s="14">
        <f t="shared" si="41"/>
        <v>31.601099532596194</v>
      </c>
      <c r="CW39" s="22">
        <f t="shared" si="13"/>
        <v>263.48682168593848</v>
      </c>
      <c r="CX39" s="62">
        <f t="shared" si="14"/>
        <v>556.82015501927185</v>
      </c>
      <c r="CY39" s="62">
        <f ca="1">AVERAGE(OFFSET($CX$3,0,0,'Données projet'!$E$13+1,1))-AVERAGE(OFFSET($H$3,0,0,'Données projet'!$E$13+1,1))</f>
        <v>303.14853302260451</v>
      </c>
      <c r="CZ39" s="62">
        <f t="shared" si="42"/>
        <v>298.74602928001929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17.615097538685628</v>
      </c>
      <c r="DG39" s="23">
        <f>EXP(-LN(2)/25)*DG38+(1-EXP(-LN(2)/25))/(LN(2)/25)*Calculateur!DB39*Calculateur!DD39*VLOOKUP('Données projet'!$B$13,Paramètres!$A$1:$I$89,3,0)*0.475*44/12</f>
        <v>28.609042929902898</v>
      </c>
      <c r="DH39" s="23">
        <f>EXP(-LN(2)/2)*DH38+(1-EXP(-LN(2)/2))/(LN(2)/2)*DB39*DE39*VLOOKUP('Données projet'!$B$13,Paramètres!$A$1:$I$89,3,0)*0.475*44/12</f>
        <v>6.0167466805750784</v>
      </c>
      <c r="DI39" s="24">
        <f t="shared" si="15"/>
        <v>52.240887149163612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70">
        <f t="shared" si="1"/>
        <v>256.66666666666669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4.3352272727272725</v>
      </c>
      <c r="N40" s="14">
        <f>IF('Données projet'!$A$36&gt;35,N39+M40-V39,IF(A40&lt;'Données projet'!$A$36,$K$205^A40,IF(A40='Données projet'!$A$36,'Données projet'!$B$36,N39+M40-V39)))</f>
        <v>160.40340909090907</v>
      </c>
      <c r="O40" s="14">
        <f>N40*VLOOKUP('Données projet'!$B$9,Paramètres!$A$1:$I$89,3,0)*VLOOKUP('Données projet'!$B$9,Paramètres!$A$1:$I$89,5,0)</f>
        <v>145.13300454545453</v>
      </c>
      <c r="P40" s="14">
        <f t="shared" si="33"/>
        <v>37.470429134392994</v>
      </c>
      <c r="Q40" s="22">
        <f t="shared" si="53"/>
        <v>318.03431365906772</v>
      </c>
      <c r="R40" s="62">
        <f t="shared" si="0"/>
        <v>611.36764699240098</v>
      </c>
      <c r="S40" s="62">
        <f ca="1">AVERAGE(OFFSET($R$3,0,0,'Données projet'!$E$9+1,1))-AVERAGE(OFFSET($H$3,0,0,'Données projet'!$E$9+1,1))</f>
        <v>441.6145113257511</v>
      </c>
      <c r="T40" s="62">
        <f t="shared" si="34"/>
        <v>295.8399381972477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22.166666666666668</v>
      </c>
      <c r="AI40" s="14">
        <f>IF('Données projet'!$A$62&gt;35,AI39+AH40-AQ39,IF(A40&lt;'Données projet'!$A$62,$AF$205^A40,IF(A40='Données projet'!$A$62,'Données projet'!$B$62,AI39+AH40-AQ39)))</f>
        <v>256.16666666666674</v>
      </c>
      <c r="AJ40" s="14">
        <f>AI40*VLOOKUP('Données projet'!$B$10,Paramètres!$A$1:$I$89,3,0)*VLOOKUP('Données projet'!$B$10,Paramètres!$A$1:$I$89,5,0)</f>
        <v>219.79100000000008</v>
      </c>
      <c r="AK40" s="14">
        <f t="shared" si="35"/>
        <v>54.069458090781318</v>
      </c>
      <c r="AL40" s="22">
        <f t="shared" si="4"/>
        <v>476.97363117477761</v>
      </c>
      <c r="AM40" s="62">
        <f t="shared" si="5"/>
        <v>770.30696450811092</v>
      </c>
      <c r="AN40" s="62">
        <f ca="1">AVERAGE(OFFSET($AM$3,0,0,'Données projet'!$E$10+1,1))-AVERAGE(OFFSET($H$3,0,0,'Données projet'!$E$10+1,1))</f>
        <v>623.31285537237943</v>
      </c>
      <c r="AO40" s="62">
        <f t="shared" si="36"/>
        <v>462.33909258902241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24.4384876973145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24.4384876973145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9.6</v>
      </c>
      <c r="BD40" s="13">
        <f>IF('Données projet'!$A$88&gt;35,BD39+BC40-BL39,IF(A40&lt;'Données projet'!$A$88,$BA$205^A40,IF(A40='Données projet'!$A$88,'Données projet'!$B$88,BD39+BC40-BL39)))</f>
        <v>163.20000000000002</v>
      </c>
      <c r="BE40" s="14">
        <f>BD40*VLOOKUP('Données projet'!$B$11,Paramètres!$A$1:$I$89,3,0)*VLOOKUP('Données projet'!$B$11,Paramètres!$A$1:$I$89,5,0)</f>
        <v>129.84192000000002</v>
      </c>
      <c r="BF40" s="14">
        <f t="shared" si="37"/>
        <v>33.959829099416851</v>
      </c>
      <c r="BG40" s="22">
        <f t="shared" si="7"/>
        <v>285.288046348151</v>
      </c>
      <c r="BH40" s="62">
        <f t="shared" si="8"/>
        <v>578.62137968148431</v>
      </c>
      <c r="BI40" s="62">
        <f ca="1">AVERAGE(OFFSET($BH$3,0,0,'Données projet'!$E$11+1,1))-AVERAGE(OFFSET($H$3,0,0,'Données projet'!$E$11+1,1))</f>
        <v>299.10536994156814</v>
      </c>
      <c r="BJ40" s="62">
        <f t="shared" si="38"/>
        <v>292.57799203101769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2.5090196777339924</v>
      </c>
      <c r="BQ40" s="23">
        <f>EXP(-LN(2)/25)*BQ39+(1-EXP(-LN(2)/25))/(LN(2)/25)*Calculateur!BL40*Calculateur!BN40*VLOOKUP('Données projet'!$B$11,Paramètres!$A$1:$I$89,3,0)*0.475*44/12</f>
        <v>0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2.5090196777339924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>
        <f>VLOOKUP(A40,'Données projet'!$A$113:$I$133,2,0)</f>
        <v>120.51</v>
      </c>
      <c r="BW40" s="13">
        <f>VLOOKUP(A40,'Données projet'!$A$113:$I$133,9,0)</f>
        <v>7.371666666666667</v>
      </c>
      <c r="BX40" s="13">
        <f t="array" ref="BX40">INDEX(BW:BW,MIN(IF(ISNUMBER(BW40:BW236),ROW(BW40:BW236),"")))</f>
        <v>7.371666666666667</v>
      </c>
      <c r="BY40" s="13">
        <f>IF('Données projet'!$A$114&gt;35,BY39+BX40-CG39,IF(A40&lt;'Données projet'!$A$114,$BV$205^A40,IF(A40='Données projet'!$A$114,'Données projet'!$B$114,BY39+BX40-CG39)))</f>
        <v>120.51000000000003</v>
      </c>
      <c r="BZ40" s="14">
        <f>BY40*VLOOKUP('Données projet'!$B$12,Paramètres!$A$1:$I$89,3,0)*VLOOKUP('Données projet'!$B$12,Paramètres!$A$1:$I$89,5,0)</f>
        <v>93.997800000000026</v>
      </c>
      <c r="CA40" s="14">
        <f t="shared" si="39"/>
        <v>25.526945725475453</v>
      </c>
      <c r="CB40" s="22">
        <f t="shared" si="10"/>
        <v>208.17226547186976</v>
      </c>
      <c r="CC40" s="62">
        <f t="shared" si="11"/>
        <v>501.50559880520308</v>
      </c>
      <c r="CD40" s="62">
        <f ca="1">AVERAGE(OFFSET($CC$3,0,0,'Données projet'!$E$12+1,1))-AVERAGE(OFFSET($H$3,0,0,'Données projet'!$E$12+1,1))</f>
        <v>197.51529454208725</v>
      </c>
      <c r="CE40" s="62">
        <f t="shared" si="40"/>
        <v>196.65362486387215</v>
      </c>
      <c r="CF40" s="16">
        <f>IF(ISNA(VLOOKUP(A40,'Données projet'!$A$113:$I$133,3,0)),0,VLOOKUP(A40,'Données projet'!$A$113:$I$133,3,0))</f>
        <v>5</v>
      </c>
      <c r="CG40" s="16">
        <f>IF(ISNA(VLOOKUP(A40,'Données projet'!$A$113:$I$133,4,0)),0,VLOOKUP(A40,'Données projet'!$A$113:$I$133,4,0))</f>
        <v>23.08</v>
      </c>
      <c r="CH40" s="17">
        <f>IF(ISNA(VLOOKUP(A40,'Données projet'!$A$113:$I$133,5,0)),0%,VLOOKUP(A40,'Données projet'!$A$113:$I$133,5,0)*VLOOKUP('Données projet'!$B$12,Paramètres!$A$1:$I$89,7,0))</f>
        <v>0.17200000000000001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5.7026106763504423</v>
      </c>
      <c r="CL40" s="23">
        <f>EXP(-LN(2)/25)*CL39+(1-EXP(-LN(2)/25))/(LN(2)/25)*Calculateur!CG40*Calculateur!CI40*VLOOKUP('Données projet'!$B$12,Paramètres!$A$1:$I$89,3,0)*0.475*44/12</f>
        <v>0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5.7026106763504423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13.2</v>
      </c>
      <c r="CT40" s="13">
        <f>IF('Données projet'!$A$140&gt;35,CT39+CS40-DB39,IF(A40&lt;'Données projet'!$A$140,$CQ$205^A40,IF(A40='Données projet'!$A$140,'Données projet'!$B$140,CT39+CS40-DB39)))</f>
        <v>232.40000000000009</v>
      </c>
      <c r="CU40" s="18">
        <f>CT40*VLOOKUP('Données projet'!$B$13,Paramètres!$A$1:$I$89,3,0)*VLOOKUP('Données projet'!$B$13,Paramètres!$A$1:$I$89,5,0)</f>
        <v>126.89040000000004</v>
      </c>
      <c r="CV40" s="14">
        <f t="shared" si="41"/>
        <v>33.276812746552586</v>
      </c>
      <c r="CW40" s="22">
        <f t="shared" si="13"/>
        <v>278.95789553357918</v>
      </c>
      <c r="CX40" s="62">
        <f t="shared" si="14"/>
        <v>572.29122886691243</v>
      </c>
      <c r="CY40" s="62">
        <f ca="1">AVERAGE(OFFSET($CX$3,0,0,'Données projet'!$E$13+1,1))-AVERAGE(OFFSET($H$3,0,0,'Données projet'!$E$13+1,1))</f>
        <v>303.14853302260451</v>
      </c>
      <c r="CZ40" s="62">
        <f t="shared" si="42"/>
        <v>298.74602928001929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17.269676220100607</v>
      </c>
      <c r="DG40" s="23">
        <f>EXP(-LN(2)/25)*DG39+(1-EXP(-LN(2)/25))/(LN(2)/25)*Calculateur!DB40*Calculateur!DD40*VLOOKUP('Données projet'!$B$13,Paramètres!$A$1:$I$89,3,0)*0.475*44/12</f>
        <v>27.826727146500524</v>
      </c>
      <c r="DH40" s="23">
        <f>EXP(-LN(2)/2)*DH39+(1-EXP(-LN(2)/2))/(LN(2)/2)*DB40*DE40*VLOOKUP('Données projet'!$B$13,Paramètres!$A$1:$I$89,3,0)*0.475*44/12</f>
        <v>4.2544823785162889</v>
      </c>
      <c r="DI40" s="24">
        <f t="shared" si="15"/>
        <v>49.350885745117417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70">
        <f t="shared" si="1"/>
        <v>256.66666666666669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4.3352272727272725</v>
      </c>
      <c r="N41" s="14">
        <f>IF('Données projet'!$A$36&gt;35,N40+M41-V40,IF(A41&lt;'Données projet'!$A$36,$K$205^A41,IF(A41='Données projet'!$A$36,'Données projet'!$B$36,N40+M41-V40)))</f>
        <v>164.73863636363635</v>
      </c>
      <c r="O41" s="14">
        <f>N41*VLOOKUP('Données projet'!$B$9,Paramètres!$A$1:$I$89,3,0)*VLOOKUP('Données projet'!$B$9,Paramètres!$A$1:$I$89,5,0)</f>
        <v>149.05551818181817</v>
      </c>
      <c r="P41" s="14">
        <f t="shared" si="33"/>
        <v>38.36386989800318</v>
      </c>
      <c r="Q41" s="22">
        <f t="shared" si="53"/>
        <v>326.42210090568886</v>
      </c>
      <c r="R41" s="62">
        <f t="shared" si="0"/>
        <v>619.75543423902218</v>
      </c>
      <c r="S41" s="62">
        <f ca="1">AVERAGE(OFFSET($R$3,0,0,'Données projet'!$E$9+1,1))-AVERAGE(OFFSET($H$3,0,0,'Données projet'!$E$9+1,1))</f>
        <v>441.6145113257511</v>
      </c>
      <c r="T41" s="62">
        <f t="shared" si="34"/>
        <v>295.8399381972477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22.166666666666668</v>
      </c>
      <c r="AI41" s="14">
        <f>IF('Données projet'!$A$62&gt;35,AI40+AH41-AQ40,IF(A41&lt;'Données projet'!$A$62,$AF$205^A41,IF(A41='Données projet'!$A$62,'Données projet'!$B$62,AI40+AH41-AQ40)))</f>
        <v>278.33333333333343</v>
      </c>
      <c r="AJ41" s="14">
        <f>AI41*VLOOKUP('Données projet'!$B$10,Paramètres!$A$1:$I$89,3,0)*VLOOKUP('Données projet'!$B$10,Paramètres!$A$1:$I$89,5,0)</f>
        <v>238.81000000000012</v>
      </c>
      <c r="AK41" s="14">
        <f t="shared" si="35"/>
        <v>58.183422163472152</v>
      </c>
      <c r="AL41" s="22">
        <f t="shared" si="4"/>
        <v>517.26354360138077</v>
      </c>
      <c r="AM41" s="62">
        <f t="shared" si="5"/>
        <v>810.59687693471415</v>
      </c>
      <c r="AN41" s="62">
        <f ca="1">AVERAGE(OFFSET($AM$3,0,0,'Données projet'!$E$10+1,1))-AVERAGE(OFFSET($H$3,0,0,'Données projet'!$E$10+1,1))</f>
        <v>623.31285537237943</v>
      </c>
      <c r="AO41" s="62">
        <f t="shared" si="36"/>
        <v>462.33909258902241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23.959263859575813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23.959263859575813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9.6</v>
      </c>
      <c r="BD41" s="13">
        <f>IF('Données projet'!$A$88&gt;35,BD40+BC41-BL40,IF(A41&lt;'Données projet'!$A$88,$BA$205^A41,IF(A41='Données projet'!$A$88,'Données projet'!$B$88,BD40+BC41-BL40)))</f>
        <v>172.8</v>
      </c>
      <c r="BE41" s="14">
        <f>BD41*VLOOKUP('Données projet'!$B$11,Paramètres!$A$1:$I$89,3,0)*VLOOKUP('Données projet'!$B$11,Paramètres!$A$1:$I$89,5,0)</f>
        <v>137.47968000000003</v>
      </c>
      <c r="BF41" s="14">
        <f t="shared" si="37"/>
        <v>35.719026553355249</v>
      </c>
      <c r="BG41" s="22">
        <f t="shared" si="7"/>
        <v>301.65441391376049</v>
      </c>
      <c r="BH41" s="62">
        <f t="shared" si="8"/>
        <v>594.98774724709381</v>
      </c>
      <c r="BI41" s="62">
        <f ca="1">AVERAGE(OFFSET($BH$3,0,0,'Données projet'!$E$11+1,1))-AVERAGE(OFFSET($H$3,0,0,'Données projet'!$E$11+1,1))</f>
        <v>299.10536994156814</v>
      </c>
      <c r="BJ41" s="62">
        <f t="shared" si="38"/>
        <v>292.57799203101769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2.4598193322045225</v>
      </c>
      <c r="BQ41" s="23">
        <f>EXP(-LN(2)/25)*BQ40+(1-EXP(-LN(2)/25))/(LN(2)/25)*Calculateur!BL41*Calculateur!BN41*VLOOKUP('Données projet'!$B$11,Paramètres!$A$1:$I$89,3,0)*0.475*44/12</f>
        <v>0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2.4598193322045225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7.1442857142857132</v>
      </c>
      <c r="BY41" s="13">
        <f>IF('Données projet'!$A$114&gt;35,BY40+BX41-CG40,IF(A41&lt;'Données projet'!$A$114,$BV$205^A41,IF(A41='Données projet'!$A$114,'Données projet'!$B$114,BY40+BX41-CG40)))</f>
        <v>104.57428571428575</v>
      </c>
      <c r="BZ41" s="14">
        <f>BY41*VLOOKUP('Données projet'!$B$12,Paramètres!$A$1:$I$89,3,0)*VLOOKUP('Données projet'!$B$12,Paramètres!$A$1:$I$89,5,0)</f>
        <v>81.567942857142882</v>
      </c>
      <c r="CA41" s="14">
        <f t="shared" si="39"/>
        <v>22.520120163212084</v>
      </c>
      <c r="CB41" s="22">
        <f t="shared" si="10"/>
        <v>181.28670976045154</v>
      </c>
      <c r="CC41" s="62">
        <f t="shared" si="11"/>
        <v>474.62004309378483</v>
      </c>
      <c r="CD41" s="62">
        <f ca="1">AVERAGE(OFFSET($CC$3,0,0,'Données projet'!$E$12+1,1))-AVERAGE(OFFSET($H$3,0,0,'Données projet'!$E$12+1,1))</f>
        <v>197.51529454208725</v>
      </c>
      <c r="CE41" s="62">
        <f t="shared" si="40"/>
        <v>196.65362486387215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5.5907859592362739</v>
      </c>
      <c r="CL41" s="23">
        <f>EXP(-LN(2)/25)*CL40+(1-EXP(-LN(2)/25))/(LN(2)/25)*Calculateur!CG41*Calculateur!CI41*VLOOKUP('Données projet'!$B$12,Paramètres!$A$1:$I$89,3,0)*0.475*44/12</f>
        <v>0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5.5907859592362739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13.2</v>
      </c>
      <c r="CT41" s="13">
        <f>IF('Données projet'!$A$140&gt;35,CT40+CS41-DB40,IF(A41&lt;'Données projet'!$A$140,$CQ$205^A41,IF(A41='Données projet'!$A$140,'Données projet'!$B$140,CT40+CS41-DB40)))</f>
        <v>245.60000000000008</v>
      </c>
      <c r="CU41" s="18">
        <f>CT41*VLOOKUP('Données projet'!$B$13,Paramètres!$A$1:$I$89,3,0)*VLOOKUP('Données projet'!$B$13,Paramètres!$A$1:$I$89,5,0)</f>
        <v>134.09760000000006</v>
      </c>
      <c r="CV41" s="14">
        <f t="shared" si="41"/>
        <v>34.941477489420123</v>
      </c>
      <c r="CW41" s="22">
        <f t="shared" si="13"/>
        <v>294.40972662740677</v>
      </c>
      <c r="CX41" s="62">
        <f t="shared" si="14"/>
        <v>587.74305996074008</v>
      </c>
      <c r="CY41" s="62">
        <f ca="1">AVERAGE(OFFSET($CX$3,0,0,'Données projet'!$E$13+1,1))-AVERAGE(OFFSET($H$3,0,0,'Données projet'!$E$13+1,1))</f>
        <v>303.14853302260451</v>
      </c>
      <c r="CZ41" s="62">
        <f t="shared" si="42"/>
        <v>298.74602928001929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16.931028402886835</v>
      </c>
      <c r="DG41" s="23">
        <f>EXP(-LN(2)/25)*DG40+(1-EXP(-LN(2)/25))/(LN(2)/25)*Calculateur!DB41*Calculateur!DD41*VLOOKUP('Données projet'!$B$13,Paramètres!$A$1:$I$89,3,0)*0.475*44/12</f>
        <v>27.065803829335486</v>
      </c>
      <c r="DH41" s="23">
        <f>EXP(-LN(2)/2)*DH40+(1-EXP(-LN(2)/2))/(LN(2)/2)*DB41*DE41*VLOOKUP('Données projet'!$B$13,Paramètres!$A$1:$I$89,3,0)*0.475*44/12</f>
        <v>3.0083733402875401</v>
      </c>
      <c r="DI41" s="24">
        <f t="shared" si="15"/>
        <v>47.005205572509858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70">
        <f t="shared" si="1"/>
        <v>256.66666666666669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4.3352272727272725</v>
      </c>
      <c r="N42" s="14">
        <f>IF('Données projet'!$A$36&gt;35,N41+M42-V41,IF(A42&lt;'Données projet'!$A$36,$K$205^A42,IF(A42='Données projet'!$A$36,'Données projet'!$B$36,N41+M42-V41)))</f>
        <v>169.07386363636363</v>
      </c>
      <c r="O42" s="14">
        <f>N42*VLOOKUP('Données projet'!$B$9,Paramètres!$A$1:$I$89,3,0)*VLOOKUP('Données projet'!$B$9,Paramètres!$A$1:$I$89,5,0)</f>
        <v>152.97803181818179</v>
      </c>
      <c r="P42" s="14">
        <f t="shared" si="33"/>
        <v>39.254577765422866</v>
      </c>
      <c r="Q42" s="22">
        <f t="shared" si="53"/>
        <v>334.8051283581114</v>
      </c>
      <c r="R42" s="62">
        <f t="shared" si="0"/>
        <v>628.13846169144472</v>
      </c>
      <c r="S42" s="62">
        <f ca="1">AVERAGE(OFFSET($R$3,0,0,'Données projet'!$E$9+1,1))-AVERAGE(OFFSET($H$3,0,0,'Données projet'!$E$9+1,1))</f>
        <v>441.6145113257511</v>
      </c>
      <c r="T42" s="62">
        <f t="shared" si="34"/>
        <v>295.8399381972477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22.166666666666668</v>
      </c>
      <c r="AI42" s="14">
        <f>IF('Données projet'!$A$62&gt;35,AI41+AH42-AQ41,IF(A42&lt;'Données projet'!$A$62,$AF$205^A42,IF(A42='Données projet'!$A$62,'Données projet'!$B$62,AI41+AH42-AQ41)))</f>
        <v>300.50000000000011</v>
      </c>
      <c r="AJ42" s="14">
        <f>AI42*VLOOKUP('Données projet'!$B$10,Paramètres!$A$1:$I$89,3,0)*VLOOKUP('Données projet'!$B$10,Paramètres!$A$1:$I$89,5,0)</f>
        <v>257.82900000000012</v>
      </c>
      <c r="AK42" s="14">
        <f t="shared" si="35"/>
        <v>62.259382894267475</v>
      </c>
      <c r="AL42" s="22">
        <f t="shared" si="4"/>
        <v>557.48726687418275</v>
      </c>
      <c r="AM42" s="62">
        <f t="shared" si="5"/>
        <v>850.82060020751601</v>
      </c>
      <c r="AN42" s="62">
        <f ca="1">AVERAGE(OFFSET($AM$3,0,0,'Données projet'!$E$10+1,1))-AVERAGE(OFFSET($H$3,0,0,'Données projet'!$E$10+1,1))</f>
        <v>623.31285537237943</v>
      </c>
      <c r="AO42" s="62">
        <f t="shared" si="36"/>
        <v>462.33909258902241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23.489437308997502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23.489437308997502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9.6</v>
      </c>
      <c r="BD42" s="13">
        <f>IF('Données projet'!$A$88&gt;35,BD41+BC42-BL41,IF(A42&lt;'Données projet'!$A$88,$BA$205^A42,IF(A42='Données projet'!$A$88,'Données projet'!$B$88,BD41+BC42-BL41)))</f>
        <v>182.4</v>
      </c>
      <c r="BE42" s="14">
        <f>BD42*VLOOKUP('Données projet'!$B$11,Paramètres!$A$1:$I$89,3,0)*VLOOKUP('Données projet'!$B$11,Paramètres!$A$1:$I$89,5,0)</f>
        <v>145.11744000000002</v>
      </c>
      <c r="BF42" s="14">
        <f t="shared" si="37"/>
        <v>37.466878406916173</v>
      </c>
      <c r="BG42" s="22">
        <f t="shared" si="7"/>
        <v>318.00102122537902</v>
      </c>
      <c r="BH42" s="62">
        <f t="shared" si="8"/>
        <v>611.33435455871233</v>
      </c>
      <c r="BI42" s="62">
        <f ca="1">AVERAGE(OFFSET($BH$3,0,0,'Données projet'!$E$11+1,1))-AVERAGE(OFFSET($H$3,0,0,'Données projet'!$E$11+1,1))</f>
        <v>299.10536994156814</v>
      </c>
      <c r="BJ42" s="62">
        <f t="shared" si="38"/>
        <v>292.57799203101769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2.4115837754416383</v>
      </c>
      <c r="BQ42" s="23">
        <f>EXP(-LN(2)/25)*BQ41+(1-EXP(-LN(2)/25))/(LN(2)/25)*Calculateur!BL42*Calculateur!BN42*VLOOKUP('Données projet'!$B$11,Paramètres!$A$1:$I$89,3,0)*0.475*44/12</f>
        <v>0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2.4115837754416383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7.1442857142857132</v>
      </c>
      <c r="BY42" s="13">
        <f>IF('Données projet'!$A$114&gt;35,BY41+BX42-CG41,IF(A42&lt;'Données projet'!$A$114,$BV$205^A42,IF(A42='Données projet'!$A$114,'Données projet'!$B$114,BY41+BX42-CG41)))</f>
        <v>111.71857142857147</v>
      </c>
      <c r="BZ42" s="14">
        <f>BY42*VLOOKUP('Données projet'!$B$12,Paramètres!$A$1:$I$89,3,0)*VLOOKUP('Données projet'!$B$12,Paramètres!$A$1:$I$89,5,0)</f>
        <v>87.140485714285745</v>
      </c>
      <c r="CA42" s="14">
        <f t="shared" si="39"/>
        <v>23.874288407769061</v>
      </c>
      <c r="CB42" s="22">
        <f t="shared" si="10"/>
        <v>193.35073159591209</v>
      </c>
      <c r="CC42" s="62">
        <f t="shared" si="11"/>
        <v>486.68406492924544</v>
      </c>
      <c r="CD42" s="62">
        <f ca="1">AVERAGE(OFFSET($CC$3,0,0,'Données projet'!$E$12+1,1))-AVERAGE(OFFSET($H$3,0,0,'Données projet'!$E$12+1,1))</f>
        <v>197.51529454208725</v>
      </c>
      <c r="CE42" s="62">
        <f t="shared" si="40"/>
        <v>196.65362486387215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5.4811540566183723</v>
      </c>
      <c r="CL42" s="23">
        <f>EXP(-LN(2)/25)*CL41+(1-EXP(-LN(2)/25))/(LN(2)/25)*Calculateur!CG42*Calculateur!CI42*VLOOKUP('Données projet'!$B$12,Paramètres!$A$1:$I$89,3,0)*0.475*44/12</f>
        <v>0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5.4811540566183723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13.2</v>
      </c>
      <c r="CT42" s="13">
        <f>IF('Données projet'!$A$140&gt;35,CT41+CS42-DB41,IF(A42&lt;'Données projet'!$A$140,$CQ$205^A42,IF(A42='Données projet'!$A$140,'Données projet'!$B$140,CT41+CS42-DB41)))</f>
        <v>258.80000000000007</v>
      </c>
      <c r="CU42" s="18">
        <f>CT42*VLOOKUP('Données projet'!$B$13,Paramètres!$A$1:$I$89,3,0)*VLOOKUP('Données projet'!$B$13,Paramètres!$A$1:$I$89,5,0)</f>
        <v>141.30480000000003</v>
      </c>
      <c r="CV42" s="14">
        <f t="shared" si="41"/>
        <v>36.595755275288994</v>
      </c>
      <c r="CW42" s="22">
        <f t="shared" si="13"/>
        <v>309.84346710446169</v>
      </c>
      <c r="CX42" s="62">
        <f t="shared" si="14"/>
        <v>603.17680043779501</v>
      </c>
      <c r="CY42" s="62">
        <f ca="1">AVERAGE(OFFSET($CX$3,0,0,'Données projet'!$E$13+1,1))-AVERAGE(OFFSET($H$3,0,0,'Données projet'!$E$13+1,1))</f>
        <v>303.14853302260451</v>
      </c>
      <c r="CZ42" s="62">
        <f t="shared" si="42"/>
        <v>298.74602928001929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16.599021262813853</v>
      </c>
      <c r="DG42" s="23">
        <f>EXP(-LN(2)/25)*DG41+(1-EXP(-LN(2)/25))/(LN(2)/25)*Calculateur!DB42*Calculateur!DD42*VLOOKUP('Données projet'!$B$13,Paramètres!$A$1:$I$89,3,0)*0.475*44/12</f>
        <v>26.325688000293543</v>
      </c>
      <c r="DH42" s="23">
        <f>EXP(-LN(2)/2)*DH41+(1-EXP(-LN(2)/2))/(LN(2)/2)*DB42*DE42*VLOOKUP('Données projet'!$B$13,Paramètres!$A$1:$I$89,3,0)*0.475*44/12</f>
        <v>2.1272411892581449</v>
      </c>
      <c r="DI42" s="24">
        <f t="shared" si="15"/>
        <v>45.051950452365539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70">
        <f t="shared" si="1"/>
        <v>256.66666666666669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4.3352272727272725</v>
      </c>
      <c r="N43" s="14">
        <f>IF('Données projet'!$A$36&gt;35,N42+M43-V42,IF(A43&lt;'Données projet'!$A$36,$K$205^A43,IF(A43='Données projet'!$A$36,'Données projet'!$B$36,N42+M43-V42)))</f>
        <v>173.40909090909091</v>
      </c>
      <c r="O43" s="14">
        <f>N43*VLOOKUP('Données projet'!$B$9,Paramètres!$A$1:$I$89,3,0)*VLOOKUP('Données projet'!$B$9,Paramètres!$A$1:$I$89,5,0)</f>
        <v>156.90054545454544</v>
      </c>
      <c r="P43" s="14">
        <f t="shared" si="33"/>
        <v>40.142630868254045</v>
      </c>
      <c r="Q43" s="22">
        <f t="shared" si="53"/>
        <v>343.18353209554238</v>
      </c>
      <c r="R43" s="62">
        <f t="shared" si="0"/>
        <v>636.51686542887569</v>
      </c>
      <c r="S43" s="62">
        <f ca="1">AVERAGE(OFFSET($R$3,0,0,'Données projet'!$E$9+1,1))-AVERAGE(OFFSET($H$3,0,0,'Données projet'!$E$9+1,1))</f>
        <v>441.6145113257511</v>
      </c>
      <c r="T43" s="62">
        <f t="shared" si="34"/>
        <v>295.8399381972477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22.166666666666668</v>
      </c>
      <c r="AI43" s="14">
        <f>IF('Données projet'!$A$62&gt;35,AI42+AH43-AQ42,IF(A43&lt;'Données projet'!$A$62,$AF$205^A43,IF(A43='Données projet'!$A$62,'Données projet'!$B$62,AI42+AH43-AQ42)))</f>
        <v>322.6666666666668</v>
      </c>
      <c r="AJ43" s="14">
        <f>AI43*VLOOKUP('Données projet'!$B$10,Paramètres!$A$1:$I$89,3,0)*VLOOKUP('Données projet'!$B$10,Paramètres!$A$1:$I$89,5,0)</f>
        <v>276.84800000000013</v>
      </c>
      <c r="AK43" s="14">
        <f t="shared" si="35"/>
        <v>66.300462421409705</v>
      </c>
      <c r="AL43" s="22">
        <f t="shared" si="4"/>
        <v>597.65023871728874</v>
      </c>
      <c r="AM43" s="62">
        <f t="shared" si="5"/>
        <v>890.98357205062212</v>
      </c>
      <c r="AN43" s="62">
        <f ca="1">AVERAGE(OFFSET($AM$3,0,0,'Données projet'!$E$10+1,1))-AVERAGE(OFFSET($H$3,0,0,'Données projet'!$E$10+1,1))</f>
        <v>623.31285537237943</v>
      </c>
      <c r="AO43" s="62">
        <f t="shared" si="36"/>
        <v>462.33909258902241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23.028823770510133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23.028823770510133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192</v>
      </c>
      <c r="BB43" s="13">
        <f>VLOOKUP(A43,'Données projet'!$A$87:$I$107,9,0)</f>
        <v>9.6</v>
      </c>
      <c r="BC43" s="13">
        <f t="array" ref="BC43">INDEX(BB:BB,MIN(IF(ISNUMBER(BB43:BB239),ROW(BB43:BB239),"")))</f>
        <v>9.6</v>
      </c>
      <c r="BD43" s="13">
        <f>IF('Données projet'!$A$88&gt;35,BD42+BC43-BL42,IF(A43&lt;'Données projet'!$A$88,$BA$205^A43,IF(A43='Données projet'!$A$88,'Données projet'!$B$88,BD42+BC43-BL42)))</f>
        <v>192</v>
      </c>
      <c r="BE43" s="14">
        <f>BD43*VLOOKUP('Données projet'!$B$11,Paramètres!$A$1:$I$89,3,0)*VLOOKUP('Données projet'!$B$11,Paramètres!$A$1:$I$89,5,0)</f>
        <v>152.7552</v>
      </c>
      <c r="BF43" s="14">
        <f t="shared" si="37"/>
        <v>39.204049895729561</v>
      </c>
      <c r="BG43" s="22">
        <f t="shared" si="7"/>
        <v>334.32902690172892</v>
      </c>
      <c r="BH43" s="62">
        <f t="shared" si="8"/>
        <v>627.66236023506224</v>
      </c>
      <c r="BI43" s="62">
        <f ca="1">AVERAGE(OFFSET($BH$3,0,0,'Données projet'!$E$11+1,1))-AVERAGE(OFFSET($H$3,0,0,'Données projet'!$E$11+1,1))</f>
        <v>299.10536994156814</v>
      </c>
      <c r="BJ43" s="62">
        <f t="shared" si="38"/>
        <v>292.57799203101769</v>
      </c>
      <c r="BK43" s="16">
        <f>IF(ISNA(VLOOKUP(A43,'Données projet'!$A$87:$I$107,3,0)),0,VLOOKUP(A43,'Données projet'!$A$87:$I$107,3,0))</f>
        <v>6</v>
      </c>
      <c r="BL43" s="16">
        <f>IF(ISNA(VLOOKUP(A43,'Données projet'!$A$87:$I$107,4,0)),0,VLOOKUP(A43,'Données projet'!$A$87:$I$107,4,0))</f>
        <v>28</v>
      </c>
      <c r="BM43" s="17">
        <f>IF(ISNA(VLOOKUP(A43,'Données projet'!$A$87:$I$107,5,0)),0%,VLOOKUP(A43,'Données projet'!$A$87:$I$107,5,0)*VLOOKUP('Données projet'!$B$11,Paramètres!$A$1:$I$89,7,0))</f>
        <v>0.159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6.2798825541000491</v>
      </c>
      <c r="BQ43" s="23">
        <f>EXP(-LN(2)/25)*BQ42+(1-EXP(-LN(2)/25))/(LN(2)/25)*Calculateur!BL43*Calculateur!BN43*VLOOKUP('Données projet'!$B$11,Paramètres!$A$1:$I$89,3,0)*0.475*44/12</f>
        <v>0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6.2798825541000491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7.1442857142857132</v>
      </c>
      <c r="BY43" s="13">
        <f>IF('Données projet'!$A$114&gt;35,BY42+BX43-CG42,IF(A43&lt;'Données projet'!$A$114,$BV$205^A43,IF(A43='Données projet'!$A$114,'Données projet'!$B$114,BY42+BX43-CG42)))</f>
        <v>118.86285714285718</v>
      </c>
      <c r="BZ43" s="14">
        <f>BY43*VLOOKUP('Données projet'!$B$12,Paramètres!$A$1:$I$89,3,0)*VLOOKUP('Données projet'!$B$12,Paramètres!$A$1:$I$89,5,0)</f>
        <v>92.713028571428609</v>
      </c>
      <c r="CA43" s="14">
        <f t="shared" si="39"/>
        <v>25.218406881218289</v>
      </c>
      <c r="CB43" s="22">
        <f t="shared" si="10"/>
        <v>205.39725008002665</v>
      </c>
      <c r="CC43" s="62">
        <f t="shared" si="11"/>
        <v>498.73058341335997</v>
      </c>
      <c r="CD43" s="62">
        <f ca="1">AVERAGE(OFFSET($CC$3,0,0,'Données projet'!$E$12+1,1))-AVERAGE(OFFSET($H$3,0,0,'Données projet'!$E$12+1,1))</f>
        <v>197.51529454208725</v>
      </c>
      <c r="CE43" s="62">
        <f t="shared" si="40"/>
        <v>196.65362486387215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5.3736719687419496</v>
      </c>
      <c r="CL43" s="23">
        <f>EXP(-LN(2)/25)*CL42+(1-EXP(-LN(2)/25))/(LN(2)/25)*Calculateur!CG43*Calculateur!CI43*VLOOKUP('Données projet'!$B$12,Paramètres!$A$1:$I$89,3,0)*0.475*44/12</f>
        <v>0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5.3736719687419496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272</v>
      </c>
      <c r="CR43" s="13">
        <f>VLOOKUP(A43,'Données projet'!$A$139:$I$159,9,0)</f>
        <v>13.2</v>
      </c>
      <c r="CS43" s="13">
        <f t="array" ref="CS43">INDEX(CR:CR,MIN(IF(ISNUMBER(CR43:CR239),ROW(CR43:CR239),"")))</f>
        <v>13.2</v>
      </c>
      <c r="CT43" s="13">
        <f>IF('Données projet'!$A$140&gt;35,CT42+CS43-DB42,IF(A43&lt;'Données projet'!$A$140,$CQ$205^A43,IF(A43='Données projet'!$A$140,'Données projet'!$B$140,CT42+CS43-DB42)))</f>
        <v>272.00000000000006</v>
      </c>
      <c r="CU43" s="18">
        <f>CT43*VLOOKUP('Données projet'!$B$13,Paramètres!$A$1:$I$89,3,0)*VLOOKUP('Données projet'!$B$13,Paramètres!$A$1:$I$89,5,0)</f>
        <v>148.51200000000003</v>
      </c>
      <c r="CV43" s="14">
        <f t="shared" si="41"/>
        <v>38.240236326053513</v>
      </c>
      <c r="CW43" s="22">
        <f t="shared" si="13"/>
        <v>325.26014493454323</v>
      </c>
      <c r="CX43" s="62">
        <f t="shared" si="14"/>
        <v>618.59347826787655</v>
      </c>
      <c r="CY43" s="62">
        <f ca="1">AVERAGE(OFFSET($CX$3,0,0,'Données projet'!$E$13+1,1))-AVERAGE(OFFSET($H$3,0,0,'Données projet'!$E$13+1,1))</f>
        <v>303.14853302260451</v>
      </c>
      <c r="CZ43" s="62">
        <f t="shared" si="42"/>
        <v>298.74602928001929</v>
      </c>
      <c r="DA43" s="16">
        <f>IF(ISNA(VLOOKUP(A43,'Données projet'!$A$139:$I$159,3,0)),0,VLOOKUP(A43,'Données projet'!$A$139:$I$159,3,0))</f>
        <v>7</v>
      </c>
      <c r="DB43" s="16">
        <f>IF(ISNA(VLOOKUP(A43,'Données projet'!$A$139:$I$159,4,0)),0,VLOOKUP(A43,'Données projet'!$A$139:$I$159,4,0))</f>
        <v>38</v>
      </c>
      <c r="DC43" s="17">
        <f>IF(ISNA(VLOOKUP(A43,'Données projet'!$A$139:$I$159,5,0)),0%,VLOOKUP(A43,'Données projet'!$A$139:$I$159,5,0)*VLOOKUP('Données projet'!$B$13,Paramètres!$A$1:$I$89,7,0))</f>
        <v>0.24</v>
      </c>
      <c r="DD43" s="17">
        <f>IF(ISNA(VLOOKUP(A43,'Données projet'!$A$139:$I$159,6,0)),0%,VLOOKUP(A43,'Données projet'!$A$139:$I$159,6,0)*VLOOKUP('Données projet'!$B$13,Paramètres!$A$1:$I$89,7,0))</f>
        <v>0.20400000000000001</v>
      </c>
      <c r="DE43" s="17">
        <f>IF(ISNA(VLOOKUP(A43,'Données projet'!$A$139:$I$159,7,0)),0%,VLOOKUP(A43,'Données projet'!$A$139:$I$159,7,0))</f>
        <v>0.26</v>
      </c>
      <c r="DF43" s="23">
        <f>EXP(-LN(2)/35)*DF42+(1-EXP(-LN(2)/35))/(LN(2)/35)*DB43*DC43*VLOOKUP('Données projet'!$B$13,Paramètres!$A$1:$I$89,3,0)*0.475*44/12</f>
        <v>22.879178817403638</v>
      </c>
      <c r="DG43" s="23">
        <f>EXP(-LN(2)/25)*DG42+(1-EXP(-LN(2)/25))/(LN(2)/25)*Calculateur!DB43*Calculateur!DD43*VLOOKUP('Données projet'!$B$13,Paramètres!$A$1:$I$89,3,0)*0.475*44/12</f>
        <v>31.198509148064744</v>
      </c>
      <c r="DH43" s="23">
        <f>EXP(-LN(2)/2)*DH42+(1-EXP(-LN(2)/2))/(LN(2)/2)*DB43*DE43*VLOOKUP('Données projet'!$B$13,Paramètres!$A$1:$I$89,3,0)*0.475*44/12</f>
        <v>7.6119911545043406</v>
      </c>
      <c r="DI43" s="24">
        <f t="shared" si="15"/>
        <v>61.689679119972723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70">
        <f t="shared" si="1"/>
        <v>256.66666666666669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4.3352272727272725</v>
      </c>
      <c r="N44" s="14">
        <f>IF('Données projet'!$A$36&gt;35,N43+M44-V43,IF(A44&lt;'Données projet'!$A$36,$K$205^A44,IF(A44='Données projet'!$A$36,'Données projet'!$B$36,N43+M44-V43)))</f>
        <v>177.74431818181819</v>
      </c>
      <c r="O44" s="14">
        <f>N44*VLOOKUP('Données projet'!$B$9,Paramètres!$A$1:$I$89,3,0)*VLOOKUP('Données projet'!$B$9,Paramètres!$A$1:$I$89,5,0)</f>
        <v>160.82305909090911</v>
      </c>
      <c r="P44" s="14">
        <f t="shared" si="33"/>
        <v>41.02810320886806</v>
      </c>
      <c r="Q44" s="22">
        <f t="shared" si="53"/>
        <v>351.55744100544524</v>
      </c>
      <c r="R44" s="62">
        <f t="shared" si="0"/>
        <v>644.89077433877856</v>
      </c>
      <c r="S44" s="62">
        <f ca="1">AVERAGE(OFFSET($R$3,0,0,'Données projet'!$E$9+1,1))-AVERAGE(OFFSET($H$3,0,0,'Données projet'!$E$9+1,1))</f>
        <v>441.6145113257511</v>
      </c>
      <c r="T44" s="62">
        <f t="shared" si="34"/>
        <v>295.8399381972477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22.166666666666668</v>
      </c>
      <c r="AI44" s="14">
        <f>IF('Données projet'!$A$62&gt;35,AI43+AH44-AQ43,IF(A44&lt;'Données projet'!$A$62,$AF$205^A44,IF(A44='Données projet'!$A$62,'Données projet'!$B$62,AI43+AH44-AQ43)))</f>
        <v>344.83333333333348</v>
      </c>
      <c r="AJ44" s="14">
        <f>AI44*VLOOKUP('Données projet'!$B$10,Paramètres!$A$1:$I$89,3,0)*VLOOKUP('Données projet'!$B$10,Paramètres!$A$1:$I$89,5,0)</f>
        <v>295.86700000000019</v>
      </c>
      <c r="AK44" s="14">
        <f t="shared" si="35"/>
        <v>70.30932962785549</v>
      </c>
      <c r="AL44" s="22">
        <f t="shared" si="4"/>
        <v>637.75710743518198</v>
      </c>
      <c r="AM44" s="62">
        <f t="shared" si="5"/>
        <v>931.09044076851524</v>
      </c>
      <c r="AN44" s="62">
        <f ca="1">AVERAGE(OFFSET($AM$3,0,0,'Données projet'!$E$10+1,1))-AVERAGE(OFFSET($H$3,0,0,'Données projet'!$E$10+1,1))</f>
        <v>623.31285537237943</v>
      </c>
      <c r="AO44" s="62">
        <f t="shared" si="36"/>
        <v>462.33909258902241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22.577242582565983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22.577242582565983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8.1999999999999993</v>
      </c>
      <c r="BD44" s="13">
        <f>IF('Données projet'!$A$88&gt;35,BD43+BC44-BL43,IF(A44&lt;'Données projet'!$A$88,$BA$205^A44,IF(A44='Données projet'!$A$88,'Données projet'!$B$88,BD43+BC44-BL43)))</f>
        <v>172.2</v>
      </c>
      <c r="BE44" s="14">
        <f>BD44*VLOOKUP('Données projet'!$B$11,Paramètres!$A$1:$I$89,3,0)*VLOOKUP('Données projet'!$B$11,Paramètres!$A$1:$I$89,5,0)</f>
        <v>137.00232</v>
      </c>
      <c r="BF44" s="14">
        <f t="shared" si="37"/>
        <v>35.609416420931346</v>
      </c>
      <c r="BG44" s="22">
        <f t="shared" si="7"/>
        <v>300.63210759978875</v>
      </c>
      <c r="BH44" s="62">
        <f t="shared" si="8"/>
        <v>593.96544093312207</v>
      </c>
      <c r="BI44" s="62">
        <f ca="1">AVERAGE(OFFSET($BH$3,0,0,'Données projet'!$E$11+1,1))-AVERAGE(OFFSET($H$3,0,0,'Données projet'!$E$11+1,1))</f>
        <v>299.10536994156814</v>
      </c>
      <c r="BJ44" s="62">
        <f t="shared" si="38"/>
        <v>292.57799203101769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6.1567378875642893</v>
      </c>
      <c r="BQ44" s="23">
        <f>EXP(-LN(2)/25)*BQ43+(1-EXP(-LN(2)/25))/(LN(2)/25)*Calculateur!BL44*Calculateur!BN44*VLOOKUP('Données projet'!$B$11,Paramètres!$A$1:$I$89,3,0)*0.475*44/12</f>
        <v>0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6.1567378875642893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7.1442857142857132</v>
      </c>
      <c r="BY44" s="13">
        <f>IF('Données projet'!$A$114&gt;35,BY43+BX44-CG43,IF(A44&lt;'Données projet'!$A$114,$BV$205^A44,IF(A44='Données projet'!$A$114,'Données projet'!$B$114,BY43+BX44-CG43)))</f>
        <v>126.0071428571429</v>
      </c>
      <c r="BZ44" s="14">
        <f>BY44*VLOOKUP('Données projet'!$B$12,Paramètres!$A$1:$I$89,3,0)*VLOOKUP('Données projet'!$B$12,Paramètres!$A$1:$I$89,5,0)</f>
        <v>98.285571428571458</v>
      </c>
      <c r="CA44" s="14">
        <f t="shared" si="39"/>
        <v>26.553148419324888</v>
      </c>
      <c r="CB44" s="22">
        <f t="shared" si="10"/>
        <v>217.42743706841944</v>
      </c>
      <c r="CC44" s="62">
        <f t="shared" si="11"/>
        <v>510.76077040175278</v>
      </c>
      <c r="CD44" s="62">
        <f ca="1">AVERAGE(OFFSET($CC$3,0,0,'Données projet'!$E$12+1,1))-AVERAGE(OFFSET($H$3,0,0,'Données projet'!$E$12+1,1))</f>
        <v>197.51529454208725</v>
      </c>
      <c r="CE44" s="62">
        <f t="shared" si="40"/>
        <v>196.65362486387215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5.2682975390511828</v>
      </c>
      <c r="CL44" s="23">
        <f>EXP(-LN(2)/25)*CL43+(1-EXP(-LN(2)/25))/(LN(2)/25)*Calculateur!CG44*Calculateur!CI44*VLOOKUP('Données projet'!$B$12,Paramètres!$A$1:$I$89,3,0)*0.475*44/12</f>
        <v>0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5.2682975390511828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11.8</v>
      </c>
      <c r="CT44" s="13">
        <f>IF('Données projet'!$A$140&gt;35,CT43+CS44-DB43,IF(A44&lt;'Données projet'!$A$140,$CQ$205^A44,IF(A44='Données projet'!$A$140,'Données projet'!$B$140,CT43+CS44-DB43)))</f>
        <v>245.80000000000007</v>
      </c>
      <c r="CU44" s="18">
        <f>CT44*VLOOKUP('Données projet'!$B$13,Paramètres!$A$1:$I$89,3,0)*VLOOKUP('Données projet'!$B$13,Paramètres!$A$1:$I$89,5,0)</f>
        <v>134.20680000000002</v>
      </c>
      <c r="CV44" s="14">
        <f t="shared" si="41"/>
        <v>34.966618227769111</v>
      </c>
      <c r="CW44" s="22">
        <f t="shared" si="13"/>
        <v>294.64370341336456</v>
      </c>
      <c r="CX44" s="62">
        <f t="shared" si="14"/>
        <v>587.97703674669788</v>
      </c>
      <c r="CY44" s="62">
        <f ca="1">AVERAGE(OFFSET($CX$3,0,0,'Données projet'!$E$13+1,1))-AVERAGE(OFFSET($H$3,0,0,'Données projet'!$E$13+1,1))</f>
        <v>303.14853302260451</v>
      </c>
      <c r="CZ44" s="62">
        <f t="shared" si="42"/>
        <v>298.74602928001929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22.430532075715497</v>
      </c>
      <c r="DG44" s="23">
        <f>EXP(-LN(2)/25)*DG43+(1-EXP(-LN(2)/25))/(LN(2)/25)*Calculateur!DB44*Calculateur!DD44*VLOOKUP('Données projet'!$B$13,Paramètres!$A$1:$I$89,3,0)*0.475*44/12</f>
        <v>30.345384274752622</v>
      </c>
      <c r="DH44" s="23">
        <f>EXP(-LN(2)/2)*DH43+(1-EXP(-LN(2)/2))/(LN(2)/2)*DB44*DE44*VLOOKUP('Données projet'!$B$13,Paramètres!$A$1:$I$89,3,0)*0.475*44/12</f>
        <v>5.3824905636820368</v>
      </c>
      <c r="DI44" s="24">
        <f t="shared" si="15"/>
        <v>58.158406914150163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70">
        <f t="shared" si="1"/>
        <v>256.66666666666669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4.3352272727272725</v>
      </c>
      <c r="N45" s="14">
        <f>IF('Données projet'!$A$36&gt;35,N44+M45-V44,IF(A45&lt;'Données projet'!$A$36,$K$205^A45,IF(A45='Données projet'!$A$36,'Données projet'!$B$36,N44+M45-V44)))</f>
        <v>182.07954545454547</v>
      </c>
      <c r="O45" s="14">
        <f>N45*VLOOKUP('Données projet'!$B$9,Paramètres!$A$1:$I$89,3,0)*VLOOKUP('Données projet'!$B$9,Paramètres!$A$1:$I$89,5,0)</f>
        <v>164.74557272727273</v>
      </c>
      <c r="P45" s="14">
        <f t="shared" si="33"/>
        <v>41.911064973947369</v>
      </c>
      <c r="Q45" s="22">
        <f t="shared" si="53"/>
        <v>359.926977329625</v>
      </c>
      <c r="R45" s="62">
        <f t="shared" si="0"/>
        <v>653.26031066295832</v>
      </c>
      <c r="S45" s="62">
        <f ca="1">AVERAGE(OFFSET($R$3,0,0,'Données projet'!$E$9+1,1))-AVERAGE(OFFSET($H$3,0,0,'Données projet'!$E$9+1,1))</f>
        <v>441.6145113257511</v>
      </c>
      <c r="T45" s="62">
        <f t="shared" si="34"/>
        <v>295.8399381972477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>
        <f>VLOOKUP(A45,'Données projet'!$A$61:$I$81,2,0)</f>
        <v>367</v>
      </c>
      <c r="AG45" s="13">
        <f>VLOOKUP(A45,'Données projet'!$A$61:$I$81,9,0)</f>
        <v>22.166666666666668</v>
      </c>
      <c r="AH45" s="13">
        <f t="array" ref="AH45">INDEX(AG:AG,MIN(IF(ISNUMBER(AG45:AG241),ROW(AG45:AG241),"")))</f>
        <v>22.166666666666668</v>
      </c>
      <c r="AI45" s="14">
        <f>IF('Données projet'!$A$62&gt;35,AI44+AH45-AQ44,IF(A45&lt;'Données projet'!$A$62,$AF$205^A45,IF(A45='Données projet'!$A$62,'Données projet'!$B$62,AI44+AH45-AQ44)))</f>
        <v>367.00000000000017</v>
      </c>
      <c r="AJ45" s="14">
        <f>AI45*VLOOKUP('Données projet'!$B$10,Paramètres!$A$1:$I$89,3,0)*VLOOKUP('Données projet'!$B$10,Paramètres!$A$1:$I$89,5,0)</f>
        <v>314.88600000000019</v>
      </c>
      <c r="AK45" s="14">
        <f t="shared" si="35"/>
        <v>74.288290872440228</v>
      </c>
      <c r="AL45" s="22">
        <f t="shared" si="4"/>
        <v>677.81188993616718</v>
      </c>
      <c r="AM45" s="62">
        <f t="shared" si="5"/>
        <v>971.14522326950055</v>
      </c>
      <c r="AN45" s="62">
        <f ca="1">AVERAGE(OFFSET($AM$3,0,0,'Données projet'!$E$10+1,1))-AVERAGE(OFFSET($H$3,0,0,'Données projet'!$E$10+1,1))</f>
        <v>623.31285537237943</v>
      </c>
      <c r="AO45" s="62">
        <f t="shared" si="36"/>
        <v>462.33909258902241</v>
      </c>
      <c r="AP45" s="16">
        <f>IF(ISNA(VLOOKUP(A45,'Données projet'!$A$61:$I$81,3,0)),0,VLOOKUP(A45,'Données projet'!$A$61:$I$81,3,0))</f>
        <v>7</v>
      </c>
      <c r="AQ45" s="16">
        <f>IF(ISNA(VLOOKUP(A45,'Données projet'!$A$61:$I$81,4,0)),0,VLOOKUP(A45,'Données projet'!$A$61:$I$81,4,0))</f>
        <v>90</v>
      </c>
      <c r="AR45" s="17">
        <f>IF(ISNA(VLOOKUP(A45,'Données projet'!$A$61:$I$81,5,0)),0%,VLOOKUP(A45,'Données projet'!$A$61:$I$81,5,0)*VLOOKUP('Données projet'!$B$10,Paramètres!$A$1:$I$89,7,0))</f>
        <v>0.26500000000000001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44.756088643776707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44.756088643776707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8.1999999999999993</v>
      </c>
      <c r="BD45" s="13">
        <f>IF('Données projet'!$A$88&gt;35,BD44+BC45-BL44,IF(A45&lt;'Données projet'!$A$88,$BA$205^A45,IF(A45='Données projet'!$A$88,'Données projet'!$B$88,BD44+BC45-BL44)))</f>
        <v>180.39999999999998</v>
      </c>
      <c r="BE45" s="14">
        <f>BD45*VLOOKUP('Données projet'!$B$11,Paramètres!$A$1:$I$89,3,0)*VLOOKUP('Données projet'!$B$11,Paramètres!$A$1:$I$89,5,0)</f>
        <v>143.52624</v>
      </c>
      <c r="BF45" s="14">
        <f t="shared" si="37"/>
        <v>37.103644337236275</v>
      </c>
      <c r="BG45" s="22">
        <f t="shared" si="7"/>
        <v>314.59704855401981</v>
      </c>
      <c r="BH45" s="62">
        <f t="shared" si="8"/>
        <v>607.93038188735318</v>
      </c>
      <c r="BI45" s="62">
        <f ca="1">AVERAGE(OFFSET($BH$3,0,0,'Données projet'!$E$11+1,1))-AVERAGE(OFFSET($H$3,0,0,'Données projet'!$E$11+1,1))</f>
        <v>299.10536994156814</v>
      </c>
      <c r="BJ45" s="62">
        <f t="shared" si="38"/>
        <v>292.57799203101769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6.0360080128284661</v>
      </c>
      <c r="BQ45" s="23">
        <f>EXP(-LN(2)/25)*BQ44+(1-EXP(-LN(2)/25))/(LN(2)/25)*Calculateur!BL45*Calculateur!BN45*VLOOKUP('Données projet'!$B$11,Paramètres!$A$1:$I$89,3,0)*0.475*44/12</f>
        <v>0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6.0360080128284661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7.1442857142857132</v>
      </c>
      <c r="BY45" s="13">
        <f>IF('Données projet'!$A$114&gt;35,BY44+BX45-CG44,IF(A45&lt;'Données projet'!$A$114,$BV$205^A45,IF(A45='Données projet'!$A$114,'Données projet'!$B$114,BY44+BX45-CG44)))</f>
        <v>133.1514285714286</v>
      </c>
      <c r="BZ45" s="14">
        <f>BY45*VLOOKUP('Données projet'!$B$12,Paramètres!$A$1:$I$89,3,0)*VLOOKUP('Données projet'!$B$12,Paramètres!$A$1:$I$89,5,0)</f>
        <v>103.85811428571431</v>
      </c>
      <c r="CA45" s="14">
        <f t="shared" si="39"/>
        <v>27.87910525236348</v>
      </c>
      <c r="CB45" s="22">
        <f t="shared" si="10"/>
        <v>229.4423240288188</v>
      </c>
      <c r="CC45" s="62">
        <f t="shared" si="11"/>
        <v>522.77565736215206</v>
      </c>
      <c r="CD45" s="62">
        <f ca="1">AVERAGE(OFFSET($CC$3,0,0,'Données projet'!$E$12+1,1))-AVERAGE(OFFSET($H$3,0,0,'Données projet'!$E$12+1,1))</f>
        <v>197.51529454208725</v>
      </c>
      <c r="CE45" s="62">
        <f t="shared" si="40"/>
        <v>196.65362486387215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5.1649894376545964</v>
      </c>
      <c r="CL45" s="23">
        <f>EXP(-LN(2)/25)*CL44+(1-EXP(-LN(2)/25))/(LN(2)/25)*Calculateur!CG45*Calculateur!CI45*VLOOKUP('Données projet'!$B$12,Paramètres!$A$1:$I$89,3,0)*0.475*44/12</f>
        <v>0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5.1649894376545964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11.8</v>
      </c>
      <c r="CT45" s="13">
        <f>IF('Données projet'!$A$140&gt;35,CT44+CS45-DB44,IF(A45&lt;'Données projet'!$A$140,$CQ$205^A45,IF(A45='Données projet'!$A$140,'Données projet'!$B$140,CT44+CS45-DB44)))</f>
        <v>257.60000000000008</v>
      </c>
      <c r="CU45" s="18">
        <f>CT45*VLOOKUP('Données projet'!$B$13,Paramètres!$A$1:$I$89,3,0)*VLOOKUP('Données projet'!$B$13,Paramètres!$A$1:$I$89,5,0)</f>
        <v>140.64960000000005</v>
      </c>
      <c r="CV45" s="14">
        <f t="shared" si="41"/>
        <v>36.445779615258637</v>
      </c>
      <c r="CW45" s="22">
        <f t="shared" si="13"/>
        <v>308.44111949657554</v>
      </c>
      <c r="CX45" s="62">
        <f t="shared" si="14"/>
        <v>601.7744528299088</v>
      </c>
      <c r="CY45" s="62">
        <f ca="1">AVERAGE(OFFSET($CX$3,0,0,'Données projet'!$E$13+1,1))-AVERAGE(OFFSET($H$3,0,0,'Données projet'!$E$13+1,1))</f>
        <v>303.14853302260451</v>
      </c>
      <c r="CZ45" s="62">
        <f t="shared" si="42"/>
        <v>298.74602928001929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21.990683022984371</v>
      </c>
      <c r="DG45" s="23">
        <f>EXP(-LN(2)/25)*DG44+(1-EXP(-LN(2)/25))/(LN(2)/25)*Calculateur!DB45*Calculateur!DD45*VLOOKUP('Données projet'!$B$13,Paramètres!$A$1:$I$89,3,0)*0.475*44/12</f>
        <v>29.515588145965108</v>
      </c>
      <c r="DH45" s="23">
        <f>EXP(-LN(2)/2)*DH44+(1-EXP(-LN(2)/2))/(LN(2)/2)*DB45*DE45*VLOOKUP('Données projet'!$B$13,Paramètres!$A$1:$I$89,3,0)*0.475*44/12</f>
        <v>3.8059955772521712</v>
      </c>
      <c r="DI45" s="24">
        <f t="shared" si="15"/>
        <v>55.312266746201651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70">
        <f t="shared" si="1"/>
        <v>256.66666666666669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4.3352272727272725</v>
      </c>
      <c r="N46" s="14">
        <f>IF('Données projet'!$A$36&gt;35,N45+M46-V45,IF(A46&lt;'Données projet'!$A$36,$K$205^A46,IF(A46='Données projet'!$A$36,'Données projet'!$B$36,N45+M46-V45)))</f>
        <v>186.41477272727275</v>
      </c>
      <c r="O46" s="14">
        <f>N46*VLOOKUP('Données projet'!$B$9,Paramètres!$A$1:$I$89,3,0)*VLOOKUP('Données projet'!$B$9,Paramètres!$A$1:$I$89,5,0)</f>
        <v>168.66808636363638</v>
      </c>
      <c r="P46" s="14">
        <f t="shared" si="33"/>
        <v>42.791582817325541</v>
      </c>
      <c r="Q46" s="22">
        <f t="shared" si="53"/>
        <v>368.29225715684197</v>
      </c>
      <c r="R46" s="62">
        <f t="shared" si="0"/>
        <v>661.62559049017523</v>
      </c>
      <c r="S46" s="62">
        <f ca="1">AVERAGE(OFFSET($R$3,0,0,'Données projet'!$E$9+1,1))-AVERAGE(OFFSET($H$3,0,0,'Données projet'!$E$9+1,1))</f>
        <v>441.6145113257511</v>
      </c>
      <c r="T46" s="62">
        <f t="shared" si="34"/>
        <v>295.8399381972477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19.777777777777779</v>
      </c>
      <c r="AI46" s="14">
        <f>IF('Données projet'!$A$62&gt;35,AI45+AH46-AQ45,IF(A46&lt;'Données projet'!$A$62,$AF$205^A46,IF(A46='Données projet'!$A$62,'Données projet'!$B$62,AI45+AH46-AQ45)))</f>
        <v>296.77777777777794</v>
      </c>
      <c r="AJ46" s="14">
        <f>AI46*VLOOKUP('Données projet'!$B$10,Paramètres!$A$1:$I$89,3,0)*VLOOKUP('Données projet'!$B$10,Paramètres!$A$1:$I$89,5,0)</f>
        <v>254.63533333333351</v>
      </c>
      <c r="AK46" s="14">
        <f t="shared" si="35"/>
        <v>61.577463933637681</v>
      </c>
      <c r="AL46" s="22">
        <f t="shared" si="4"/>
        <v>550.73728857330809</v>
      </c>
      <c r="AM46" s="62">
        <f t="shared" si="5"/>
        <v>844.07062190664146</v>
      </c>
      <c r="AN46" s="62">
        <f ca="1">AVERAGE(OFFSET($AM$3,0,0,'Données projet'!$E$10+1,1))-AVERAGE(OFFSET($H$3,0,0,'Données projet'!$E$10+1,1))</f>
        <v>623.31285537237943</v>
      </c>
      <c r="AO46" s="62">
        <f t="shared" si="36"/>
        <v>462.33909258902241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43.878449043990813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43.878449043990813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8.1999999999999993</v>
      </c>
      <c r="BD46" s="13">
        <f>IF('Données projet'!$A$88&gt;35,BD45+BC46-BL45,IF(A46&lt;'Données projet'!$A$88,$BA$205^A46,IF(A46='Données projet'!$A$88,'Données projet'!$B$88,BD45+BC46-BL45)))</f>
        <v>188.59999999999997</v>
      </c>
      <c r="BE46" s="14">
        <f>BD46*VLOOKUP('Données projet'!$B$11,Paramètres!$A$1:$I$89,3,0)*VLOOKUP('Données projet'!$B$11,Paramètres!$A$1:$I$89,5,0)</f>
        <v>150.05015999999998</v>
      </c>
      <c r="BF46" s="14">
        <f t="shared" si="37"/>
        <v>38.589984439024569</v>
      </c>
      <c r="BG46" s="22">
        <f t="shared" si="7"/>
        <v>328.54825156463437</v>
      </c>
      <c r="BH46" s="62">
        <f t="shared" si="8"/>
        <v>621.88158489796774</v>
      </c>
      <c r="BI46" s="62">
        <f ca="1">AVERAGE(OFFSET($BH$3,0,0,'Données projet'!$E$11+1,1))-AVERAGE(OFFSET($H$3,0,0,'Données projet'!$E$11+1,1))</f>
        <v>299.10536994156814</v>
      </c>
      <c r="BJ46" s="62">
        <f t="shared" si="38"/>
        <v>292.57799203101769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5.9176455772982601</v>
      </c>
      <c r="BQ46" s="23">
        <f>EXP(-LN(2)/25)*BQ45+(1-EXP(-LN(2)/25))/(LN(2)/25)*Calculateur!BL46*Calculateur!BN46*VLOOKUP('Données projet'!$B$11,Paramètres!$A$1:$I$89,3,0)*0.475*44/12</f>
        <v>0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5.9176455772982601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7.1442857142857132</v>
      </c>
      <c r="BY46" s="13">
        <f>IF('Données projet'!$A$114&gt;35,BY45+BX46-CG45,IF(A46&lt;'Données projet'!$A$114,$BV$205^A46,IF(A46='Données projet'!$A$114,'Données projet'!$B$114,BY45+BX46-CG45)))</f>
        <v>140.2957142857143</v>
      </c>
      <c r="BZ46" s="14">
        <f>BY46*VLOOKUP('Données projet'!$B$12,Paramètres!$A$1:$I$89,3,0)*VLOOKUP('Données projet'!$B$12,Paramètres!$A$1:$I$89,5,0)</f>
        <v>109.43065714285716</v>
      </c>
      <c r="CA46" s="14">
        <f t="shared" si="39"/>
        <v>29.196802468628473</v>
      </c>
      <c r="CB46" s="22">
        <f t="shared" si="10"/>
        <v>241.44282549000411</v>
      </c>
      <c r="CC46" s="62">
        <f t="shared" si="11"/>
        <v>534.77615882333748</v>
      </c>
      <c r="CD46" s="62">
        <f ca="1">AVERAGE(OFFSET($CC$3,0,0,'Données projet'!$E$12+1,1))-AVERAGE(OFFSET($H$3,0,0,'Données projet'!$E$12+1,1))</f>
        <v>197.51529454208725</v>
      </c>
      <c r="CE46" s="62">
        <f t="shared" si="40"/>
        <v>196.65362486387215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5.0637071451146776</v>
      </c>
      <c r="CL46" s="23">
        <f>EXP(-LN(2)/25)*CL45+(1-EXP(-LN(2)/25))/(LN(2)/25)*Calculateur!CG46*Calculateur!CI46*VLOOKUP('Données projet'!$B$12,Paramètres!$A$1:$I$89,3,0)*0.475*44/12</f>
        <v>0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5.0637071451146776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11.8</v>
      </c>
      <c r="CT46" s="13">
        <f>IF('Données projet'!$A$140&gt;35,CT45+CS46-DB45,IF(A46&lt;'Données projet'!$A$140,$CQ$205^A46,IF(A46='Données projet'!$A$140,'Données projet'!$B$140,CT45+CS46-DB45)))</f>
        <v>269.40000000000009</v>
      </c>
      <c r="CU46" s="18">
        <f>CT46*VLOOKUP('Données projet'!$B$13,Paramètres!$A$1:$I$89,3,0)*VLOOKUP('Données projet'!$B$13,Paramètres!$A$1:$I$89,5,0)</f>
        <v>147.09240000000005</v>
      </c>
      <c r="CV46" s="14">
        <f t="shared" si="41"/>
        <v>37.917072215873553</v>
      </c>
      <c r="CW46" s="22">
        <f t="shared" si="13"/>
        <v>322.22483077597991</v>
      </c>
      <c r="CX46" s="62">
        <f t="shared" si="14"/>
        <v>615.55816410931322</v>
      </c>
      <c r="CY46" s="62">
        <f ca="1">AVERAGE(OFFSET($CX$3,0,0,'Données projet'!$E$13+1,1))-AVERAGE(OFFSET($H$3,0,0,'Données projet'!$E$13+1,1))</f>
        <v>303.14853302260451</v>
      </c>
      <c r="CZ46" s="62">
        <f t="shared" si="42"/>
        <v>298.74602928001929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21.559459141895868</v>
      </c>
      <c r="DG46" s="23">
        <f>EXP(-LN(2)/25)*DG45+(1-EXP(-LN(2)/25))/(LN(2)/25)*Calculateur!DB46*Calculateur!DD46*VLOOKUP('Données projet'!$B$13,Paramètres!$A$1:$I$89,3,0)*0.475*44/12</f>
        <v>28.708482835956371</v>
      </c>
      <c r="DH46" s="23">
        <f>EXP(-LN(2)/2)*DH45+(1-EXP(-LN(2)/2))/(LN(2)/2)*DB46*DE46*VLOOKUP('Données projet'!$B$13,Paramètres!$A$1:$I$89,3,0)*0.475*44/12</f>
        <v>2.6912452818410189</v>
      </c>
      <c r="DI46" s="24">
        <f t="shared" si="15"/>
        <v>52.959187259693259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70">
        <f t="shared" si="1"/>
        <v>256.66666666666669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>
        <f>VLOOKUP(A47,'Données projet'!$A$35:$I$55,2,0)</f>
        <v>190.75</v>
      </c>
      <c r="L47" s="13">
        <f>VLOOKUP(A47,'Données projet'!$A$35:$I$55,9,0)</f>
        <v>4.3352272727272725</v>
      </c>
      <c r="M47" s="13">
        <f t="array" ref="M47">INDEX(L:L,MIN(IF(ISNUMBER(L47:L243),ROW(L47:L243),"")))</f>
        <v>4.3352272727272725</v>
      </c>
      <c r="N47" s="14">
        <f>IF('Données projet'!$A$36&gt;35,N46+M47-V46,IF(A47&lt;'Données projet'!$A$36,$K$205^A47,IF(A47='Données projet'!$A$36,'Données projet'!$B$36,N46+M47-V46)))</f>
        <v>190.75000000000003</v>
      </c>
      <c r="O47" s="14">
        <f>N47*VLOOKUP('Données projet'!$B$9,Paramètres!$A$1:$I$89,3,0)*VLOOKUP('Données projet'!$B$9,Paramètres!$A$1:$I$89,5,0)</f>
        <v>172.59060000000002</v>
      </c>
      <c r="P47" s="14">
        <f t="shared" si="33"/>
        <v>43.669720115774744</v>
      </c>
      <c r="Q47" s="22">
        <f t="shared" si="53"/>
        <v>376.65339086830772</v>
      </c>
      <c r="R47" s="62">
        <f t="shared" si="0"/>
        <v>669.98672420164098</v>
      </c>
      <c r="S47" s="62">
        <f ca="1">AVERAGE(OFFSET($R$3,0,0,'Données projet'!$E$9+1,1))-AVERAGE(OFFSET($H$3,0,0,'Données projet'!$E$9+1,1))</f>
        <v>441.6145113257511</v>
      </c>
      <c r="T47" s="62">
        <f t="shared" si="34"/>
        <v>295.8399381972477</v>
      </c>
      <c r="U47" s="16">
        <f>IF(ISNA(VLOOKUP(A47,'Données projet'!$A$35:$I$55,3,0)),0,VLOOKUP(A47,'Données projet'!$A$35:$I$55,3,0))</f>
        <v>1</v>
      </c>
      <c r="V47" s="16">
        <f>IF(ISNA(VLOOKUP(A47,'Données projet'!$A$35:$I$55,4,0)),0,VLOOKUP(A47,'Données projet'!$A$35:$I$55,4,0))</f>
        <v>74.010000000000005</v>
      </c>
      <c r="W47" s="17">
        <f>IF(ISNA(VLOOKUP(A47,'Données projet'!$A$35:$I$55,5,0)),0%,VLOOKUP(A47,'Données projet'!$A$35:$I$55,5,0)*VLOOKUP('Données projet'!$B$9,Paramètres!$A$1:$I$89,7,0))</f>
        <v>8.6000000000000007E-2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6.36632136804608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6.36632136804608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19.777777777777779</v>
      </c>
      <c r="AI47" s="14">
        <f>IF('Données projet'!$A$62&gt;35,AI46+AH47-AQ46,IF(A47&lt;'Données projet'!$A$62,$AF$205^A47,IF(A47='Données projet'!$A$62,'Données projet'!$B$62,AI46+AH47-AQ46)))</f>
        <v>316.55555555555571</v>
      </c>
      <c r="AJ47" s="14">
        <f>AI47*VLOOKUP('Données projet'!$B$10,Paramètres!$A$1:$I$89,3,0)*VLOOKUP('Données projet'!$B$10,Paramètres!$A$1:$I$89,5,0)</f>
        <v>271.60466666666684</v>
      </c>
      <c r="AK47" s="14">
        <f t="shared" si="35"/>
        <v>65.189702518536876</v>
      </c>
      <c r="AL47" s="22">
        <f t="shared" si="4"/>
        <v>586.58352633089646</v>
      </c>
      <c r="AM47" s="62">
        <f t="shared" si="5"/>
        <v>879.91685966422983</v>
      </c>
      <c r="AN47" s="62">
        <f ca="1">AVERAGE(OFFSET($AM$3,0,0,'Données projet'!$E$10+1,1))-AVERAGE(OFFSET($H$3,0,0,'Données projet'!$E$10+1,1))</f>
        <v>623.31285537237943</v>
      </c>
      <c r="AO47" s="62">
        <f t="shared" si="36"/>
        <v>462.33909258902241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43.018019421449424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43.018019421449424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8.1999999999999993</v>
      </c>
      <c r="BD47" s="13">
        <f>IF('Données projet'!$A$88&gt;35,BD46+BC47-BL46,IF(A47&lt;'Données projet'!$A$88,$BA$205^A47,IF(A47='Données projet'!$A$88,'Données projet'!$B$88,BD46+BC47-BL46)))</f>
        <v>196.79999999999995</v>
      </c>
      <c r="BE47" s="14">
        <f>BD47*VLOOKUP('Données projet'!$B$11,Paramètres!$A$1:$I$89,3,0)*VLOOKUP('Données projet'!$B$11,Paramètres!$A$1:$I$89,5,0)</f>
        <v>156.57407999999998</v>
      </c>
      <c r="BF47" s="14">
        <f t="shared" si="37"/>
        <v>40.068818872547467</v>
      </c>
      <c r="BG47" s="22">
        <f t="shared" si="7"/>
        <v>342.48638220302013</v>
      </c>
      <c r="BH47" s="62">
        <f t="shared" si="8"/>
        <v>635.81971553635344</v>
      </c>
      <c r="BI47" s="62">
        <f ca="1">AVERAGE(OFFSET($BH$3,0,0,'Données projet'!$E$11+1,1))-AVERAGE(OFFSET($H$3,0,0,'Données projet'!$E$11+1,1))</f>
        <v>299.10536994156814</v>
      </c>
      <c r="BJ47" s="62">
        <f t="shared" si="38"/>
        <v>292.57799203101769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5.801604156934844</v>
      </c>
      <c r="BQ47" s="23">
        <f>EXP(-LN(2)/25)*BQ46+(1-EXP(-LN(2)/25))/(LN(2)/25)*Calculateur!BL47*Calculateur!BN47*VLOOKUP('Données projet'!$B$11,Paramètres!$A$1:$I$89,3,0)*0.475*44/12</f>
        <v>0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5.801604156934844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>
        <f>VLOOKUP(A47,'Données projet'!$A$113:$I$133,2,0)</f>
        <v>147.44</v>
      </c>
      <c r="BW47" s="13">
        <f>VLOOKUP(A47,'Données projet'!$A$113:$I$133,9,0)</f>
        <v>7.1442857142857132</v>
      </c>
      <c r="BX47" s="13">
        <f t="array" ref="BX47">INDEX(BW:BW,MIN(IF(ISNUMBER(BW47:BW243),ROW(BW47:BW243),"")))</f>
        <v>7.1442857142857132</v>
      </c>
      <c r="BY47" s="13">
        <f>IF('Données projet'!$A$114&gt;35,BY46+BX47-CG46,IF(A47&lt;'Données projet'!$A$114,$BV$205^A47,IF(A47='Données projet'!$A$114,'Données projet'!$B$114,BY46+BX47-CG46)))</f>
        <v>147.44</v>
      </c>
      <c r="BZ47" s="14">
        <f>BY47*VLOOKUP('Données projet'!$B$12,Paramètres!$A$1:$I$89,3,0)*VLOOKUP('Données projet'!$B$12,Paramètres!$A$1:$I$89,5,0)</f>
        <v>115.00320000000001</v>
      </c>
      <c r="CA47" s="14">
        <f t="shared" si="39"/>
        <v>30.506708657497718</v>
      </c>
      <c r="CB47" s="22">
        <f t="shared" si="10"/>
        <v>253.4297575784752</v>
      </c>
      <c r="CC47" s="62">
        <f t="shared" si="11"/>
        <v>546.76309091180849</v>
      </c>
      <c r="CD47" s="62">
        <f ca="1">AVERAGE(OFFSET($CC$3,0,0,'Données projet'!$E$12+1,1))-AVERAGE(OFFSET($H$3,0,0,'Données projet'!$E$12+1,1))</f>
        <v>197.51529454208725</v>
      </c>
      <c r="CE47" s="62">
        <f t="shared" si="40"/>
        <v>196.65362486387215</v>
      </c>
      <c r="CF47" s="16">
        <f>IF(ISNA(VLOOKUP(A47,'Données projet'!$A$113:$I$133,3,0)),0,VLOOKUP(A47,'Données projet'!$A$113:$I$133,3,0))</f>
        <v>6</v>
      </c>
      <c r="CG47" s="16">
        <f>IF(ISNA(VLOOKUP(A47,'Données projet'!$A$113:$I$133,4,0)),0,VLOOKUP(A47,'Données projet'!$A$113:$I$133,4,0))</f>
        <v>27.56</v>
      </c>
      <c r="CH47" s="17">
        <f>IF(ISNA(VLOOKUP(A47,'Données projet'!$A$113:$I$133,5,0)),0%,VLOOKUP(A47,'Données projet'!$A$113:$I$133,5,0)*VLOOKUP('Données projet'!$B$12,Paramètres!$A$1:$I$89,7,0))</f>
        <v>0.215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10.07368720232531</v>
      </c>
      <c r="CL47" s="23">
        <f>EXP(-LN(2)/25)*CL46+(1-EXP(-LN(2)/25))/(LN(2)/25)*Calculateur!CG47*Calculateur!CI47*VLOOKUP('Données projet'!$B$12,Paramètres!$A$1:$I$89,3,0)*0.475*44/12</f>
        <v>0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10.07368720232531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11.8</v>
      </c>
      <c r="CT47" s="13">
        <f>IF('Données projet'!$A$140&gt;35,CT46+CS47-DB46,IF(A47&lt;'Données projet'!$A$140,$CQ$205^A47,IF(A47='Données projet'!$A$140,'Données projet'!$B$140,CT46+CS47-DB46)))</f>
        <v>281.2000000000001</v>
      </c>
      <c r="CU47" s="18">
        <f>CT47*VLOOKUP('Données projet'!$B$13,Paramètres!$A$1:$I$89,3,0)*VLOOKUP('Données projet'!$B$13,Paramètres!$A$1:$I$89,5,0)</f>
        <v>153.53520000000006</v>
      </c>
      <c r="CV47" s="14">
        <f t="shared" si="41"/>
        <v>39.380880080709709</v>
      </c>
      <c r="CW47" s="22">
        <f t="shared" si="13"/>
        <v>335.99550614056949</v>
      </c>
      <c r="CX47" s="62">
        <f t="shared" si="14"/>
        <v>629.3288394739028</v>
      </c>
      <c r="CY47" s="62">
        <f ca="1">AVERAGE(OFFSET($CX$3,0,0,'Données projet'!$E$13+1,1))-AVERAGE(OFFSET($H$3,0,0,'Données projet'!$E$13+1,1))</f>
        <v>303.14853302260451</v>
      </c>
      <c r="CZ47" s="62">
        <f t="shared" si="42"/>
        <v>298.74602928001929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21.136691298094913</v>
      </c>
      <c r="DG47" s="23">
        <f>EXP(-LN(2)/25)*DG46+(1-EXP(-LN(2)/25))/(LN(2)/25)*Calculateur!DB47*Calculateur!DD47*VLOOKUP('Données projet'!$B$13,Paramètres!$A$1:$I$89,3,0)*0.475*44/12</f>
        <v>27.923447863093646</v>
      </c>
      <c r="DH47" s="23">
        <f>EXP(-LN(2)/2)*DH46+(1-EXP(-LN(2)/2))/(LN(2)/2)*DB47*DE47*VLOOKUP('Données projet'!$B$13,Paramètres!$A$1:$I$89,3,0)*0.475*44/12</f>
        <v>1.9029977886260858</v>
      </c>
      <c r="DI47" s="24">
        <f t="shared" si="15"/>
        <v>50.963136949814647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70">
        <f t="shared" si="1"/>
        <v>256.66666666666669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8.8971428571428586</v>
      </c>
      <c r="N48" s="14">
        <f>IF('Données projet'!$A$36&gt;35,N47+M48-V47,IF(A48&lt;'Données projet'!$A$36,$K$205^A48,IF(A48='Données projet'!$A$36,'Données projet'!$B$36,N47+M48-V47)))</f>
        <v>125.63714285714288</v>
      </c>
      <c r="O48" s="14">
        <f>N48*VLOOKUP('Données projet'!$B$9,Paramètres!$A$1:$I$89,3,0)*VLOOKUP('Données projet'!$B$9,Paramètres!$A$1:$I$89,5,0)</f>
        <v>113.67648685714286</v>
      </c>
      <c r="P48" s="14">
        <f t="shared" si="33"/>
        <v>30.195529199341561</v>
      </c>
      <c r="Q48" s="22">
        <f t="shared" si="53"/>
        <v>250.57709463171037</v>
      </c>
      <c r="R48" s="62">
        <f t="shared" si="0"/>
        <v>543.91042796504371</v>
      </c>
      <c r="S48" s="62">
        <f ca="1">AVERAGE(OFFSET($R$3,0,0,'Données projet'!$E$9+1,1))-AVERAGE(OFFSET($H$3,0,0,'Données projet'!$E$9+1,1))</f>
        <v>441.6145113257511</v>
      </c>
      <c r="T48" s="62">
        <f t="shared" si="34"/>
        <v>295.8399381972477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6.2414816890913096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6.2414816890913096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19.777777777777779</v>
      </c>
      <c r="AI48" s="14">
        <f>IF('Données projet'!$A$62&gt;35,AI47+AH48-AQ47,IF(A48&lt;'Données projet'!$A$62,$AF$205^A48,IF(A48='Données projet'!$A$62,'Données projet'!$B$62,AI47+AH48-AQ47)))</f>
        <v>336.33333333333348</v>
      </c>
      <c r="AJ48" s="14">
        <f>AI48*VLOOKUP('Données projet'!$B$10,Paramètres!$A$1:$I$89,3,0)*VLOOKUP('Données projet'!$B$10,Paramètres!$A$1:$I$89,5,0)</f>
        <v>288.57400000000018</v>
      </c>
      <c r="AK48" s="14">
        <f t="shared" si="35"/>
        <v>68.775748599702908</v>
      </c>
      <c r="AL48" s="22">
        <f t="shared" si="4"/>
        <v>622.38414547781622</v>
      </c>
      <c r="AM48" s="62">
        <f t="shared" si="5"/>
        <v>915.71747881114948</v>
      </c>
      <c r="AN48" s="62">
        <f ca="1">AVERAGE(OFFSET($AM$3,0,0,'Données projet'!$E$10+1,1))-AVERAGE(OFFSET($H$3,0,0,'Données projet'!$E$10+1,1))</f>
        <v>623.31285537237943</v>
      </c>
      <c r="AO48" s="62">
        <f t="shared" si="36"/>
        <v>462.33909258902241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42.17446229899582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42.17446229899582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205</v>
      </c>
      <c r="BB48" s="13">
        <f>VLOOKUP(A48,'Données projet'!$A$87:$I$107,9,0)</f>
        <v>8.1999999999999993</v>
      </c>
      <c r="BC48" s="13">
        <f t="array" ref="BC48">INDEX(BB:BB,MIN(IF(ISNUMBER(BB48:BB244),ROW(BB48:BB244),"")))</f>
        <v>8.1999999999999993</v>
      </c>
      <c r="BD48" s="13">
        <f>IF('Données projet'!$A$88&gt;35,BD47+BC48-BL47,IF(A48&lt;'Données projet'!$A$88,$BA$205^A48,IF(A48='Données projet'!$A$88,'Données projet'!$B$88,BD47+BC48-BL47)))</f>
        <v>204.99999999999994</v>
      </c>
      <c r="BE48" s="14">
        <f>BD48*VLOOKUP('Données projet'!$B$11,Paramètres!$A$1:$I$89,3,0)*VLOOKUP('Données projet'!$B$11,Paramètres!$A$1:$I$89,5,0)</f>
        <v>163.09799999999996</v>
      </c>
      <c r="BF48" s="14">
        <f t="shared" si="37"/>
        <v>41.540496136845142</v>
      </c>
      <c r="BG48" s="22">
        <f t="shared" si="7"/>
        <v>356.4120474383385</v>
      </c>
      <c r="BH48" s="62">
        <f t="shared" si="8"/>
        <v>649.74538077167176</v>
      </c>
      <c r="BI48" s="62">
        <f ca="1">AVERAGE(OFFSET($BH$3,0,0,'Données projet'!$E$11+1,1))-AVERAGE(OFFSET($H$3,0,0,'Données projet'!$E$11+1,1))</f>
        <v>299.10536994156814</v>
      </c>
      <c r="BJ48" s="62">
        <f t="shared" si="38"/>
        <v>292.57799203101769</v>
      </c>
      <c r="BK48" s="16">
        <f>IF(ISNA(VLOOKUP(A48,'Données projet'!$A$87:$I$107,3,0)),0,VLOOKUP(A48,'Données projet'!$A$87:$I$107,3,0))</f>
        <v>7</v>
      </c>
      <c r="BL48" s="16">
        <f>IF(ISNA(VLOOKUP(A48,'Données projet'!$A$87:$I$107,4,0)),0,VLOOKUP(A48,'Données projet'!$A$87:$I$107,4,0))</f>
        <v>22</v>
      </c>
      <c r="BM48" s="17">
        <f>IF(ISNA(VLOOKUP(A48,'Données projet'!$A$87:$I$107,5,0)),0%,VLOOKUP(A48,'Données projet'!$A$87:$I$107,5,0)*VLOOKUP('Données projet'!$B$11,Paramètres!$A$1:$I$89,7,0))</f>
        <v>0.21200000000000002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9.7898832972191983</v>
      </c>
      <c r="BQ48" s="23">
        <f>EXP(-LN(2)/25)*BQ47+(1-EXP(-LN(2)/25))/(LN(2)/25)*Calculateur!BL48*Calculateur!BN48*VLOOKUP('Données projet'!$B$11,Paramètres!$A$1:$I$89,3,0)*0.475*44/12</f>
        <v>0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9.7898832972191983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6.6500000000000021</v>
      </c>
      <c r="BY48" s="13">
        <f>IF('Données projet'!$A$114&gt;35,BY47+BX48-CG47,IF(A48&lt;'Données projet'!$A$114,$BV$205^A48,IF(A48='Données projet'!$A$114,'Données projet'!$B$114,BY47+BX48-CG47)))</f>
        <v>126.53</v>
      </c>
      <c r="BZ48" s="14">
        <f>BY48*VLOOKUP('Données projet'!$B$12,Paramètres!$A$1:$I$89,3,0)*VLOOKUP('Données projet'!$B$12,Paramètres!$A$1:$I$89,5,0)</f>
        <v>98.693400000000011</v>
      </c>
      <c r="CA48" s="14">
        <f t="shared" si="39"/>
        <v>26.650480247244865</v>
      </c>
      <c r="CB48" s="22">
        <f t="shared" si="10"/>
        <v>218.3072580972848</v>
      </c>
      <c r="CC48" s="62">
        <f t="shared" si="11"/>
        <v>511.64059143061809</v>
      </c>
      <c r="CD48" s="62">
        <f ca="1">AVERAGE(OFFSET($CC$3,0,0,'Données projet'!$E$12+1,1))-AVERAGE(OFFSET($H$3,0,0,'Données projet'!$E$12+1,1))</f>
        <v>197.51529454208725</v>
      </c>
      <c r="CE48" s="62">
        <f t="shared" si="40"/>
        <v>196.65362486387215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9.8761483406302002</v>
      </c>
      <c r="CL48" s="23">
        <f>EXP(-LN(2)/25)*CL47+(1-EXP(-LN(2)/25))/(LN(2)/25)*Calculateur!CG48*Calculateur!CI48*VLOOKUP('Données projet'!$B$12,Paramètres!$A$1:$I$89,3,0)*0.475*44/12</f>
        <v>0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9.8761483406302002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293</v>
      </c>
      <c r="CR48" s="13">
        <f>VLOOKUP(A48,'Données projet'!$A$139:$I$159,9,0)</f>
        <v>11.8</v>
      </c>
      <c r="CS48" s="13">
        <f t="array" ref="CS48">INDEX(CR:CR,MIN(IF(ISNUMBER(CR48:CR244),ROW(CR48:CR244),"")))</f>
        <v>11.8</v>
      </c>
      <c r="CT48" s="13">
        <f>IF('Données projet'!$A$140&gt;35,CT47+CS48-DB47,IF(A48&lt;'Données projet'!$A$140,$CQ$205^A48,IF(A48='Données projet'!$A$140,'Données projet'!$B$140,CT47+CS48-DB47)))</f>
        <v>293.00000000000011</v>
      </c>
      <c r="CU48" s="18">
        <f>CT48*VLOOKUP('Données projet'!$B$13,Paramètres!$A$1:$I$89,3,0)*VLOOKUP('Données projet'!$B$13,Paramètres!$A$1:$I$89,5,0)</f>
        <v>159.97800000000007</v>
      </c>
      <c r="CV48" s="14">
        <f t="shared" si="41"/>
        <v>40.8375532055748</v>
      </c>
      <c r="CW48" s="22">
        <f t="shared" si="13"/>
        <v>349.75375516637615</v>
      </c>
      <c r="CX48" s="62">
        <f t="shared" si="14"/>
        <v>643.08708849970947</v>
      </c>
      <c r="CY48" s="62">
        <f ca="1">AVERAGE(OFFSET($CX$3,0,0,'Données projet'!$E$13+1,1))-AVERAGE(OFFSET($H$3,0,0,'Données projet'!$E$13+1,1))</f>
        <v>303.14853302260451</v>
      </c>
      <c r="CZ48" s="62">
        <f t="shared" si="42"/>
        <v>298.74602928001929</v>
      </c>
      <c r="DA48" s="16">
        <f>IF(ISNA(VLOOKUP(A48,'Données projet'!$A$139:$I$159,3,0)),0,VLOOKUP(A48,'Données projet'!$A$139:$I$159,3,0))</f>
        <v>8</v>
      </c>
      <c r="DB48" s="16">
        <f>IF(ISNA(VLOOKUP(A48,'Données projet'!$A$139:$I$159,4,0)),0,VLOOKUP(A48,'Données projet'!$A$139:$I$159,4,0))</f>
        <v>34</v>
      </c>
      <c r="DC48" s="17">
        <f>IF(ISNA(VLOOKUP(A48,'Données projet'!$A$139:$I$159,5,0)),0%,VLOOKUP(A48,'Données projet'!$A$139:$I$159,5,0)*VLOOKUP('Données projet'!$B$13,Paramètres!$A$1:$I$89,7,0))</f>
        <v>0.3</v>
      </c>
      <c r="DD48" s="17">
        <f>IF(ISNA(VLOOKUP(A48,'Données projet'!$A$139:$I$159,6,0)),0%,VLOOKUP(A48,'Données projet'!$A$139:$I$159,6,0)*VLOOKUP('Données projet'!$B$13,Paramètres!$A$1:$I$89,7,0))</f>
        <v>0.16800000000000001</v>
      </c>
      <c r="DE48" s="17">
        <f>IF(ISNA(VLOOKUP(A48,'Données projet'!$A$139:$I$159,7,0)),0%,VLOOKUP(A48,'Données projet'!$A$139:$I$159,7,0))</f>
        <v>0.21999999999999997</v>
      </c>
      <c r="DF48" s="23">
        <f>EXP(-LN(2)/35)*DF47+(1-EXP(-LN(2)/35))/(LN(2)/35)*DB48*DC48*VLOOKUP('Données projet'!$B$13,Paramètres!$A$1:$I$89,3,0)*0.475*44/12</f>
        <v>28.11011643908186</v>
      </c>
      <c r="DG48" s="23">
        <f>EXP(-LN(2)/25)*DG47+(1-EXP(-LN(2)/25))/(LN(2)/25)*Calculateur!DB48*Calculateur!DD48*VLOOKUP('Données projet'!$B$13,Paramètres!$A$1:$I$89,3,0)*0.475*44/12</f>
        <v>31.280815427986937</v>
      </c>
      <c r="DH48" s="23">
        <f>EXP(-LN(2)/2)*DH47+(1-EXP(-LN(2)/2))/(LN(2)/2)*DB48*DE48*VLOOKUP('Données projet'!$B$13,Paramètres!$A$1:$I$89,3,0)*0.475*44/12</f>
        <v>5.9697499226023965</v>
      </c>
      <c r="DI48" s="24">
        <f t="shared" si="15"/>
        <v>65.36068178967119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70">
        <f t="shared" si="1"/>
        <v>256.66666666666669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8.8971428571428586</v>
      </c>
      <c r="N49" s="14">
        <f>IF('Données projet'!$A$36&gt;35,N48+M49-V48,IF(A49&lt;'Données projet'!$A$36,$K$205^A49,IF(A49='Données projet'!$A$36,'Données projet'!$B$36,N48+M49-V48)))</f>
        <v>134.53428571428574</v>
      </c>
      <c r="O49" s="14">
        <f>N49*VLOOKUP('Données projet'!$B$9,Paramètres!$A$1:$I$89,3,0)*VLOOKUP('Données projet'!$B$9,Paramètres!$A$1:$I$89,5,0)</f>
        <v>121.72662171428574</v>
      </c>
      <c r="P49" s="14">
        <f t="shared" si="33"/>
        <v>32.077370015909594</v>
      </c>
      <c r="Q49" s="22">
        <f t="shared" si="53"/>
        <v>267.87528559675684</v>
      </c>
      <c r="R49" s="62">
        <f t="shared" si="0"/>
        <v>561.2086189300901</v>
      </c>
      <c r="S49" s="62">
        <f ca="1">AVERAGE(OFFSET($R$3,0,0,'Données projet'!$E$9+1,1))-AVERAGE(OFFSET($H$3,0,0,'Données projet'!$E$9+1,1))</f>
        <v>441.6145113257511</v>
      </c>
      <c r="T49" s="62">
        <f t="shared" si="34"/>
        <v>295.8399381972477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6.1190900400961565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6.1190900400961565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19.777777777777779</v>
      </c>
      <c r="AI49" s="14">
        <f>IF('Données projet'!$A$62&gt;35,AI48+AH49-AQ48,IF(A49&lt;'Données projet'!$A$62,$AF$205^A49,IF(A49='Données projet'!$A$62,'Données projet'!$B$62,AI48+AH49-AQ48)))</f>
        <v>356.11111111111126</v>
      </c>
      <c r="AJ49" s="14">
        <f>AI49*VLOOKUP('Données projet'!$B$10,Paramètres!$A$1:$I$89,3,0)*VLOOKUP('Données projet'!$B$10,Paramètres!$A$1:$I$89,5,0)</f>
        <v>305.54333333333346</v>
      </c>
      <c r="AK49" s="14">
        <f t="shared" si="35"/>
        <v>72.337317849093495</v>
      </c>
      <c r="AL49" s="22">
        <f t="shared" si="4"/>
        <v>658.14213414272695</v>
      </c>
      <c r="AM49" s="62">
        <f t="shared" si="5"/>
        <v>951.4754674760602</v>
      </c>
      <c r="AN49" s="62">
        <f ca="1">AVERAGE(OFFSET($AM$3,0,0,'Données projet'!$E$10+1,1))-AVERAGE(OFFSET($H$3,0,0,'Données projet'!$E$10+1,1))</f>
        <v>623.31285537237943</v>
      </c>
      <c r="AO49" s="62">
        <f t="shared" si="36"/>
        <v>462.33909258902241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41.347446817194495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41.347446817194495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7.2</v>
      </c>
      <c r="BD49" s="13">
        <f>IF('Données projet'!$A$88&gt;35,BD48+BC49-BL48,IF(A49&lt;'Données projet'!$A$88,$BA$205^A49,IF(A49='Données projet'!$A$88,'Données projet'!$B$88,BD48+BC49-BL48)))</f>
        <v>190.19999999999993</v>
      </c>
      <c r="BE49" s="14">
        <f>BD49*VLOOKUP('Données projet'!$B$11,Paramètres!$A$1:$I$89,3,0)*VLOOKUP('Données projet'!$B$11,Paramètres!$A$1:$I$89,5,0)</f>
        <v>151.32311999999996</v>
      </c>
      <c r="BF49" s="14">
        <f t="shared" si="37"/>
        <v>38.879115530839606</v>
      </c>
      <c r="BG49" s="22">
        <f t="shared" si="7"/>
        <v>331.26889354954557</v>
      </c>
      <c r="BH49" s="62">
        <f t="shared" si="8"/>
        <v>624.60222688287888</v>
      </c>
      <c r="BI49" s="62">
        <f ca="1">AVERAGE(OFFSET($BH$3,0,0,'Données projet'!$E$11+1,1))-AVERAGE(OFFSET($H$3,0,0,'Données projet'!$E$11+1,1))</f>
        <v>299.10536994156814</v>
      </c>
      <c r="BJ49" s="62">
        <f t="shared" si="38"/>
        <v>292.57799203101769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9.5979096569999296</v>
      </c>
      <c r="BQ49" s="23">
        <f>EXP(-LN(2)/25)*BQ48+(1-EXP(-LN(2)/25))/(LN(2)/25)*Calculateur!BL49*Calculateur!BN49*VLOOKUP('Données projet'!$B$11,Paramètres!$A$1:$I$89,3,0)*0.475*44/12</f>
        <v>0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9.5979096569999296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6.6500000000000021</v>
      </c>
      <c r="BY49" s="13">
        <f>IF('Données projet'!$A$114&gt;35,BY48+BX49-CG48,IF(A49&lt;'Données projet'!$A$114,$BV$205^A49,IF(A49='Données projet'!$A$114,'Données projet'!$B$114,BY48+BX49-CG48)))</f>
        <v>133.18</v>
      </c>
      <c r="BZ49" s="14">
        <f>BY49*VLOOKUP('Données projet'!$B$12,Paramètres!$A$1:$I$89,3,0)*VLOOKUP('Données projet'!$B$12,Paramètres!$A$1:$I$89,5,0)</f>
        <v>103.88040000000001</v>
      </c>
      <c r="CA49" s="14">
        <f t="shared" si="39"/>
        <v>27.884391107305206</v>
      </c>
      <c r="CB49" s="22">
        <f t="shared" si="10"/>
        <v>229.4903445118899</v>
      </c>
      <c r="CC49" s="62">
        <f t="shared" si="11"/>
        <v>522.82367784522319</v>
      </c>
      <c r="CD49" s="62">
        <f ca="1">AVERAGE(OFFSET($CC$3,0,0,'Données projet'!$E$12+1,1))-AVERAGE(OFFSET($H$3,0,0,'Données projet'!$E$12+1,1))</f>
        <v>197.51529454208725</v>
      </c>
      <c r="CE49" s="62">
        <f t="shared" si="40"/>
        <v>196.65362486387215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9.6824830955261234</v>
      </c>
      <c r="CL49" s="23">
        <f>EXP(-LN(2)/25)*CL48+(1-EXP(-LN(2)/25))/(LN(2)/25)*Calculateur!CG49*Calculateur!CI49*VLOOKUP('Données projet'!$B$12,Paramètres!$A$1:$I$89,3,0)*0.475*44/12</f>
        <v>0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9.6824830955261234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11.2</v>
      </c>
      <c r="CT49" s="13">
        <f>IF('Données projet'!$A$140&gt;35,CT48+CS49-DB48,IF(A49&lt;'Données projet'!$A$140,$CQ$205^A49,IF(A49='Données projet'!$A$140,'Données projet'!$B$140,CT48+CS49-DB48)))</f>
        <v>270.2000000000001</v>
      </c>
      <c r="CU49" s="18">
        <f>CT49*VLOOKUP('Données projet'!$B$13,Paramètres!$A$1:$I$89,3,0)*VLOOKUP('Données projet'!$B$13,Paramètres!$A$1:$I$89,5,0)</f>
        <v>147.52920000000006</v>
      </c>
      <c r="CV49" s="14">
        <f t="shared" si="41"/>
        <v>38.016545834387131</v>
      </c>
      <c r="CW49" s="22">
        <f t="shared" si="13"/>
        <v>323.15884066155769</v>
      </c>
      <c r="CX49" s="62">
        <f t="shared" si="14"/>
        <v>616.492173994891</v>
      </c>
      <c r="CY49" s="62">
        <f ca="1">AVERAGE(OFFSET($CX$3,0,0,'Données projet'!$E$13+1,1))-AVERAGE(OFFSET($H$3,0,0,'Données projet'!$E$13+1,1))</f>
        <v>303.14853302260451</v>
      </c>
      <c r="CZ49" s="62">
        <f t="shared" si="42"/>
        <v>298.74602928001929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27.558894201189517</v>
      </c>
      <c r="DG49" s="23">
        <f>EXP(-LN(2)/25)*DG48+(1-EXP(-LN(2)/25))/(LN(2)/25)*Calculateur!DB49*Calculateur!DD49*VLOOKUP('Données projet'!$B$13,Paramètres!$A$1:$I$89,3,0)*0.475*44/12</f>
        <v>30.425439885122046</v>
      </c>
      <c r="DH49" s="23">
        <f>EXP(-LN(2)/2)*DH48+(1-EXP(-LN(2)/2))/(LN(2)/2)*DB49*DE49*VLOOKUP('Données projet'!$B$13,Paramètres!$A$1:$I$89,3,0)*0.475*44/12</f>
        <v>4.2212506522600224</v>
      </c>
      <c r="DI49" s="24">
        <f t="shared" si="15"/>
        <v>62.205584738571588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70">
        <f t="shared" si="1"/>
        <v>256.66666666666669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8.8971428571428586</v>
      </c>
      <c r="N50" s="14">
        <f>IF('Données projet'!$A$36&gt;35,N49+M50-V49,IF(A50&lt;'Données projet'!$A$36,$K$205^A50,IF(A50='Données projet'!$A$36,'Données projet'!$B$36,N49+M50-V49)))</f>
        <v>143.4314285714286</v>
      </c>
      <c r="O50" s="14">
        <f>N50*VLOOKUP('Données projet'!$B$9,Paramètres!$A$1:$I$89,3,0)*VLOOKUP('Données projet'!$B$9,Paramètres!$A$1:$I$89,5,0)</f>
        <v>129.77675657142859</v>
      </c>
      <c r="P50" s="14">
        <f t="shared" si="33"/>
        <v>33.944769171667311</v>
      </c>
      <c r="Q50" s="22">
        <f t="shared" si="53"/>
        <v>285.1483240025587</v>
      </c>
      <c r="R50" s="62">
        <f t="shared" si="0"/>
        <v>578.48165733589201</v>
      </c>
      <c r="S50" s="62">
        <f ca="1">AVERAGE(OFFSET($R$3,0,0,'Données projet'!$E$9+1,1))-AVERAGE(OFFSET($H$3,0,0,'Données projet'!$E$9+1,1))</f>
        <v>441.6145113257511</v>
      </c>
      <c r="T50" s="62">
        <f t="shared" si="34"/>
        <v>295.8399381972477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5.9990984166862633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5.9990984166862633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19.777777777777779</v>
      </c>
      <c r="AI50" s="14">
        <f>IF('Données projet'!$A$62&gt;35,AI49+AH50-AQ49,IF(A50&lt;'Données projet'!$A$62,$AF$205^A50,IF(A50='Données projet'!$A$62,'Données projet'!$B$62,AI49+AH50-AQ49)))</f>
        <v>375.88888888888903</v>
      </c>
      <c r="AJ50" s="14">
        <f>AI50*VLOOKUP('Données projet'!$B$10,Paramètres!$A$1:$I$89,3,0)*VLOOKUP('Données projet'!$B$10,Paramètres!$A$1:$I$89,5,0)</f>
        <v>322.51266666666686</v>
      </c>
      <c r="AK50" s="14">
        <f t="shared" si="35"/>
        <v>75.875924604698398</v>
      </c>
      <c r="AL50" s="22">
        <f t="shared" si="4"/>
        <v>693.86012979762791</v>
      </c>
      <c r="AM50" s="62">
        <f t="shared" si="5"/>
        <v>987.19346313096116</v>
      </c>
      <c r="AN50" s="62">
        <f ca="1">AVERAGE(OFFSET($AM$3,0,0,'Données projet'!$E$10+1,1))-AVERAGE(OFFSET($H$3,0,0,'Données projet'!$E$10+1,1))</f>
        <v>623.31285537237943</v>
      </c>
      <c r="AO50" s="62">
        <f t="shared" si="36"/>
        <v>462.33909258902241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40.536648604561655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40.536648604561655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7.2</v>
      </c>
      <c r="BD50" s="13">
        <f>IF('Données projet'!$A$88&gt;35,BD49+BC50-BL49,IF(A50&lt;'Données projet'!$A$88,$BA$205^A50,IF(A50='Données projet'!$A$88,'Données projet'!$B$88,BD49+BC50-BL49)))</f>
        <v>197.39999999999992</v>
      </c>
      <c r="BE50" s="14">
        <f>BD50*VLOOKUP('Données projet'!$B$11,Paramètres!$A$1:$I$89,3,0)*VLOOKUP('Données projet'!$B$11,Paramètres!$A$1:$I$89,5,0)</f>
        <v>157.05143999999996</v>
      </c>
      <c r="BF50" s="14">
        <f t="shared" si="37"/>
        <v>40.176741230099708</v>
      </c>
      <c r="BG50" s="22">
        <f t="shared" si="7"/>
        <v>343.50574897575689</v>
      </c>
      <c r="BH50" s="62">
        <f t="shared" si="8"/>
        <v>636.83908230909014</v>
      </c>
      <c r="BI50" s="62">
        <f ca="1">AVERAGE(OFFSET($BH$3,0,0,'Données projet'!$E$11+1,1))-AVERAGE(OFFSET($H$3,0,0,'Données projet'!$E$11+1,1))</f>
        <v>299.10536994156814</v>
      </c>
      <c r="BJ50" s="62">
        <f t="shared" si="38"/>
        <v>292.57799203101769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9.4097005027730027</v>
      </c>
      <c r="BQ50" s="23">
        <f>EXP(-LN(2)/25)*BQ49+(1-EXP(-LN(2)/25))/(LN(2)/25)*Calculateur!BL50*Calculateur!BN50*VLOOKUP('Données projet'!$B$11,Paramètres!$A$1:$I$89,3,0)*0.475*44/12</f>
        <v>0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9.4097005027730027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6.6500000000000021</v>
      </c>
      <c r="BY50" s="13">
        <f>IF('Données projet'!$A$114&gt;35,BY49+BX50-CG49,IF(A50&lt;'Données projet'!$A$114,$BV$205^A50,IF(A50='Données projet'!$A$114,'Données projet'!$B$114,BY49+BX50-CG49)))</f>
        <v>139.83000000000001</v>
      </c>
      <c r="BZ50" s="14">
        <f>BY50*VLOOKUP('Données projet'!$B$12,Paramètres!$A$1:$I$89,3,0)*VLOOKUP('Données projet'!$B$12,Paramètres!$A$1:$I$89,5,0)</f>
        <v>109.06740000000002</v>
      </c>
      <c r="CA50" s="14">
        <f t="shared" si="39"/>
        <v>29.111147974592289</v>
      </c>
      <c r="CB50" s="22">
        <f t="shared" si="10"/>
        <v>240.66097105574826</v>
      </c>
      <c r="CC50" s="62">
        <f t="shared" si="11"/>
        <v>533.99430438908155</v>
      </c>
      <c r="CD50" s="62">
        <f ca="1">AVERAGE(OFFSET($CC$3,0,0,'Données projet'!$E$12+1,1))-AVERAGE(OFFSET($H$3,0,0,'Données projet'!$E$12+1,1))</f>
        <v>197.51529454208725</v>
      </c>
      <c r="CE50" s="62">
        <f t="shared" si="40"/>
        <v>196.65362486387215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9.492615507754401</v>
      </c>
      <c r="CL50" s="23">
        <f>EXP(-LN(2)/25)*CL49+(1-EXP(-LN(2)/25))/(LN(2)/25)*Calculateur!CG50*Calculateur!CI50*VLOOKUP('Données projet'!$B$12,Paramètres!$A$1:$I$89,3,0)*0.475*44/12</f>
        <v>0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9.492615507754401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11.2</v>
      </c>
      <c r="CT50" s="13">
        <f>IF('Données projet'!$A$140&gt;35,CT49+CS50-DB49,IF(A50&lt;'Données projet'!$A$140,$CQ$205^A50,IF(A50='Données projet'!$A$140,'Données projet'!$B$140,CT49+CS50-DB49)))</f>
        <v>281.40000000000009</v>
      </c>
      <c r="CU50" s="18">
        <f>CT50*VLOOKUP('Données projet'!$B$13,Paramètres!$A$1:$I$89,3,0)*VLOOKUP('Données projet'!$B$13,Paramètres!$A$1:$I$89,5,0)</f>
        <v>153.64440000000005</v>
      </c>
      <c r="CV50" s="14">
        <f t="shared" si="41"/>
        <v>39.405627951004689</v>
      </c>
      <c r="CW50" s="22">
        <f t="shared" si="13"/>
        <v>336.22879868133322</v>
      </c>
      <c r="CX50" s="62">
        <f t="shared" si="14"/>
        <v>629.56213201466653</v>
      </c>
      <c r="CY50" s="62">
        <f ca="1">AVERAGE(OFFSET($CX$3,0,0,'Données projet'!$E$13+1,1))-AVERAGE(OFFSET($H$3,0,0,'Données projet'!$E$13+1,1))</f>
        <v>303.14853302260451</v>
      </c>
      <c r="CZ50" s="62">
        <f t="shared" si="42"/>
        <v>298.74602928001929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27.018481095169875</v>
      </c>
      <c r="DG50" s="23">
        <f>EXP(-LN(2)/25)*DG49+(1-EXP(-LN(2)/25))/(LN(2)/25)*Calculateur!DB50*Calculateur!DD50*VLOOKUP('Données projet'!$B$13,Paramètres!$A$1:$I$89,3,0)*0.475*44/12</f>
        <v>29.593454631459039</v>
      </c>
      <c r="DH50" s="23">
        <f>EXP(-LN(2)/2)*DH49+(1-EXP(-LN(2)/2))/(LN(2)/2)*DB50*DE50*VLOOKUP('Données projet'!$B$13,Paramètres!$A$1:$I$89,3,0)*0.475*44/12</f>
        <v>2.9848749613011987</v>
      </c>
      <c r="DI50" s="24">
        <f t="shared" si="15"/>
        <v>59.596810687930116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70">
        <f t="shared" si="1"/>
        <v>256.66666666666669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8.8971428571428586</v>
      </c>
      <c r="N51" s="14">
        <f>IF('Données projet'!$A$36&gt;35,N50+M51-V50,IF(A51&lt;'Données projet'!$A$36,$K$205^A51,IF(A51='Données projet'!$A$36,'Données projet'!$B$36,N50+M51-V50)))</f>
        <v>152.32857142857145</v>
      </c>
      <c r="O51" s="14">
        <f>N51*VLOOKUP('Données projet'!$B$9,Paramètres!$A$1:$I$89,3,0)*VLOOKUP('Données projet'!$B$9,Paramètres!$A$1:$I$89,5,0)</f>
        <v>137.82689142857146</v>
      </c>
      <c r="P51" s="14">
        <f t="shared" si="33"/>
        <v>35.798724483163042</v>
      </c>
      <c r="Q51" s="22">
        <f t="shared" si="53"/>
        <v>302.39794771293754</v>
      </c>
      <c r="R51" s="62">
        <f t="shared" si="0"/>
        <v>595.73128104627085</v>
      </c>
      <c r="S51" s="62">
        <f ca="1">AVERAGE(OFFSET($R$3,0,0,'Données projet'!$E$9+1,1))-AVERAGE(OFFSET($H$3,0,0,'Données projet'!$E$9+1,1))</f>
        <v>441.6145113257511</v>
      </c>
      <c r="T51" s="62">
        <f t="shared" si="34"/>
        <v>295.8399381972477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5.8814597558237747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5.8814597558237747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19.777777777777779</v>
      </c>
      <c r="AI51" s="14">
        <f>IF('Données projet'!$A$62&gt;35,AI50+AH51-AQ50,IF(A51&lt;'Données projet'!$A$62,$AF$205^A51,IF(A51='Données projet'!$A$62,'Données projet'!$B$62,AI50+AH51-AQ50)))</f>
        <v>395.6666666666668</v>
      </c>
      <c r="AJ51" s="14">
        <f>AI51*VLOOKUP('Données projet'!$B$10,Paramètres!$A$1:$I$89,3,0)*VLOOKUP('Données projet'!$B$10,Paramètres!$A$1:$I$89,5,0)</f>
        <v>339.48200000000014</v>
      </c>
      <c r="AK51" s="14">
        <f t="shared" si="35"/>
        <v>79.392914847187868</v>
      </c>
      <c r="AL51" s="22">
        <f t="shared" si="4"/>
        <v>729.54047669218573</v>
      </c>
      <c r="AM51" s="62">
        <f t="shared" si="5"/>
        <v>1022.8738100255191</v>
      </c>
      <c r="AN51" s="62">
        <f ca="1">AVERAGE(OFFSET($AM$3,0,0,'Données projet'!$E$10+1,1))-AVERAGE(OFFSET($H$3,0,0,'Données projet'!$E$10+1,1))</f>
        <v>623.31285537237943</v>
      </c>
      <c r="AO51" s="62">
        <f t="shared" si="36"/>
        <v>462.33909258902241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39.741749650340466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39.741749650340466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7.2</v>
      </c>
      <c r="BD51" s="13">
        <f>IF('Données projet'!$A$88&gt;35,BD50+BC51-BL50,IF(A51&lt;'Données projet'!$A$88,$BA$205^A51,IF(A51='Données projet'!$A$88,'Données projet'!$B$88,BD50+BC51-BL50)))</f>
        <v>204.59999999999991</v>
      </c>
      <c r="BE51" s="14">
        <f>BD51*VLOOKUP('Données projet'!$B$11,Paramètres!$A$1:$I$89,3,0)*VLOOKUP('Données projet'!$B$11,Paramètres!$A$1:$I$89,5,0)</f>
        <v>162.77975999999995</v>
      </c>
      <c r="BF51" s="14">
        <f t="shared" si="37"/>
        <v>41.468868129640057</v>
      </c>
      <c r="BG51" s="22">
        <f t="shared" si="7"/>
        <v>355.73302732578964</v>
      </c>
      <c r="BH51" s="62">
        <f t="shared" si="8"/>
        <v>649.06636065912289</v>
      </c>
      <c r="BI51" s="62">
        <f ca="1">AVERAGE(OFFSET($BH$3,0,0,'Données projet'!$E$11+1,1))-AVERAGE(OFFSET($H$3,0,0,'Données projet'!$E$11+1,1))</f>
        <v>299.10536994156814</v>
      </c>
      <c r="BJ51" s="62">
        <f t="shared" si="38"/>
        <v>292.57799203101769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9.2251820152642168</v>
      </c>
      <c r="BQ51" s="23">
        <f>EXP(-LN(2)/25)*BQ50+(1-EXP(-LN(2)/25))/(LN(2)/25)*Calculateur!BL51*Calculateur!BN51*VLOOKUP('Données projet'!$B$11,Paramètres!$A$1:$I$89,3,0)*0.475*44/12</f>
        <v>0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9.2251820152642168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6.6500000000000021</v>
      </c>
      <c r="BY51" s="13">
        <f>IF('Données projet'!$A$114&gt;35,BY50+BX51-CG50,IF(A51&lt;'Données projet'!$A$114,$BV$205^A51,IF(A51='Données projet'!$A$114,'Données projet'!$B$114,BY50+BX51-CG50)))</f>
        <v>146.48000000000002</v>
      </c>
      <c r="BZ51" s="14">
        <f>BY51*VLOOKUP('Données projet'!$B$12,Paramètres!$A$1:$I$89,3,0)*VLOOKUP('Données projet'!$B$12,Paramètres!$A$1:$I$89,5,0)</f>
        <v>114.25440000000002</v>
      </c>
      <c r="CA51" s="14">
        <f t="shared" si="39"/>
        <v>30.33112992233977</v>
      </c>
      <c r="CB51" s="22">
        <f t="shared" si="10"/>
        <v>251.81979794807512</v>
      </c>
      <c r="CC51" s="62">
        <f t="shared" si="11"/>
        <v>545.15313128140838</v>
      </c>
      <c r="CD51" s="62">
        <f ca="1">AVERAGE(OFFSET($CC$3,0,0,'Données projet'!$E$12+1,1))-AVERAGE(OFFSET($H$3,0,0,'Données projet'!$E$12+1,1))</f>
        <v>197.51529454208725</v>
      </c>
      <c r="CE51" s="62">
        <f t="shared" si="40"/>
        <v>196.65362486387215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9.30647110757109</v>
      </c>
      <c r="CL51" s="23">
        <f>EXP(-LN(2)/25)*CL50+(1-EXP(-LN(2)/25))/(LN(2)/25)*Calculateur!CG51*Calculateur!CI51*VLOOKUP('Données projet'!$B$12,Paramètres!$A$1:$I$89,3,0)*0.475*44/12</f>
        <v>0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9.30647110757109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11.2</v>
      </c>
      <c r="CT51" s="13">
        <f>IF('Données projet'!$A$140&gt;35,CT50+CS51-DB50,IF(A51&lt;'Données projet'!$A$140,$CQ$205^A51,IF(A51='Données projet'!$A$140,'Données projet'!$B$140,CT50+CS51-DB50)))</f>
        <v>292.60000000000008</v>
      </c>
      <c r="CU51" s="18">
        <f>CT51*VLOOKUP('Données projet'!$B$13,Paramètres!$A$1:$I$89,3,0)*VLOOKUP('Données projet'!$B$13,Paramètres!$A$1:$I$89,5,0)</f>
        <v>159.75960000000003</v>
      </c>
      <c r="CV51" s="14">
        <f t="shared" si="41"/>
        <v>40.788287771458215</v>
      </c>
      <c r="CW51" s="22">
        <f t="shared" si="13"/>
        <v>349.28757120195638</v>
      </c>
      <c r="CX51" s="62">
        <f t="shared" si="14"/>
        <v>642.6209045352897</v>
      </c>
      <c r="CY51" s="62">
        <f ca="1">AVERAGE(OFFSET($CX$3,0,0,'Données projet'!$E$13+1,1))-AVERAGE(OFFSET($H$3,0,0,'Données projet'!$E$13+1,1))</f>
        <v>303.14853302260451</v>
      </c>
      <c r="CZ51" s="62">
        <f t="shared" si="42"/>
        <v>298.74602928001929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26.488665160539831</v>
      </c>
      <c r="DG51" s="23">
        <f>EXP(-LN(2)/25)*DG50+(1-EXP(-LN(2)/25))/(LN(2)/25)*Calculateur!DB51*Calculateur!DD51*VLOOKUP('Données projet'!$B$13,Paramètres!$A$1:$I$89,3,0)*0.475*44/12</f>
        <v>28.78422005830965</v>
      </c>
      <c r="DH51" s="23">
        <f>EXP(-LN(2)/2)*DH50+(1-EXP(-LN(2)/2))/(LN(2)/2)*DB51*DE51*VLOOKUP('Données projet'!$B$13,Paramètres!$A$1:$I$89,3,0)*0.475*44/12</f>
        <v>2.1106253261300112</v>
      </c>
      <c r="DI51" s="24">
        <f t="shared" si="15"/>
        <v>57.383510544979494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70">
        <f t="shared" si="1"/>
        <v>256.66666666666669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8.8971428571428586</v>
      </c>
      <c r="N52" s="14">
        <f>IF('Données projet'!$A$36&gt;35,N51+M52-V51,IF(A52&lt;'Données projet'!$A$36,$K$205^A52,IF(A52='Données projet'!$A$36,'Données projet'!$B$36,N51+M52-V51)))</f>
        <v>161.2257142857143</v>
      </c>
      <c r="O52" s="14">
        <f>N52*VLOOKUP('Données projet'!$B$9,Paramètres!$A$1:$I$89,3,0)*VLOOKUP('Données projet'!$B$9,Paramètres!$A$1:$I$89,5,0)</f>
        <v>145.87702628571429</v>
      </c>
      <c r="P52" s="14">
        <f t="shared" si="33"/>
        <v>37.640110622547454</v>
      </c>
      <c r="Q52" s="22">
        <f t="shared" si="53"/>
        <v>319.62568011522256</v>
      </c>
      <c r="R52" s="62">
        <f t="shared" si="0"/>
        <v>612.95901344855588</v>
      </c>
      <c r="S52" s="62">
        <f ca="1">AVERAGE(OFFSET($R$3,0,0,'Données projet'!$E$9+1,1))-AVERAGE(OFFSET($H$3,0,0,'Données projet'!$E$9+1,1))</f>
        <v>441.6145113257511</v>
      </c>
      <c r="T52" s="62">
        <f t="shared" si="34"/>
        <v>295.8399381972477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5.7661279173483013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5.7661279173483013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19.777777777777779</v>
      </c>
      <c r="AI52" s="14">
        <f>IF('Données projet'!$A$62&gt;35,AI51+AH52-AQ51,IF(A52&lt;'Données projet'!$A$62,$AF$205^A52,IF(A52='Données projet'!$A$62,'Données projet'!$B$62,AI51+AH52-AQ51)))</f>
        <v>415.44444444444457</v>
      </c>
      <c r="AJ52" s="14">
        <f>AI52*VLOOKUP('Données projet'!$B$10,Paramètres!$A$1:$I$89,3,0)*VLOOKUP('Données projet'!$B$10,Paramètres!$A$1:$I$89,5,0)</f>
        <v>356.45133333333348</v>
      </c>
      <c r="AK52" s="14">
        <f t="shared" si="35"/>
        <v>82.889492395711216</v>
      </c>
      <c r="AL52" s="22">
        <f t="shared" si="4"/>
        <v>765.18527147808618</v>
      </c>
      <c r="AM52" s="62">
        <f t="shared" si="5"/>
        <v>1058.5186048114194</v>
      </c>
      <c r="AN52" s="62">
        <f ca="1">AVERAGE(OFFSET($AM$3,0,0,'Données projet'!$E$10+1,1))-AVERAGE(OFFSET($H$3,0,0,'Données projet'!$E$10+1,1))</f>
        <v>623.31285537237943</v>
      </c>
      <c r="AO52" s="62">
        <f t="shared" si="36"/>
        <v>462.33909258902241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38.96243817977107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38.96243817977107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7.2</v>
      </c>
      <c r="BD52" s="13">
        <f>IF('Données projet'!$A$88&gt;35,BD51+BC52-BL51,IF(A52&lt;'Données projet'!$A$88,$BA$205^A52,IF(A52='Données projet'!$A$88,'Données projet'!$B$88,BD51+BC52-BL51)))</f>
        <v>211.7999999999999</v>
      </c>
      <c r="BE52" s="14">
        <f>BD52*VLOOKUP('Données projet'!$B$11,Paramètres!$A$1:$I$89,3,0)*VLOOKUP('Données projet'!$B$11,Paramètres!$A$1:$I$89,5,0)</f>
        <v>168.50807999999992</v>
      </c>
      <c r="BF52" s="14">
        <f t="shared" si="37"/>
        <v>42.755711908378117</v>
      </c>
      <c r="BG52" s="22">
        <f t="shared" si="7"/>
        <v>367.95110424042508</v>
      </c>
      <c r="BH52" s="62">
        <f t="shared" si="8"/>
        <v>661.2844375737584</v>
      </c>
      <c r="BI52" s="62">
        <f ca="1">AVERAGE(OFFSET($BH$3,0,0,'Données projet'!$E$11+1,1))-AVERAGE(OFFSET($H$3,0,0,'Données projet'!$E$11+1,1))</f>
        <v>299.10536994156814</v>
      </c>
      <c r="BJ52" s="62">
        <f t="shared" si="38"/>
        <v>292.57799203101769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9.0442818227503139</v>
      </c>
      <c r="BQ52" s="23">
        <f>EXP(-LN(2)/25)*BQ51+(1-EXP(-LN(2)/25))/(LN(2)/25)*Calculateur!BL52*Calculateur!BN52*VLOOKUP('Données projet'!$B$11,Paramètres!$A$1:$I$89,3,0)*0.475*44/12</f>
        <v>0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9.0442818227503139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6.6500000000000021</v>
      </c>
      <c r="BY52" s="13">
        <f>IF('Données projet'!$A$114&gt;35,BY51+BX52-CG51,IF(A52&lt;'Données projet'!$A$114,$BV$205^A52,IF(A52='Données projet'!$A$114,'Données projet'!$B$114,BY51+BX52-CG51)))</f>
        <v>153.13000000000002</v>
      </c>
      <c r="BZ52" s="14">
        <f>BY52*VLOOKUP('Données projet'!$B$12,Paramètres!$A$1:$I$89,3,0)*VLOOKUP('Données projet'!$B$12,Paramètres!$A$1:$I$89,5,0)</f>
        <v>119.44140000000002</v>
      </c>
      <c r="CA52" s="14">
        <f t="shared" si="39"/>
        <v>31.544679659334971</v>
      </c>
      <c r="CB52" s="22">
        <f t="shared" si="10"/>
        <v>262.96742207334177</v>
      </c>
      <c r="CC52" s="62">
        <f t="shared" si="11"/>
        <v>556.30075540667508</v>
      </c>
      <c r="CD52" s="62">
        <f ca="1">AVERAGE(OFFSET($CC$3,0,0,'Données projet'!$E$12+1,1))-AVERAGE(OFFSET($H$3,0,0,'Données projet'!$E$12+1,1))</f>
        <v>197.51529454208725</v>
      </c>
      <c r="CE52" s="62">
        <f t="shared" si="40"/>
        <v>196.65362486387215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9.1239768855385002</v>
      </c>
      <c r="CL52" s="23">
        <f>EXP(-LN(2)/25)*CL51+(1-EXP(-LN(2)/25))/(LN(2)/25)*Calculateur!CG52*Calculateur!CI52*VLOOKUP('Données projet'!$B$12,Paramètres!$A$1:$I$89,3,0)*0.475*44/12</f>
        <v>0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9.1239768855385002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11.2</v>
      </c>
      <c r="CT52" s="13">
        <f>IF('Données projet'!$A$140&gt;35,CT51+CS52-DB51,IF(A52&lt;'Données projet'!$A$140,$CQ$205^A52,IF(A52='Données projet'!$A$140,'Données projet'!$B$140,CT51+CS52-DB51)))</f>
        <v>303.80000000000007</v>
      </c>
      <c r="CU52" s="18">
        <f>CT52*VLOOKUP('Données projet'!$B$13,Paramètres!$A$1:$I$89,3,0)*VLOOKUP('Données projet'!$B$13,Paramètres!$A$1:$I$89,5,0)</f>
        <v>165.87480000000002</v>
      </c>
      <c r="CV52" s="14">
        <f t="shared" si="41"/>
        <v>42.164799265555217</v>
      </c>
      <c r="CW52" s="22">
        <f t="shared" si="13"/>
        <v>362.33563538750872</v>
      </c>
      <c r="CX52" s="62">
        <f t="shared" si="14"/>
        <v>655.66896872084203</v>
      </c>
      <c r="CY52" s="62">
        <f ca="1">AVERAGE(OFFSET($CX$3,0,0,'Données projet'!$E$13+1,1))-AVERAGE(OFFSET($H$3,0,0,'Données projet'!$E$13+1,1))</f>
        <v>303.14853302260451</v>
      </c>
      <c r="CZ52" s="62">
        <f t="shared" si="42"/>
        <v>298.74602928001929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25.969238593232074</v>
      </c>
      <c r="DG52" s="23">
        <f>EXP(-LN(2)/25)*DG51+(1-EXP(-LN(2)/25))/(LN(2)/25)*Calculateur!DB52*Calculateur!DD52*VLOOKUP('Données projet'!$B$13,Paramètres!$A$1:$I$89,3,0)*0.475*44/12</f>
        <v>27.997114047118828</v>
      </c>
      <c r="DH52" s="23">
        <f>EXP(-LN(2)/2)*DH51+(1-EXP(-LN(2)/2))/(LN(2)/2)*DB52*DE52*VLOOKUP('Données projet'!$B$13,Paramètres!$A$1:$I$89,3,0)*0.475*44/12</f>
        <v>1.4924374806505993</v>
      </c>
      <c r="DI52" s="24">
        <f t="shared" si="15"/>
        <v>55.458790121001506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70">
        <f t="shared" si="1"/>
        <v>256.66666666666669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8.8971428571428586</v>
      </c>
      <c r="N53" s="14">
        <f>IF('Données projet'!$A$36&gt;35,N52+M53-V52,IF(A53&lt;'Données projet'!$A$36,$K$205^A53,IF(A53='Données projet'!$A$36,'Données projet'!$B$36,N52+M53-V52)))</f>
        <v>170.12285714285716</v>
      </c>
      <c r="O53" s="14">
        <f>N53*VLOOKUP('Données projet'!$B$9,Paramètres!$A$1:$I$89,3,0)*VLOOKUP('Données projet'!$B$9,Paramètres!$A$1:$I$89,5,0)</f>
        <v>153.92716114285716</v>
      </c>
      <c r="P53" s="14">
        <f t="shared" si="33"/>
        <v>39.46970027323875</v>
      </c>
      <c r="Q53" s="22">
        <f t="shared" si="53"/>
        <v>336.83286696636702</v>
      </c>
      <c r="R53" s="62">
        <f t="shared" si="0"/>
        <v>630.16620029970034</v>
      </c>
      <c r="S53" s="62">
        <f ca="1">AVERAGE(OFFSET($R$3,0,0,'Données projet'!$E$9+1,1))-AVERAGE(OFFSET($H$3,0,0,'Données projet'!$E$9+1,1))</f>
        <v>441.6145113257511</v>
      </c>
      <c r="T53" s="62">
        <f t="shared" si="34"/>
        <v>295.8399381972477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5.6530576658798566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5.6530576658798566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19.777777777777779</v>
      </c>
      <c r="AI53" s="14">
        <f>IF('Données projet'!$A$62&gt;35,AI52+AH53-AQ52,IF(A53&lt;'Données projet'!$A$62,$AF$205^A53,IF(A53='Données projet'!$A$62,'Données projet'!$B$62,AI52+AH53-AQ52)))</f>
        <v>435.22222222222234</v>
      </c>
      <c r="AJ53" s="14">
        <f>AI53*VLOOKUP('Données projet'!$B$10,Paramètres!$A$1:$I$89,3,0)*VLOOKUP('Données projet'!$B$10,Paramètres!$A$1:$I$89,5,0)</f>
        <v>373.42066666666682</v>
      </c>
      <c r="AK53" s="14">
        <f t="shared" si="35"/>
        <v>86.366739974019524</v>
      </c>
      <c r="AL53" s="22">
        <f t="shared" si="4"/>
        <v>800.79639989919531</v>
      </c>
      <c r="AM53" s="62">
        <f t="shared" si="5"/>
        <v>1094.1297332325287</v>
      </c>
      <c r="AN53" s="62">
        <f ca="1">AVERAGE(OFFSET($AM$3,0,0,'Données projet'!$E$10+1,1))-AVERAGE(OFFSET($H$3,0,0,'Données projet'!$E$10+1,1))</f>
        <v>623.31285537237943</v>
      </c>
      <c r="AO53" s="62">
        <f t="shared" si="36"/>
        <v>462.33909258902241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38.198408531806479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38.198408531806479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219</v>
      </c>
      <c r="BB53" s="13">
        <f>VLOOKUP(A53,'Données projet'!$A$87:$I$107,9,0)</f>
        <v>7.2</v>
      </c>
      <c r="BC53" s="13">
        <f t="array" ref="BC53">INDEX(BB:BB,MIN(IF(ISNUMBER(BB53:BB249),ROW(BB53:BB249),"")))</f>
        <v>7.2</v>
      </c>
      <c r="BD53" s="13">
        <f>IF('Données projet'!$A$88&gt;35,BD52+BC53-BL52,IF(A53&lt;'Données projet'!$A$88,$BA$205^A53,IF(A53='Données projet'!$A$88,'Données projet'!$B$88,BD52+BC53-BL52)))</f>
        <v>218.99999999999989</v>
      </c>
      <c r="BE53" s="14">
        <f>BD53*VLOOKUP('Données projet'!$B$11,Paramètres!$A$1:$I$89,3,0)*VLOOKUP('Données projet'!$B$11,Paramètres!$A$1:$I$89,5,0)</f>
        <v>174.23639999999992</v>
      </c>
      <c r="BF53" s="14">
        <f t="shared" si="37"/>
        <v>44.03747274965864</v>
      </c>
      <c r="BG53" s="22">
        <f t="shared" si="7"/>
        <v>380.160328372322</v>
      </c>
      <c r="BH53" s="62">
        <f t="shared" si="8"/>
        <v>673.49366170565531</v>
      </c>
      <c r="BI53" s="62">
        <f ca="1">AVERAGE(OFFSET($BH$3,0,0,'Données projet'!$E$11+1,1))-AVERAGE(OFFSET($H$3,0,0,'Données projet'!$E$11+1,1))</f>
        <v>299.10536994156814</v>
      </c>
      <c r="BJ53" s="62">
        <f t="shared" si="38"/>
        <v>292.57799203101769</v>
      </c>
      <c r="BK53" s="16">
        <f>IF(ISNA(VLOOKUP(A53,'Données projet'!$A$87:$I$107,3,0)),0,VLOOKUP(A53,'Données projet'!$A$87:$I$107,3,0))</f>
        <v>8</v>
      </c>
      <c r="BL53" s="16">
        <f>IF(ISNA(VLOOKUP(A53,'Données projet'!$A$87:$I$107,4,0)),0,VLOOKUP(A53,'Données projet'!$A$87:$I$107,4,0))</f>
        <v>17</v>
      </c>
      <c r="BM53" s="17">
        <f>IF(ISNA(VLOOKUP(A53,'Données projet'!$A$87:$I$107,5,0)),0%,VLOOKUP(A53,'Données projet'!$A$87:$I$107,5,0)*VLOOKUP('Données projet'!$B$11,Paramètres!$A$1:$I$89,7,0))</f>
        <v>0.26500000000000001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12.829131586647037</v>
      </c>
      <c r="BQ53" s="23">
        <f>EXP(-LN(2)/25)*BQ52+(1-EXP(-LN(2)/25))/(LN(2)/25)*Calculateur!BL53*Calculateur!BN53*VLOOKUP('Données projet'!$B$11,Paramètres!$A$1:$I$89,3,0)*0.475*44/12</f>
        <v>0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12.829131586647037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6.6500000000000021</v>
      </c>
      <c r="BY53" s="13">
        <f>IF('Données projet'!$A$114&gt;35,BY52+BX53-CG52,IF(A53&lt;'Données projet'!$A$114,$BV$205^A53,IF(A53='Données projet'!$A$114,'Données projet'!$B$114,BY52+BX53-CG52)))</f>
        <v>159.78000000000003</v>
      </c>
      <c r="BZ53" s="14">
        <f>BY53*VLOOKUP('Données projet'!$B$12,Paramètres!$A$1:$I$89,3,0)*VLOOKUP('Données projet'!$B$12,Paramètres!$A$1:$I$89,5,0)</f>
        <v>124.62840000000003</v>
      </c>
      <c r="CA53" s="14">
        <f t="shared" si="39"/>
        <v>32.752108445357337</v>
      </c>
      <c r="CB53" s="22">
        <f t="shared" si="10"/>
        <v>274.1043855423307</v>
      </c>
      <c r="CC53" s="62">
        <f t="shared" si="11"/>
        <v>567.43771887566402</v>
      </c>
      <c r="CD53" s="62">
        <f ca="1">AVERAGE(OFFSET($CC$3,0,0,'Données projet'!$E$12+1,1))-AVERAGE(OFFSET($H$3,0,0,'Données projet'!$E$12+1,1))</f>
        <v>197.51529454208725</v>
      </c>
      <c r="CE53" s="62">
        <f t="shared" si="40"/>
        <v>196.65362486387215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8.9450612638894853</v>
      </c>
      <c r="CL53" s="23">
        <f>EXP(-LN(2)/25)*CL52+(1-EXP(-LN(2)/25))/(LN(2)/25)*Calculateur!CG53*Calculateur!CI53*VLOOKUP('Données projet'!$B$12,Paramètres!$A$1:$I$89,3,0)*0.475*44/12</f>
        <v>0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8.9450612638894853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315</v>
      </c>
      <c r="CR53" s="13">
        <f>VLOOKUP(A53,'Données projet'!$A$139:$I$159,9,0)</f>
        <v>11.2</v>
      </c>
      <c r="CS53" s="13">
        <f t="array" ref="CS53">INDEX(CR:CR,MIN(IF(ISNUMBER(CR53:CR249),ROW(CR53:CR249),"")))</f>
        <v>11.2</v>
      </c>
      <c r="CT53" s="13">
        <f>IF('Données projet'!$A$140&gt;35,CT52+CS53-DB52,IF(A53&lt;'Données projet'!$A$140,$CQ$205^A53,IF(A53='Données projet'!$A$140,'Données projet'!$B$140,CT52+CS53-DB52)))</f>
        <v>315.00000000000006</v>
      </c>
      <c r="CU53" s="18">
        <f>CT53*VLOOKUP('Données projet'!$B$13,Paramètres!$A$1:$I$89,3,0)*VLOOKUP('Données projet'!$B$13,Paramètres!$A$1:$I$89,5,0)</f>
        <v>171.99</v>
      </c>
      <c r="CV53" s="14">
        <f t="shared" si="41"/>
        <v>43.53541505793509</v>
      </c>
      <c r="CW53" s="22">
        <f t="shared" si="13"/>
        <v>375.37343122590363</v>
      </c>
      <c r="CX53" s="62">
        <f t="shared" si="14"/>
        <v>668.70676455923694</v>
      </c>
      <c r="CY53" s="62">
        <f ca="1">AVERAGE(OFFSET($CX$3,0,0,'Données projet'!$E$13+1,1))-AVERAGE(OFFSET($H$3,0,0,'Données projet'!$E$13+1,1))</f>
        <v>303.14853302260451</v>
      </c>
      <c r="CZ53" s="62">
        <f t="shared" si="42"/>
        <v>298.74602928001929</v>
      </c>
      <c r="DA53" s="16">
        <f>IF(ISNA(VLOOKUP(A53,'Données projet'!$A$139:$I$159,3,0)),0,VLOOKUP(A53,'Données projet'!$A$139:$I$159,3,0))</f>
        <v>9</v>
      </c>
      <c r="DB53" s="16">
        <f>IF(ISNA(VLOOKUP(A53,'Données projet'!$A$139:$I$159,4,0)),0,VLOOKUP(A53,'Données projet'!$A$139:$I$159,4,0))</f>
        <v>31</v>
      </c>
      <c r="DC53" s="17">
        <f>IF(ISNA(VLOOKUP(A53,'Données projet'!$A$139:$I$159,5,0)),0%,VLOOKUP(A53,'Données projet'!$A$139:$I$159,5,0)*VLOOKUP('Données projet'!$B$13,Paramètres!$A$1:$I$89,7,0))</f>
        <v>0.3</v>
      </c>
      <c r="DD53" s="17">
        <f>IF(ISNA(VLOOKUP(A53,'Données projet'!$A$139:$I$159,6,0)),0%,VLOOKUP(A53,'Données projet'!$A$139:$I$159,6,0)*VLOOKUP('Données projet'!$B$13,Paramètres!$A$1:$I$89,7,0))</f>
        <v>0.16800000000000001</v>
      </c>
      <c r="DE53" s="17">
        <f>IF(ISNA(VLOOKUP(A53,'Données projet'!$A$139:$I$159,7,0)),0%,VLOOKUP(A53,'Données projet'!$A$139:$I$159,7,0))</f>
        <v>0.21999999999999997</v>
      </c>
      <c r="DF53" s="23">
        <f>EXP(-LN(2)/35)*DF52+(1-EXP(-LN(2)/35))/(LN(2)/35)*DB53*DC53*VLOOKUP('Données projet'!$B$13,Paramètres!$A$1:$I$89,3,0)*0.475*44/12</f>
        <v>32.196026655921195</v>
      </c>
      <c r="DG53" s="23">
        <f>EXP(-LN(2)/25)*DG52+(1-EXP(-LN(2)/25))/(LN(2)/25)*Calculateur!DB53*Calculateur!DD53*VLOOKUP('Données projet'!$B$13,Paramètres!$A$1:$I$89,3,0)*0.475*44/12</f>
        <v>30.988855231470726</v>
      </c>
      <c r="DH53" s="23">
        <f>EXP(-LN(2)/2)*DH52+(1-EXP(-LN(2)/2))/(LN(2)/2)*DB53*DE53*VLOOKUP('Données projet'!$B$13,Paramètres!$A$1:$I$89,3,0)*0.475*44/12</f>
        <v>5.2714287140102556</v>
      </c>
      <c r="DI53" s="24">
        <f t="shared" si="15"/>
        <v>68.45631060140218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70">
        <f t="shared" si="1"/>
        <v>256.66666666666669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>
        <f>VLOOKUP(A54,'Données projet'!$A$35:$I$55,2,0)</f>
        <v>179.02</v>
      </c>
      <c r="L54" s="13">
        <f>VLOOKUP(A54,'Données projet'!$A$35:$I$55,9,0)</f>
        <v>8.8971428571428586</v>
      </c>
      <c r="M54" s="13">
        <f t="array" ref="M54">INDEX(L:L,MIN(IF(ISNUMBER(L54:L250),ROW(L54:L250),"")))</f>
        <v>8.8971428571428586</v>
      </c>
      <c r="N54" s="14">
        <f>IF('Données projet'!$A$36&gt;35,N53+M54-V53,IF(A54&lt;'Données projet'!$A$36,$K$205^A54,IF(A54='Données projet'!$A$36,'Données projet'!$B$36,N53+M54-V53)))</f>
        <v>179.02</v>
      </c>
      <c r="O54" s="14">
        <f>N54*VLOOKUP('Données projet'!$B$9,Paramètres!$A$1:$I$89,3,0)*VLOOKUP('Données projet'!$B$9,Paramètres!$A$1:$I$89,5,0)</f>
        <v>161.977296</v>
      </c>
      <c r="P54" s="14">
        <f t="shared" si="33"/>
        <v>41.288180733775725</v>
      </c>
      <c r="Q54" s="22">
        <f t="shared" si="53"/>
        <v>354.02070531132603</v>
      </c>
      <c r="R54" s="62">
        <f t="shared" si="0"/>
        <v>647.35403864465934</v>
      </c>
      <c r="S54" s="62">
        <f ca="1">AVERAGE(OFFSET($R$3,0,0,'Données projet'!$E$9+1,1))-AVERAGE(OFFSET($H$3,0,0,'Données projet'!$E$9+1,1))</f>
        <v>441.6145113257511</v>
      </c>
      <c r="T54" s="62">
        <f t="shared" si="34"/>
        <v>295.8399381972477</v>
      </c>
      <c r="U54" s="16">
        <f>IF(ISNA(VLOOKUP(A54,'Données projet'!$A$35:$I$55,3,0)),0,VLOOKUP(A54,'Données projet'!$A$35:$I$55,3,0))</f>
        <v>2</v>
      </c>
      <c r="V54" s="16">
        <f>IF(ISNA(VLOOKUP(A54,'Données projet'!$A$35:$I$55,4,0)),0,VLOOKUP(A54,'Données projet'!$A$35:$I$55,4,0))</f>
        <v>46.13</v>
      </c>
      <c r="W54" s="17">
        <f>IF(ISNA(VLOOKUP(A54,'Données projet'!$A$35:$I$55,5,0)),0%,VLOOKUP(A54,'Données projet'!$A$35:$I$55,5,0)*VLOOKUP('Données projet'!$B$9,Paramètres!$A$1:$I$89,7,0))</f>
        <v>8.6000000000000007E-2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9.5102955152299646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9.5102955152299646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>
        <f>VLOOKUP(A54,'Données projet'!$A$61:$I$81,2,0)</f>
        <v>455</v>
      </c>
      <c r="AG54" s="13">
        <f>VLOOKUP(A54,'Données projet'!$A$61:$I$81,9,0)</f>
        <v>19.777777777777779</v>
      </c>
      <c r="AH54" s="13">
        <f t="array" ref="AH54">INDEX(AG:AG,MIN(IF(ISNUMBER(AG54:AG250),ROW(AG54:AG250),"")))</f>
        <v>19.777777777777779</v>
      </c>
      <c r="AI54" s="14">
        <f>IF('Données projet'!$A$62&gt;35,AI53+AH54-AQ53,IF(A54&lt;'Données projet'!$A$62,$AF$205^A54,IF(A54='Données projet'!$A$62,'Données projet'!$B$62,AI53+AH54-AQ53)))</f>
        <v>455.00000000000011</v>
      </c>
      <c r="AJ54" s="14">
        <f>AI54*VLOOKUP('Données projet'!$B$10,Paramètres!$A$1:$I$89,3,0)*VLOOKUP('Données projet'!$B$10,Paramètres!$A$1:$I$89,5,0)</f>
        <v>390.39000000000016</v>
      </c>
      <c r="AK54" s="14">
        <f t="shared" si="35"/>
        <v>89.825636339119924</v>
      </c>
      <c r="AL54" s="22">
        <f t="shared" si="4"/>
        <v>836.37556662396753</v>
      </c>
      <c r="AM54" s="62">
        <f t="shared" si="5"/>
        <v>1129.7088999573009</v>
      </c>
      <c r="AN54" s="62">
        <f ca="1">AVERAGE(OFFSET($AM$3,0,0,'Données projet'!$E$10+1,1))-AVERAGE(OFFSET($H$3,0,0,'Données projet'!$E$10+1,1))</f>
        <v>623.31285537237943</v>
      </c>
      <c r="AO54" s="62">
        <f t="shared" si="36"/>
        <v>462.33909258902241</v>
      </c>
      <c r="AP54" s="16">
        <f>IF(ISNA(VLOOKUP(A54,'Données projet'!$A$61:$I$81,3,0)),0,VLOOKUP(A54,'Données projet'!$A$61:$I$81,3,0))</f>
        <v>8</v>
      </c>
      <c r="AQ54" s="16">
        <f>IF(ISNA(VLOOKUP(A54,'Données projet'!$A$61:$I$81,4,0)),0,VLOOKUP(A54,'Données projet'!$A$61:$I$81,4,0))</f>
        <v>119</v>
      </c>
      <c r="AR54" s="17">
        <f>IF(ISNA(VLOOKUP(A54,'Données projet'!$A$61:$I$81,5,0)),0%,VLOOKUP(A54,'Données projet'!$A$61:$I$81,5,0)*VLOOKUP('Données projet'!$B$10,Paramètres!$A$1:$I$89,7,0))</f>
        <v>0.318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73.34225530698771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73.34225530698771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6</v>
      </c>
      <c r="BD54" s="13">
        <f>IF('Données projet'!$A$88&gt;35,BD53+BC54-BL53,IF(A54&lt;'Données projet'!$A$88,$BA$205^A54,IF(A54='Données projet'!$A$88,'Données projet'!$B$88,BD53+BC54-BL53)))</f>
        <v>207.99999999999989</v>
      </c>
      <c r="BE54" s="14">
        <f>BD54*VLOOKUP('Données projet'!$B$11,Paramètres!$A$1:$I$89,3,0)*VLOOKUP('Données projet'!$B$11,Paramètres!$A$1:$I$89,5,0)</f>
        <v>165.48479999999992</v>
      </c>
      <c r="BF54" s="14">
        <f t="shared" si="37"/>
        <v>42.077190125964002</v>
      </c>
      <c r="BG54" s="22">
        <f t="shared" si="7"/>
        <v>361.5037994693871</v>
      </c>
      <c r="BH54" s="62">
        <f t="shared" si="8"/>
        <v>654.83713280272036</v>
      </c>
      <c r="BI54" s="62">
        <f ca="1">AVERAGE(OFFSET($BH$3,0,0,'Données projet'!$E$11+1,1))-AVERAGE(OFFSET($H$3,0,0,'Données projet'!$E$11+1,1))</f>
        <v>299.10536994156814</v>
      </c>
      <c r="BJ54" s="62">
        <f t="shared" si="38"/>
        <v>292.57799203101769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12.577560141230503</v>
      </c>
      <c r="BQ54" s="23">
        <f>EXP(-LN(2)/25)*BQ53+(1-EXP(-LN(2)/25))/(LN(2)/25)*Calculateur!BL54*Calculateur!BN54*VLOOKUP('Données projet'!$B$11,Paramètres!$A$1:$I$89,3,0)*0.475*44/12</f>
        <v>0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12.577560141230503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6.6500000000000021</v>
      </c>
      <c r="BY54" s="13">
        <f>IF('Données projet'!$A$114&gt;35,BY53+BX54-CG53,IF(A54&lt;'Données projet'!$A$114,$BV$205^A54,IF(A54='Données projet'!$A$114,'Données projet'!$B$114,BY53+BX54-CG53)))</f>
        <v>166.43000000000004</v>
      </c>
      <c r="BZ54" s="14">
        <f>BY54*VLOOKUP('Données projet'!$B$12,Paramètres!$A$1:$I$89,3,0)*VLOOKUP('Données projet'!$B$12,Paramètres!$A$1:$I$89,5,0)</f>
        <v>129.81540000000004</v>
      </c>
      <c r="CA54" s="14">
        <f t="shared" si="39"/>
        <v>33.953700165242189</v>
      </c>
      <c r="CB54" s="22">
        <f t="shared" si="10"/>
        <v>285.23118278779691</v>
      </c>
      <c r="CC54" s="62">
        <f t="shared" si="11"/>
        <v>578.56451612113028</v>
      </c>
      <c r="CD54" s="62">
        <f ca="1">AVERAGE(OFFSET($CC$3,0,0,'Données projet'!$E$12+1,1))-AVERAGE(OFFSET($H$3,0,0,'Données projet'!$E$12+1,1))</f>
        <v>197.51529454208725</v>
      </c>
      <c r="CE54" s="62">
        <f t="shared" si="40"/>
        <v>196.65362486387215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8.7696540684532529</v>
      </c>
      <c r="CL54" s="23">
        <f>EXP(-LN(2)/25)*CL53+(1-EXP(-LN(2)/25))/(LN(2)/25)*Calculateur!CG54*Calculateur!CI54*VLOOKUP('Données projet'!$B$12,Paramètres!$A$1:$I$89,3,0)*0.475*44/12</f>
        <v>0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8.7696540684532529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10.199999999999999</v>
      </c>
      <c r="CT54" s="13">
        <f>IF('Données projet'!$A$140&gt;35,CT53+CS54-DB53,IF(A54&lt;'Données projet'!$A$140,$CQ$205^A54,IF(A54='Données projet'!$A$140,'Données projet'!$B$140,CT53+CS54-DB53)))</f>
        <v>294.20000000000005</v>
      </c>
      <c r="CU54" s="18">
        <f>CT54*VLOOKUP('Données projet'!$B$13,Paramètres!$A$1:$I$89,3,0)*VLOOKUP('Données projet'!$B$13,Paramètres!$A$1:$I$89,5,0)</f>
        <v>160.63320000000004</v>
      </c>
      <c r="CV54" s="14">
        <f t="shared" si="41"/>
        <v>40.985302587275342</v>
      </c>
      <c r="CW54" s="22">
        <f t="shared" si="13"/>
        <v>351.15222533950458</v>
      </c>
      <c r="CX54" s="62">
        <f t="shared" si="14"/>
        <v>644.4855586728379</v>
      </c>
      <c r="CY54" s="62">
        <f ca="1">AVERAGE(OFFSET($CX$3,0,0,'Données projet'!$E$13+1,1))-AVERAGE(OFFSET($H$3,0,0,'Données projet'!$E$13+1,1))</f>
        <v>303.14853302260451</v>
      </c>
      <c r="CZ54" s="62">
        <f t="shared" si="42"/>
        <v>298.74602928001929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31.564682210835784</v>
      </c>
      <c r="DG54" s="23">
        <f>EXP(-LN(2)/25)*DG53+(1-EXP(-LN(2)/25))/(LN(2)/25)*Calculateur!DB54*Calculateur!DD54*VLOOKUP('Données projet'!$B$13,Paramètres!$A$1:$I$89,3,0)*0.475*44/12</f>
        <v>30.141463355533087</v>
      </c>
      <c r="DH54" s="23">
        <f>EXP(-LN(2)/2)*DH53+(1-EXP(-LN(2)/2))/(LN(2)/2)*DB54*DE54*VLOOKUP('Données projet'!$B$13,Paramètres!$A$1:$I$89,3,0)*0.475*44/12</f>
        <v>3.7274629902181338</v>
      </c>
      <c r="DI54" s="24">
        <f t="shared" si="15"/>
        <v>65.433608556587004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70">
        <f t="shared" si="1"/>
        <v>256.66666666666669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8.2874999999999979</v>
      </c>
      <c r="N55" s="14">
        <f>IF('Données projet'!$A$36&gt;35,N54+M55-V54,IF(A55&lt;'Données projet'!$A$36,$K$205^A55,IF(A55='Données projet'!$A$36,'Données projet'!$B$36,N54+M55-V54)))</f>
        <v>141.17750000000001</v>
      </c>
      <c r="O55" s="14">
        <f>N55*VLOOKUP('Données projet'!$B$9,Paramètres!$A$1:$I$89,3,0)*VLOOKUP('Données projet'!$B$9,Paramètres!$A$1:$I$89,5,0)</f>
        <v>127.73740199999999</v>
      </c>
      <c r="P55" s="14">
        <f t="shared" si="33"/>
        <v>33.473006314774921</v>
      </c>
      <c r="Q55" s="22">
        <f t="shared" si="53"/>
        <v>280.77479448156629</v>
      </c>
      <c r="R55" s="62">
        <f t="shared" si="0"/>
        <v>574.1081278148996</v>
      </c>
      <c r="S55" s="62">
        <f ca="1">AVERAGE(OFFSET($R$3,0,0,'Données projet'!$E$9+1,1))-AVERAGE(OFFSET($H$3,0,0,'Données projet'!$E$9+1,1))</f>
        <v>441.6145113257511</v>
      </c>
      <c r="T55" s="62">
        <f t="shared" si="34"/>
        <v>295.8399381972477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9.3238044208837962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9.3238044208837962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15.75</v>
      </c>
      <c r="AI55" s="14">
        <f>IF('Données projet'!$A$62&gt;35,AI54+AH55-AQ54,IF(A55&lt;'Données projet'!$A$62,$AF$205^A55,IF(A55='Données projet'!$A$62,'Données projet'!$B$62,AI54+AH55-AQ54)))</f>
        <v>351.75000000000011</v>
      </c>
      <c r="AJ55" s="14">
        <f>AI55*VLOOKUP('Données projet'!$B$10,Paramètres!$A$1:$I$89,3,0)*VLOOKUP('Données projet'!$B$10,Paramètres!$A$1:$I$89,5,0)</f>
        <v>301.80150000000015</v>
      </c>
      <c r="AK55" s="14">
        <f t="shared" si="35"/>
        <v>71.553995376057969</v>
      </c>
      <c r="AL55" s="22">
        <f t="shared" si="4"/>
        <v>650.26082111330118</v>
      </c>
      <c r="AM55" s="62">
        <f t="shared" si="5"/>
        <v>943.59415444663455</v>
      </c>
      <c r="AN55" s="62">
        <f ca="1">AVERAGE(OFFSET($AM$3,0,0,'Données projet'!$E$10+1,1))-AVERAGE(OFFSET($H$3,0,0,'Données projet'!$E$10+1,1))</f>
        <v>623.31285537237943</v>
      </c>
      <c r="AO55" s="62">
        <f t="shared" si="36"/>
        <v>462.33909258902241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71.904058414776273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71.904058414776273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6</v>
      </c>
      <c r="BD55" s="13">
        <f>IF('Données projet'!$A$88&gt;35,BD54+BC55-BL54,IF(A55&lt;'Données projet'!$A$88,$BA$205^A55,IF(A55='Données projet'!$A$88,'Données projet'!$B$88,BD54+BC55-BL54)))</f>
        <v>213.99999999999989</v>
      </c>
      <c r="BE55" s="14">
        <f>BD55*VLOOKUP('Données projet'!$B$11,Paramètres!$A$1:$I$89,3,0)*VLOOKUP('Données projet'!$B$11,Paramètres!$A$1:$I$89,5,0)</f>
        <v>170.25839999999991</v>
      </c>
      <c r="BF55" s="14">
        <f t="shared" si="37"/>
        <v>43.147891472685018</v>
      </c>
      <c r="BG55" s="22">
        <f t="shared" si="7"/>
        <v>371.68262431492622</v>
      </c>
      <c r="BH55" s="62">
        <f t="shared" si="8"/>
        <v>665.01595764825947</v>
      </c>
      <c r="BI55" s="62">
        <f ca="1">AVERAGE(OFFSET($BH$3,0,0,'Données projet'!$E$11+1,1))-AVERAGE(OFFSET($H$3,0,0,'Données projet'!$E$11+1,1))</f>
        <v>299.10536994156814</v>
      </c>
      <c r="BJ55" s="62">
        <f t="shared" si="38"/>
        <v>292.57799203101769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12.330921858415156</v>
      </c>
      <c r="BQ55" s="23">
        <f>EXP(-LN(2)/25)*BQ54+(1-EXP(-LN(2)/25))/(LN(2)/25)*Calculateur!BL55*Calculateur!BN55*VLOOKUP('Données projet'!$B$11,Paramètres!$A$1:$I$89,3,0)*0.475*44/12</f>
        <v>0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12.330921858415156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>
        <f>VLOOKUP(A55,'Données projet'!$A$113:$I$133,2,0)</f>
        <v>173.08</v>
      </c>
      <c r="BW55" s="13">
        <f>VLOOKUP(A55,'Données projet'!$A$113:$I$133,9,0)</f>
        <v>6.6500000000000021</v>
      </c>
      <c r="BX55" s="13">
        <f t="array" ref="BX55">INDEX(BW:BW,MIN(IF(ISNUMBER(BW55:BW251),ROW(BW55:BW251),"")))</f>
        <v>6.6500000000000021</v>
      </c>
      <c r="BY55" s="13">
        <f>IF('Données projet'!$A$114&gt;35,BY54+BX55-CG54,IF(A55&lt;'Données projet'!$A$114,$BV$205^A55,IF(A55='Données projet'!$A$114,'Données projet'!$B$114,BY54+BX55-CG54)))</f>
        <v>173.08000000000004</v>
      </c>
      <c r="BZ55" s="14">
        <f>BY55*VLOOKUP('Données projet'!$B$12,Paramètres!$A$1:$I$89,3,0)*VLOOKUP('Données projet'!$B$12,Paramètres!$A$1:$I$89,5,0)</f>
        <v>135.00240000000002</v>
      </c>
      <c r="CA55" s="14">
        <f t="shared" si="39"/>
        <v>35.149714733470852</v>
      </c>
      <c r="CB55" s="22">
        <f t="shared" si="10"/>
        <v>296.34826649412844</v>
      </c>
      <c r="CC55" s="62">
        <f t="shared" si="11"/>
        <v>589.6815998274617</v>
      </c>
      <c r="CD55" s="62">
        <f ca="1">AVERAGE(OFFSET($CC$3,0,0,'Données projet'!$E$12+1,1))-AVERAGE(OFFSET($H$3,0,0,'Données projet'!$E$12+1,1))</f>
        <v>197.51529454208725</v>
      </c>
      <c r="CE55" s="62">
        <f t="shared" si="40"/>
        <v>196.65362486387215</v>
      </c>
      <c r="CF55" s="16">
        <f>IF(ISNA(VLOOKUP(A55,'Données projet'!$A$113:$I$133,3,0)),0,VLOOKUP(A55,'Données projet'!$A$113:$I$133,3,0))</f>
        <v>7</v>
      </c>
      <c r="CG55" s="16">
        <f>IF(ISNA(VLOOKUP(A55,'Données projet'!$A$113:$I$133,4,0)),0,VLOOKUP(A55,'Données projet'!$A$113:$I$133,4,0))</f>
        <v>30.77</v>
      </c>
      <c r="CH55" s="17">
        <f>IF(ISNA(VLOOKUP(A55,'Données projet'!$A$113:$I$133,5,0)),0%,VLOOKUP(A55,'Données projet'!$A$113:$I$133,5,0)*VLOOKUP('Données projet'!$B$12,Paramètres!$A$1:$I$89,7,0))</f>
        <v>0.25800000000000001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15.442930218014482</v>
      </c>
      <c r="CL55" s="23">
        <f>EXP(-LN(2)/25)*CL54+(1-EXP(-LN(2)/25))/(LN(2)/25)*Calculateur!CG55*Calculateur!CI55*VLOOKUP('Données projet'!$B$12,Paramètres!$A$1:$I$89,3,0)*0.475*44/12</f>
        <v>0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15.442930218014482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10.199999999999999</v>
      </c>
      <c r="CT55" s="13">
        <f>IF('Données projet'!$A$140&gt;35,CT54+CS55-DB54,IF(A55&lt;'Données projet'!$A$140,$CQ$205^A55,IF(A55='Données projet'!$A$140,'Données projet'!$B$140,CT54+CS55-DB54)))</f>
        <v>304.40000000000003</v>
      </c>
      <c r="CU55" s="18">
        <f>CT55*VLOOKUP('Données projet'!$B$13,Paramètres!$A$1:$I$89,3,0)*VLOOKUP('Données projet'!$B$13,Paramètres!$A$1:$I$89,5,0)</f>
        <v>166.20240000000001</v>
      </c>
      <c r="CV55" s="14">
        <f t="shared" si="41"/>
        <v>42.238372413664599</v>
      </c>
      <c r="CW55" s="22">
        <f t="shared" si="13"/>
        <v>363.03434528713251</v>
      </c>
      <c r="CX55" s="62">
        <f t="shared" si="14"/>
        <v>656.36767862046577</v>
      </c>
      <c r="CY55" s="62">
        <f ca="1">AVERAGE(OFFSET($CX$3,0,0,'Données projet'!$E$13+1,1))-AVERAGE(OFFSET($H$3,0,0,'Données projet'!$E$13+1,1))</f>
        <v>303.14853302260451</v>
      </c>
      <c r="CZ55" s="62">
        <f t="shared" si="42"/>
        <v>298.74602928001929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30.945718045236411</v>
      </c>
      <c r="DG55" s="23">
        <f>EXP(-LN(2)/25)*DG54+(1-EXP(-LN(2)/25))/(LN(2)/25)*Calculateur!DB55*Calculateur!DD55*VLOOKUP('Données projet'!$B$13,Paramètres!$A$1:$I$89,3,0)*0.475*44/12</f>
        <v>29.317243455005368</v>
      </c>
      <c r="DH55" s="23">
        <f>EXP(-LN(2)/2)*DH54+(1-EXP(-LN(2)/2))/(LN(2)/2)*DB55*DE55*VLOOKUP('Données projet'!$B$13,Paramètres!$A$1:$I$89,3,0)*0.475*44/12</f>
        <v>2.6357143570051282</v>
      </c>
      <c r="DI55" s="24">
        <f t="shared" si="15"/>
        <v>62.898675857246907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70">
        <f t="shared" si="1"/>
        <v>256.66666666666669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8.2874999999999979</v>
      </c>
      <c r="N56" s="14">
        <f>IF('Données projet'!$A$36&gt;35,N55+M56-V55,IF(A56&lt;'Données projet'!$A$36,$K$205^A56,IF(A56='Données projet'!$A$36,'Données projet'!$B$36,N55+M56-V55)))</f>
        <v>149.465</v>
      </c>
      <c r="O56" s="14">
        <f>N56*VLOOKUP('Données projet'!$B$9,Paramètres!$A$1:$I$89,3,0)*VLOOKUP('Données projet'!$B$9,Paramètres!$A$1:$I$89,5,0)</f>
        <v>135.23593200000002</v>
      </c>
      <c r="P56" s="14">
        <f t="shared" si="33"/>
        <v>35.203435069936809</v>
      </c>
      <c r="Q56" s="22">
        <f t="shared" si="53"/>
        <v>296.84856431347328</v>
      </c>
      <c r="R56" s="62">
        <f t="shared" si="0"/>
        <v>590.18189764680665</v>
      </c>
      <c r="S56" s="62">
        <f ca="1">AVERAGE(OFFSET($R$3,0,0,'Données projet'!$E$9+1,1))-AVERAGE(OFFSET($H$3,0,0,'Données projet'!$E$9+1,1))</f>
        <v>441.6145113257511</v>
      </c>
      <c r="T56" s="62">
        <f t="shared" si="34"/>
        <v>295.8399381972477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9.1409703031494214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9.1409703031494214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15.75</v>
      </c>
      <c r="AI56" s="14">
        <f>IF('Données projet'!$A$62&gt;35,AI55+AH56-AQ55,IF(A56&lt;'Données projet'!$A$62,$AF$205^A56,IF(A56='Données projet'!$A$62,'Données projet'!$B$62,AI55+AH56-AQ55)))</f>
        <v>367.50000000000011</v>
      </c>
      <c r="AJ56" s="14">
        <f>AI56*VLOOKUP('Données projet'!$B$10,Paramètres!$A$1:$I$89,3,0)*VLOOKUP('Données projet'!$B$10,Paramètres!$A$1:$I$89,5,0)</f>
        <v>315.31500000000017</v>
      </c>
      <c r="AK56" s="14">
        <f t="shared" si="35"/>
        <v>74.377713122664133</v>
      </c>
      <c r="AL56" s="22">
        <f t="shared" si="4"/>
        <v>678.71480868864035</v>
      </c>
      <c r="AM56" s="62">
        <f t="shared" si="5"/>
        <v>972.04814202197372</v>
      </c>
      <c r="AN56" s="62">
        <f ca="1">AVERAGE(OFFSET($AM$3,0,0,'Données projet'!$E$10+1,1))-AVERAGE(OFFSET($H$3,0,0,'Données projet'!$E$10+1,1))</f>
        <v>623.31285537237943</v>
      </c>
      <c r="AO56" s="62">
        <f t="shared" si="36"/>
        <v>462.33909258902241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70.494063686407614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70.494063686407614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6</v>
      </c>
      <c r="BD56" s="13">
        <f>IF('Données projet'!$A$88&gt;35,BD55+BC56-BL55,IF(A56&lt;'Données projet'!$A$88,$BA$205^A56,IF(A56='Données projet'!$A$88,'Données projet'!$B$88,BD55+BC56-BL55)))</f>
        <v>219.99999999999989</v>
      </c>
      <c r="BE56" s="14">
        <f>BD56*VLOOKUP('Données projet'!$B$11,Paramètres!$A$1:$I$89,3,0)*VLOOKUP('Données projet'!$B$11,Paramètres!$A$1:$I$89,5,0)</f>
        <v>175.03199999999993</v>
      </c>
      <c r="BF56" s="14">
        <f t="shared" si="37"/>
        <v>44.215103743191008</v>
      </c>
      <c r="BG56" s="22">
        <f t="shared" si="7"/>
        <v>381.85537235272426</v>
      </c>
      <c r="BH56" s="62">
        <f t="shared" si="8"/>
        <v>675.18870568605757</v>
      </c>
      <c r="BI56" s="62">
        <f ca="1">AVERAGE(OFFSET($BH$3,0,0,'Données projet'!$E$11+1,1))-AVERAGE(OFFSET($H$3,0,0,'Données projet'!$E$11+1,1))</f>
        <v>299.10536994156814</v>
      </c>
      <c r="BJ56" s="62">
        <f t="shared" si="38"/>
        <v>292.57799203101769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12.089120001891319</v>
      </c>
      <c r="BQ56" s="23">
        <f>EXP(-LN(2)/25)*BQ55+(1-EXP(-LN(2)/25))/(LN(2)/25)*Calculateur!BL56*Calculateur!BN56*VLOOKUP('Données projet'!$B$11,Paramètres!$A$1:$I$89,3,0)*0.475*44/12</f>
        <v>0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12.089120001891319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6.0087499999999991</v>
      </c>
      <c r="BY56" s="13">
        <f>IF('Données projet'!$A$114&gt;35,BY55+BX56-CG55,IF(A56&lt;'Données projet'!$A$114,$BV$205^A56,IF(A56='Données projet'!$A$114,'Données projet'!$B$114,BY55+BX56-CG55)))</f>
        <v>148.31875000000002</v>
      </c>
      <c r="BZ56" s="14">
        <f>BY56*VLOOKUP('Données projet'!$B$12,Paramètres!$A$1:$I$89,3,0)*VLOOKUP('Données projet'!$B$12,Paramètres!$A$1:$I$89,5,0)</f>
        <v>115.68862500000002</v>
      </c>
      <c r="CA56" s="14">
        <f t="shared" si="39"/>
        <v>30.667310579609239</v>
      </c>
      <c r="CB56" s="22">
        <f t="shared" si="10"/>
        <v>254.90325446781944</v>
      </c>
      <c r="CC56" s="62">
        <f t="shared" si="11"/>
        <v>548.23658780115272</v>
      </c>
      <c r="CD56" s="62">
        <f ca="1">AVERAGE(OFFSET($CC$3,0,0,'Données projet'!$E$12+1,1))-AVERAGE(OFFSET($H$3,0,0,'Données projet'!$E$12+1,1))</f>
        <v>197.51529454208725</v>
      </c>
      <c r="CE56" s="62">
        <f t="shared" si="40"/>
        <v>196.65362486387215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15.140103775696577</v>
      </c>
      <c r="CL56" s="23">
        <f>EXP(-LN(2)/25)*CL55+(1-EXP(-LN(2)/25))/(LN(2)/25)*Calculateur!CG56*Calculateur!CI56*VLOOKUP('Données projet'!$B$12,Paramètres!$A$1:$I$89,3,0)*0.475*44/12</f>
        <v>0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15.140103775696577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10.199999999999999</v>
      </c>
      <c r="CT56" s="13">
        <f>IF('Données projet'!$A$140&gt;35,CT55+CS56-DB55,IF(A56&lt;'Données projet'!$A$140,$CQ$205^A56,IF(A56='Données projet'!$A$140,'Données projet'!$B$140,CT55+CS56-DB55)))</f>
        <v>314.60000000000002</v>
      </c>
      <c r="CU56" s="18">
        <f>CT56*VLOOKUP('Données projet'!$B$13,Paramètres!$A$1:$I$89,3,0)*VLOOKUP('Données projet'!$B$13,Paramètres!$A$1:$I$89,5,0)</f>
        <v>171.77160000000001</v>
      </c>
      <c r="CV56" s="14">
        <f t="shared" si="41"/>
        <v>43.486563328347792</v>
      </c>
      <c r="CW56" s="22">
        <f t="shared" si="13"/>
        <v>374.90796779687236</v>
      </c>
      <c r="CX56" s="62">
        <f t="shared" si="14"/>
        <v>668.24130113020567</v>
      </c>
      <c r="CY56" s="62">
        <f ca="1">AVERAGE(OFFSET($CX$3,0,0,'Données projet'!$E$13+1,1))-AVERAGE(OFFSET($H$3,0,0,'Données projet'!$E$13+1,1))</f>
        <v>303.14853302260451</v>
      </c>
      <c r="CZ56" s="62">
        <f t="shared" si="42"/>
        <v>298.74602928001929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30.338891389393581</v>
      </c>
      <c r="DG56" s="23">
        <f>EXP(-LN(2)/25)*DG55+(1-EXP(-LN(2)/25))/(LN(2)/25)*Calculateur!DB56*Calculateur!DD56*VLOOKUP('Données projet'!$B$13,Paramètres!$A$1:$I$89,3,0)*0.475*44/12</f>
        <v>28.515561891001418</v>
      </c>
      <c r="DH56" s="23">
        <f>EXP(-LN(2)/2)*DH55+(1-EXP(-LN(2)/2))/(LN(2)/2)*DB56*DE56*VLOOKUP('Données projet'!$B$13,Paramètres!$A$1:$I$89,3,0)*0.475*44/12</f>
        <v>1.8637314951090671</v>
      </c>
      <c r="DI56" s="24">
        <f t="shared" si="15"/>
        <v>60.718184775504064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70">
        <f t="shared" si="1"/>
        <v>256.66666666666669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8.2874999999999979</v>
      </c>
      <c r="N57" s="14">
        <f>IF('Données projet'!$A$36&gt;35,N56+M57-V56,IF(A57&lt;'Données projet'!$A$36,$K$205^A57,IF(A57='Données projet'!$A$36,'Données projet'!$B$36,N56+M57-V56)))</f>
        <v>157.7525</v>
      </c>
      <c r="O57" s="14">
        <f>N57*VLOOKUP('Données projet'!$B$9,Paramètres!$A$1:$I$89,3,0)*VLOOKUP('Données projet'!$B$9,Paramètres!$A$1:$I$89,5,0)</f>
        <v>142.73446200000001</v>
      </c>
      <c r="P57" s="14">
        <f t="shared" si="33"/>
        <v>36.922725369813143</v>
      </c>
      <c r="Q57" s="22">
        <f t="shared" si="53"/>
        <v>312.90293466909122</v>
      </c>
      <c r="R57" s="62">
        <f t="shared" si="0"/>
        <v>606.23626800242459</v>
      </c>
      <c r="S57" s="62">
        <f ca="1">AVERAGE(OFFSET($R$3,0,0,'Données projet'!$E$9+1,1))-AVERAGE(OFFSET($H$3,0,0,'Données projet'!$E$9+1,1))</f>
        <v>441.6145113257511</v>
      </c>
      <c r="T57" s="62">
        <f t="shared" si="34"/>
        <v>295.8399381972477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8.9617214509460172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8.9617214509460172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15.75</v>
      </c>
      <c r="AI57" s="14">
        <f>IF('Données projet'!$A$62&gt;35,AI56+AH57-AQ56,IF(A57&lt;'Données projet'!$A$62,$AF$205^A57,IF(A57='Données projet'!$A$62,'Données projet'!$B$62,AI56+AH57-AQ56)))</f>
        <v>383.25000000000011</v>
      </c>
      <c r="AJ57" s="14">
        <f>AI57*VLOOKUP('Données projet'!$B$10,Paramètres!$A$1:$I$89,3,0)*VLOOKUP('Données projet'!$B$10,Paramètres!$A$1:$I$89,5,0)</f>
        <v>328.82850000000013</v>
      </c>
      <c r="AK57" s="14">
        <f t="shared" si="35"/>
        <v>77.187375084656068</v>
      </c>
      <c r="AL57" s="22">
        <f t="shared" si="4"/>
        <v>707.14431577244295</v>
      </c>
      <c r="AM57" s="62">
        <f t="shared" si="5"/>
        <v>1000.4776491057762</v>
      </c>
      <c r="AN57" s="62">
        <f ca="1">AVERAGE(OFFSET($AM$3,0,0,'Données projet'!$E$10+1,1))-AVERAGE(OFFSET($H$3,0,0,'Données projet'!$E$10+1,1))</f>
        <v>623.31285537237943</v>
      </c>
      <c r="AO57" s="62">
        <f t="shared" si="36"/>
        <v>462.33909258902241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69.111718094650399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69.111718094650399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6</v>
      </c>
      <c r="BD57" s="13">
        <f>IF('Données projet'!$A$88&gt;35,BD56+BC57-BL56,IF(A57&lt;'Données projet'!$A$88,$BA$205^A57,IF(A57='Données projet'!$A$88,'Données projet'!$B$88,BD56+BC57-BL56)))</f>
        <v>225.99999999999989</v>
      </c>
      <c r="BE57" s="14">
        <f>BD57*VLOOKUP('Données projet'!$B$11,Paramètres!$A$1:$I$89,3,0)*VLOOKUP('Données projet'!$B$11,Paramètres!$A$1:$I$89,5,0)</f>
        <v>179.80559999999991</v>
      </c>
      <c r="BF57" s="14">
        <f t="shared" si="37"/>
        <v>45.278933028529984</v>
      </c>
      <c r="BG57" s="22">
        <f t="shared" si="7"/>
        <v>392.02222835802286</v>
      </c>
      <c r="BH57" s="62">
        <f t="shared" si="8"/>
        <v>685.35556169135612</v>
      </c>
      <c r="BI57" s="62">
        <f ca="1">AVERAGE(OFFSET($BH$3,0,0,'Données projet'!$E$11+1,1))-AVERAGE(OFFSET($H$3,0,0,'Données projet'!$E$11+1,1))</f>
        <v>299.10536994156814</v>
      </c>
      <c r="BJ57" s="62">
        <f t="shared" si="38"/>
        <v>292.57799203101769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11.852059732289344</v>
      </c>
      <c r="BQ57" s="23">
        <f>EXP(-LN(2)/25)*BQ56+(1-EXP(-LN(2)/25))/(LN(2)/25)*Calculateur!BL57*Calculateur!BN57*VLOOKUP('Données projet'!$B$11,Paramètres!$A$1:$I$89,3,0)*0.475*44/12</f>
        <v>0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11.852059732289344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6.0087499999999991</v>
      </c>
      <c r="BY57" s="13">
        <f>IF('Données projet'!$A$114&gt;35,BY56+BX57-CG56,IF(A57&lt;'Données projet'!$A$114,$BV$205^A57,IF(A57='Données projet'!$A$114,'Données projet'!$B$114,BY56+BX57-CG56)))</f>
        <v>154.32750000000001</v>
      </c>
      <c r="BZ57" s="14">
        <f>BY57*VLOOKUP('Données projet'!$B$12,Paramètres!$A$1:$I$89,3,0)*VLOOKUP('Données projet'!$B$12,Paramètres!$A$1:$I$89,5,0)</f>
        <v>120.37545000000001</v>
      </c>
      <c r="CA57" s="14">
        <f t="shared" si="39"/>
        <v>31.762550914109703</v>
      </c>
      <c r="CB57" s="22">
        <f t="shared" si="10"/>
        <v>264.97368492540772</v>
      </c>
      <c r="CC57" s="62">
        <f t="shared" si="11"/>
        <v>558.30701825874098</v>
      </c>
      <c r="CD57" s="62">
        <f ca="1">AVERAGE(OFFSET($CC$3,0,0,'Données projet'!$E$12+1,1))-AVERAGE(OFFSET($H$3,0,0,'Données projet'!$E$12+1,1))</f>
        <v>197.51529454208725</v>
      </c>
      <c r="CE57" s="62">
        <f t="shared" si="40"/>
        <v>196.65362486387215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14.843215575206633</v>
      </c>
      <c r="CL57" s="23">
        <f>EXP(-LN(2)/25)*CL56+(1-EXP(-LN(2)/25))/(LN(2)/25)*Calculateur!CG57*Calculateur!CI57*VLOOKUP('Données projet'!$B$12,Paramètres!$A$1:$I$89,3,0)*0.475*44/12</f>
        <v>0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14.843215575206633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10.199999999999999</v>
      </c>
      <c r="CT57" s="13">
        <f>IF('Données projet'!$A$140&gt;35,CT56+CS57-DB56,IF(A57&lt;'Données projet'!$A$140,$CQ$205^A57,IF(A57='Données projet'!$A$140,'Données projet'!$B$140,CT56+CS57-DB56)))</f>
        <v>324.8</v>
      </c>
      <c r="CU57" s="18">
        <f>CT57*VLOOKUP('Données projet'!$B$13,Paramètres!$A$1:$I$89,3,0)*VLOOKUP('Données projet'!$B$13,Paramètres!$A$1:$I$89,5,0)</f>
        <v>177.3408</v>
      </c>
      <c r="CV57" s="14">
        <f t="shared" si="41"/>
        <v>44.730051658603102</v>
      </c>
      <c r="CW57" s="22">
        <f t="shared" si="13"/>
        <v>386.77339997206701</v>
      </c>
      <c r="CX57" s="62">
        <f t="shared" si="14"/>
        <v>680.10673330540033</v>
      </c>
      <c r="CY57" s="62">
        <f ca="1">AVERAGE(OFFSET($CX$3,0,0,'Données projet'!$E$13+1,1))-AVERAGE(OFFSET($H$3,0,0,'Données projet'!$E$13+1,1))</f>
        <v>303.14853302260451</v>
      </c>
      <c r="CZ57" s="62">
        <f t="shared" si="42"/>
        <v>298.74602928001929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29.743964234144112</v>
      </c>
      <c r="DG57" s="23">
        <f>EXP(-LN(2)/25)*DG56+(1-EXP(-LN(2)/25))/(LN(2)/25)*Calculateur!DB57*Calculateur!DD57*VLOOKUP('Données projet'!$B$13,Paramètres!$A$1:$I$89,3,0)*0.475*44/12</f>
        <v>27.735802351523759</v>
      </c>
      <c r="DH57" s="23">
        <f>EXP(-LN(2)/2)*DH56+(1-EXP(-LN(2)/2))/(LN(2)/2)*DB57*DE57*VLOOKUP('Données projet'!$B$13,Paramètres!$A$1:$I$89,3,0)*0.475*44/12</f>
        <v>1.3178571785025643</v>
      </c>
      <c r="DI57" s="24">
        <f t="shared" si="15"/>
        <v>58.797623764170439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70">
        <f t="shared" si="1"/>
        <v>256.66666666666669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8.2874999999999979</v>
      </c>
      <c r="N58" s="14">
        <f>IF('Données projet'!$A$36&gt;35,N57+M58-V57,IF(A58&lt;'Données projet'!$A$36,$K$205^A58,IF(A58='Données projet'!$A$36,'Données projet'!$B$36,N57+M58-V57)))</f>
        <v>166.04</v>
      </c>
      <c r="O58" s="14">
        <f>N58*VLOOKUP('Données projet'!$B$9,Paramètres!$A$1:$I$89,3,0)*VLOOKUP('Données projet'!$B$9,Paramètres!$A$1:$I$89,5,0)</f>
        <v>150.232992</v>
      </c>
      <c r="P58" s="14">
        <f t="shared" si="33"/>
        <v>38.631529105107383</v>
      </c>
      <c r="Q58" s="22">
        <f t="shared" si="53"/>
        <v>328.93904092472866</v>
      </c>
      <c r="R58" s="62">
        <f t="shared" si="0"/>
        <v>622.27237425806197</v>
      </c>
      <c r="S58" s="62">
        <f ca="1">AVERAGE(OFFSET($R$3,0,0,'Données projet'!$E$9+1,1))-AVERAGE(OFFSET($H$3,0,0,'Données projet'!$E$9+1,1))</f>
        <v>441.6145113257511</v>
      </c>
      <c r="T58" s="62">
        <f t="shared" si="34"/>
        <v>295.8399381972477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8.785987559403317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8.785987559403317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15.75</v>
      </c>
      <c r="AI58" s="14">
        <f>IF('Données projet'!$A$62&gt;35,AI57+AH58-AQ57,IF(A58&lt;'Données projet'!$A$62,$AF$205^A58,IF(A58='Données projet'!$A$62,'Données projet'!$B$62,AI57+AH58-AQ57)))</f>
        <v>399.00000000000011</v>
      </c>
      <c r="AJ58" s="14">
        <f>AI58*VLOOKUP('Données projet'!$B$10,Paramètres!$A$1:$I$89,3,0)*VLOOKUP('Données projet'!$B$10,Paramètres!$A$1:$I$89,5,0)</f>
        <v>342.34200000000016</v>
      </c>
      <c r="AK58" s="14">
        <f t="shared" si="35"/>
        <v>79.983624963231122</v>
      </c>
      <c r="AL58" s="22">
        <f t="shared" si="4"/>
        <v>735.55046347762789</v>
      </c>
      <c r="AM58" s="62">
        <f t="shared" si="5"/>
        <v>1028.8837968109613</v>
      </c>
      <c r="AN58" s="62">
        <f ca="1">AVERAGE(OFFSET($AM$3,0,0,'Données projet'!$E$10+1,1))-AVERAGE(OFFSET($H$3,0,0,'Données projet'!$E$10+1,1))</f>
        <v>623.31285537237943</v>
      </c>
      <c r="AO58" s="62">
        <f t="shared" si="36"/>
        <v>462.33909258902241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67.75647945679998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67.75647945679998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232</v>
      </c>
      <c r="BB58" s="13">
        <f>VLOOKUP(A58,'Données projet'!$A$87:$I$107,9,0)</f>
        <v>6</v>
      </c>
      <c r="BC58" s="13">
        <f t="array" ref="BC58">INDEX(BB:BB,MIN(IF(ISNUMBER(BB58:BB254),ROW(BB58:BB254),"")))</f>
        <v>6</v>
      </c>
      <c r="BD58" s="13">
        <f>IF('Données projet'!$A$88&gt;35,BD57+BC58-BL57,IF(A58&lt;'Données projet'!$A$88,$BA$205^A58,IF(A58='Données projet'!$A$88,'Données projet'!$B$88,BD57+BC58-BL57)))</f>
        <v>231.99999999999989</v>
      </c>
      <c r="BE58" s="14">
        <f>BD58*VLOOKUP('Données projet'!$B$11,Paramètres!$A$1:$I$89,3,0)*VLOOKUP('Données projet'!$B$11,Paramètres!$A$1:$I$89,5,0)</f>
        <v>184.57919999999993</v>
      </c>
      <c r="BF58" s="14">
        <f t="shared" si="37"/>
        <v>46.339479465836618</v>
      </c>
      <c r="BG58" s="22">
        <f t="shared" si="7"/>
        <v>402.18336673633195</v>
      </c>
      <c r="BH58" s="62">
        <f t="shared" si="8"/>
        <v>695.51670006966526</v>
      </c>
      <c r="BI58" s="62">
        <f ca="1">AVERAGE(OFFSET($BH$3,0,0,'Données projet'!$E$11+1,1))-AVERAGE(OFFSET($H$3,0,0,'Données projet'!$E$11+1,1))</f>
        <v>299.10536994156814</v>
      </c>
      <c r="BJ58" s="62">
        <f t="shared" si="38"/>
        <v>292.57799203101769</v>
      </c>
      <c r="BK58" s="16">
        <f>IF(ISNA(VLOOKUP(A58,'Données projet'!$A$87:$I$107,3,0)),0,VLOOKUP(A58,'Données projet'!$A$87:$I$107,3,0))</f>
        <v>9</v>
      </c>
      <c r="BL58" s="16">
        <f>IF(ISNA(VLOOKUP(A58,'Données projet'!$A$87:$I$107,4,0)),0,VLOOKUP(A58,'Données projet'!$A$87:$I$107,4,0))</f>
        <v>13</v>
      </c>
      <c r="BM58" s="17">
        <f>IF(ISNA(VLOOKUP(A58,'Données projet'!$A$87:$I$107,5,0)),0%,VLOOKUP(A58,'Données projet'!$A$87:$I$107,5,0)*VLOOKUP('Données projet'!$B$11,Paramètres!$A$1:$I$89,7,0))</f>
        <v>0.26500000000000001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14.649567715961629</v>
      </c>
      <c r="BQ58" s="23">
        <f>EXP(-LN(2)/25)*BQ57+(1-EXP(-LN(2)/25))/(LN(2)/25)*Calculateur!BL58*Calculateur!BN58*VLOOKUP('Données projet'!$B$11,Paramètres!$A$1:$I$89,3,0)*0.475*44/12</f>
        <v>0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14.649567715961629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6.0087499999999991</v>
      </c>
      <c r="BY58" s="13">
        <f>IF('Données projet'!$A$114&gt;35,BY57+BX58-CG57,IF(A58&lt;'Données projet'!$A$114,$BV$205^A58,IF(A58='Données projet'!$A$114,'Données projet'!$B$114,BY57+BX58-CG57)))</f>
        <v>160.33625000000001</v>
      </c>
      <c r="BZ58" s="14">
        <f>BY58*VLOOKUP('Données projet'!$B$12,Paramètres!$A$1:$I$89,3,0)*VLOOKUP('Données projet'!$B$12,Paramètres!$A$1:$I$89,5,0)</f>
        <v>125.06227500000001</v>
      </c>
      <c r="CA58" s="14">
        <f t="shared" si="39"/>
        <v>32.852837483799121</v>
      </c>
      <c r="CB58" s="22">
        <f t="shared" si="10"/>
        <v>275.03548757595013</v>
      </c>
      <c r="CC58" s="62">
        <f t="shared" si="11"/>
        <v>568.36882090928339</v>
      </c>
      <c r="CD58" s="62">
        <f ca="1">AVERAGE(OFFSET($CC$3,0,0,'Données projet'!$E$12+1,1))-AVERAGE(OFFSET($H$3,0,0,'Données projet'!$E$12+1,1))</f>
        <v>197.51529454208725</v>
      </c>
      <c r="CE58" s="62">
        <f t="shared" si="40"/>
        <v>196.65362486387215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14.552149171244377</v>
      </c>
      <c r="CL58" s="23">
        <f>EXP(-LN(2)/25)*CL57+(1-EXP(-LN(2)/25))/(LN(2)/25)*Calculateur!CG58*Calculateur!CI58*VLOOKUP('Données projet'!$B$12,Paramètres!$A$1:$I$89,3,0)*0.475*44/12</f>
        <v>0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14.552149171244377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335</v>
      </c>
      <c r="CR58" s="13">
        <f>VLOOKUP(A58,'Données projet'!$A$139:$I$159,9,0)</f>
        <v>10.199999999999999</v>
      </c>
      <c r="CS58" s="13">
        <f t="array" ref="CS58">INDEX(CR:CR,MIN(IF(ISNUMBER(CR58:CR254),ROW(CR58:CR254),"")))</f>
        <v>10.199999999999999</v>
      </c>
      <c r="CT58" s="13">
        <f>IF('Données projet'!$A$140&gt;35,CT57+CS58-DB57,IF(A58&lt;'Données projet'!$A$140,$CQ$205^A58,IF(A58='Données projet'!$A$140,'Données projet'!$B$140,CT57+CS58-DB57)))</f>
        <v>335</v>
      </c>
      <c r="CU58" s="18">
        <f>CT58*VLOOKUP('Données projet'!$B$13,Paramètres!$A$1:$I$89,3,0)*VLOOKUP('Données projet'!$B$13,Paramètres!$A$1:$I$89,5,0)</f>
        <v>182.91</v>
      </c>
      <c r="CV58" s="14">
        <f t="shared" si="41"/>
        <v>45.969002027971285</v>
      </c>
      <c r="CW58" s="22">
        <f t="shared" si="13"/>
        <v>398.63092853204995</v>
      </c>
      <c r="CX58" s="62">
        <f t="shared" si="14"/>
        <v>691.96426186538326</v>
      </c>
      <c r="CY58" s="62">
        <f ca="1">AVERAGE(OFFSET($CX$3,0,0,'Données projet'!$E$13+1,1))-AVERAGE(OFFSET($H$3,0,0,'Données projet'!$E$13+1,1))</f>
        <v>303.14853302260451</v>
      </c>
      <c r="CZ58" s="62">
        <f t="shared" si="42"/>
        <v>298.74602928001929</v>
      </c>
      <c r="DA58" s="16">
        <f>IF(ISNA(VLOOKUP(A58,'Données projet'!$A$139:$I$159,3,0)),0,VLOOKUP(A58,'Données projet'!$A$139:$I$159,3,0))</f>
        <v>10</v>
      </c>
      <c r="DB58" s="16">
        <f>IF(ISNA(VLOOKUP(A58,'Données projet'!$A$139:$I$159,4,0)),0,VLOOKUP(A58,'Données projet'!$A$139:$I$159,4,0))</f>
        <v>29</v>
      </c>
      <c r="DC58" s="17">
        <f>IF(ISNA(VLOOKUP(A58,'Données projet'!$A$139:$I$159,5,0)),0%,VLOOKUP(A58,'Données projet'!$A$139:$I$159,5,0)*VLOOKUP('Données projet'!$B$13,Paramètres!$A$1:$I$89,7,0))</f>
        <v>0.36</v>
      </c>
      <c r="DD58" s="17">
        <f>IF(ISNA(VLOOKUP(A58,'Données projet'!$A$139:$I$159,6,0)),0%,VLOOKUP(A58,'Données projet'!$A$139:$I$159,6,0)*VLOOKUP('Données projet'!$B$13,Paramètres!$A$1:$I$89,7,0))</f>
        <v>0.13200000000000001</v>
      </c>
      <c r="DE58" s="17">
        <f>IF(ISNA(VLOOKUP(A58,'Données projet'!$A$139:$I$159,7,0)),0%,VLOOKUP(A58,'Données projet'!$A$139:$I$159,7,0))</f>
        <v>0.18</v>
      </c>
      <c r="DF58" s="23">
        <f>EXP(-LN(2)/35)*DF57+(1-EXP(-LN(2)/35))/(LN(2)/35)*DB58*DC58*VLOOKUP('Données projet'!$B$13,Paramètres!$A$1:$I$89,3,0)*0.475*44/12</f>
        <v>36.722439009014039</v>
      </c>
      <c r="DG58" s="23">
        <f>EXP(-LN(2)/25)*DG57+(1-EXP(-LN(2)/25))/(LN(2)/25)*Calculateur!DB58*Calculateur!DD58*VLOOKUP('Données projet'!$B$13,Paramètres!$A$1:$I$89,3,0)*0.475*44/12</f>
        <v>29.739084901040453</v>
      </c>
      <c r="DH58" s="23">
        <f>EXP(-LN(2)/2)*DH57+(1-EXP(-LN(2)/2))/(LN(2)/2)*DB58*DE58*VLOOKUP('Données projet'!$B$13,Paramètres!$A$1:$I$89,3,0)*0.475*44/12</f>
        <v>4.1588636633806644</v>
      </c>
      <c r="DI58" s="24">
        <f t="shared" si="15"/>
        <v>70.620387573435153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70">
        <f t="shared" si="1"/>
        <v>256.66666666666669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8.2874999999999979</v>
      </c>
      <c r="N59" s="14">
        <f>IF('Données projet'!$A$36&gt;35,N58+M59-V58,IF(A59&lt;'Données projet'!$A$36,$K$205^A59,IF(A59='Données projet'!$A$36,'Données projet'!$B$36,N58+M59-V58)))</f>
        <v>174.32749999999999</v>
      </c>
      <c r="O59" s="14">
        <f>N59*VLOOKUP('Données projet'!$B$9,Paramètres!$A$1:$I$89,3,0)*VLOOKUP('Données projet'!$B$9,Paramètres!$A$1:$I$89,5,0)</f>
        <v>157.73152199999998</v>
      </c>
      <c r="P59" s="14">
        <f t="shared" si="33"/>
        <v>40.330429415213182</v>
      </c>
      <c r="Q59" s="22">
        <f t="shared" si="53"/>
        <v>344.95789871482958</v>
      </c>
      <c r="R59" s="62">
        <f t="shared" si="0"/>
        <v>638.2912320481629</v>
      </c>
      <c r="S59" s="62">
        <f ca="1">AVERAGE(OFFSET($R$3,0,0,'Données projet'!$E$9+1,1))-AVERAGE(OFFSET($H$3,0,0,'Données projet'!$E$9+1,1))</f>
        <v>441.6145113257511</v>
      </c>
      <c r="T59" s="62">
        <f t="shared" si="34"/>
        <v>295.8399381972477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8.613699702286679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8.613699702286679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15.75</v>
      </c>
      <c r="AI59" s="14">
        <f>IF('Données projet'!$A$62&gt;35,AI58+AH59-AQ58,IF(A59&lt;'Données projet'!$A$62,$AF$205^A59,IF(A59='Données projet'!$A$62,'Données projet'!$B$62,AI58+AH59-AQ58)))</f>
        <v>414.75000000000011</v>
      </c>
      <c r="AJ59" s="14">
        <f>AI59*VLOOKUP('Données projet'!$B$10,Paramètres!$A$1:$I$89,3,0)*VLOOKUP('Données projet'!$B$10,Paramètres!$A$1:$I$89,5,0)</f>
        <v>355.85550000000012</v>
      </c>
      <c r="AK59" s="14">
        <f t="shared" si="35"/>
        <v>82.76705276410857</v>
      </c>
      <c r="AL59" s="22">
        <f t="shared" si="4"/>
        <v>763.93427939748926</v>
      </c>
      <c r="AM59" s="62">
        <f t="shared" si="5"/>
        <v>1057.2676127308225</v>
      </c>
      <c r="AN59" s="62">
        <f ca="1">AVERAGE(OFFSET($AM$3,0,0,'Données projet'!$E$10+1,1))-AVERAGE(OFFSET($H$3,0,0,'Données projet'!$E$10+1,1))</f>
        <v>623.31285537237943</v>
      </c>
      <c r="AO59" s="62">
        <f t="shared" si="36"/>
        <v>462.33909258902241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66.427816222023864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66.427816222023864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5.2</v>
      </c>
      <c r="BD59" s="13">
        <f>IF('Données projet'!$A$88&gt;35,BD58+BC59-BL58,IF(A59&lt;'Données projet'!$A$88,$BA$205^A59,IF(A59='Données projet'!$A$88,'Données projet'!$B$88,BD58+BC59-BL58)))</f>
        <v>224.19999999999987</v>
      </c>
      <c r="BE59" s="14">
        <f>BD59*VLOOKUP('Données projet'!$B$11,Paramètres!$A$1:$I$89,3,0)*VLOOKUP('Données projet'!$B$11,Paramètres!$A$1:$I$89,5,0)</f>
        <v>178.37351999999993</v>
      </c>
      <c r="BF59" s="14">
        <f t="shared" si="37"/>
        <v>44.960133388294842</v>
      </c>
      <c r="BG59" s="22">
        <f t="shared" si="7"/>
        <v>388.97277965128006</v>
      </c>
      <c r="BH59" s="62">
        <f t="shared" si="8"/>
        <v>682.30611298461338</v>
      </c>
      <c r="BI59" s="62">
        <f ca="1">AVERAGE(OFFSET($BH$3,0,0,'Données projet'!$E$11+1,1))-AVERAGE(OFFSET($H$3,0,0,'Données projet'!$E$11+1,1))</f>
        <v>299.10536994156814</v>
      </c>
      <c r="BJ59" s="62">
        <f t="shared" si="38"/>
        <v>292.57799203101769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14.362298628405636</v>
      </c>
      <c r="BQ59" s="23">
        <f>EXP(-LN(2)/25)*BQ58+(1-EXP(-LN(2)/25))/(LN(2)/25)*Calculateur!BL59*Calculateur!BN59*VLOOKUP('Données projet'!$B$11,Paramètres!$A$1:$I$89,3,0)*0.475*44/12</f>
        <v>0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14.362298628405636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6.0087499999999991</v>
      </c>
      <c r="BY59" s="13">
        <f>IF('Données projet'!$A$114&gt;35,BY58+BX59-CG58,IF(A59&lt;'Données projet'!$A$114,$BV$205^A59,IF(A59='Données projet'!$A$114,'Données projet'!$B$114,BY58+BX59-CG58)))</f>
        <v>166.345</v>
      </c>
      <c r="BZ59" s="14">
        <f>BY59*VLOOKUP('Données projet'!$B$12,Paramètres!$A$1:$I$89,3,0)*VLOOKUP('Données projet'!$B$12,Paramètres!$A$1:$I$89,5,0)</f>
        <v>129.7491</v>
      </c>
      <c r="CA59" s="14">
        <f t="shared" si="39"/>
        <v>33.938377192103232</v>
      </c>
      <c r="CB59" s="22">
        <f t="shared" si="10"/>
        <v>285.08902277624651</v>
      </c>
      <c r="CC59" s="62">
        <f t="shared" si="11"/>
        <v>578.42235610957982</v>
      </c>
      <c r="CD59" s="62">
        <f ca="1">AVERAGE(OFFSET($CC$3,0,0,'Données projet'!$E$12+1,1))-AVERAGE(OFFSET($H$3,0,0,'Données projet'!$E$12+1,1))</f>
        <v>197.51529454208725</v>
      </c>
      <c r="CE59" s="62">
        <f t="shared" si="40"/>
        <v>196.65362486387215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14.266790401930843</v>
      </c>
      <c r="CL59" s="23">
        <f>EXP(-LN(2)/25)*CL58+(1-EXP(-LN(2)/25))/(LN(2)/25)*Calculateur!CG59*Calculateur!CI59*VLOOKUP('Données projet'!$B$12,Paramètres!$A$1:$I$89,3,0)*0.475*44/12</f>
        <v>0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14.266790401930843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9.4</v>
      </c>
      <c r="CT59" s="13">
        <f>IF('Données projet'!$A$140&gt;35,CT58+CS59-DB58,IF(A59&lt;'Données projet'!$A$140,$CQ$205^A59,IF(A59='Données projet'!$A$140,'Données projet'!$B$140,CT58+CS59-DB58)))</f>
        <v>315.39999999999998</v>
      </c>
      <c r="CU59" s="18">
        <f>CT59*VLOOKUP('Données projet'!$B$13,Paramètres!$A$1:$I$89,3,0)*VLOOKUP('Données projet'!$B$13,Paramètres!$A$1:$I$89,5,0)</f>
        <v>172.20839999999998</v>
      </c>
      <c r="CV59" s="14">
        <f t="shared" si="41"/>
        <v>43.584259567303029</v>
      </c>
      <c r="CW59" s="22">
        <f t="shared" si="13"/>
        <v>375.83888207971944</v>
      </c>
      <c r="CX59" s="62">
        <f t="shared" si="14"/>
        <v>669.17221541305275</v>
      </c>
      <c r="CY59" s="62">
        <f ca="1">AVERAGE(OFFSET($CX$3,0,0,'Données projet'!$E$13+1,1))-AVERAGE(OFFSET($H$3,0,0,'Données projet'!$E$13+1,1))</f>
        <v>303.14853302260451</v>
      </c>
      <c r="CZ59" s="62">
        <f t="shared" si="42"/>
        <v>298.74602928001929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36.0023343785234</v>
      </c>
      <c r="DG59" s="23">
        <f>EXP(-LN(2)/25)*DG58+(1-EXP(-LN(2)/25))/(LN(2)/25)*Calculateur!DB59*Calculateur!DD59*VLOOKUP('Données projet'!$B$13,Paramètres!$A$1:$I$89,3,0)*0.475*44/12</f>
        <v>28.925868060510997</v>
      </c>
      <c r="DH59" s="23">
        <f>EXP(-LN(2)/2)*DH58+(1-EXP(-LN(2)/2))/(LN(2)/2)*DB59*DE59*VLOOKUP('Données projet'!$B$13,Paramètres!$A$1:$I$89,3,0)*0.475*44/12</f>
        <v>2.9407606984067951</v>
      </c>
      <c r="DI59" s="24">
        <f t="shared" si="15"/>
        <v>67.868963137441185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70">
        <f t="shared" si="1"/>
        <v>256.66666666666669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8.2874999999999979</v>
      </c>
      <c r="N60" s="14">
        <f>IF('Données projet'!$A$36&gt;35,N59+M60-V59,IF(A60&lt;'Données projet'!$A$36,$K$205^A60,IF(A60='Données projet'!$A$36,'Données projet'!$B$36,N59+M60-V59)))</f>
        <v>182.61499999999998</v>
      </c>
      <c r="O60" s="14">
        <f>N60*VLOOKUP('Données projet'!$B$9,Paramètres!$A$1:$I$89,3,0)*VLOOKUP('Données projet'!$B$9,Paramètres!$A$1:$I$89,5,0)</f>
        <v>165.23005199999997</v>
      </c>
      <c r="P60" s="14">
        <f t="shared" si="33"/>
        <v>42.019950861853005</v>
      </c>
      <c r="Q60" s="22">
        <f t="shared" si="53"/>
        <v>360.96042165106059</v>
      </c>
      <c r="R60" s="62">
        <f t="shared" si="0"/>
        <v>654.2937549843939</v>
      </c>
      <c r="S60" s="62">
        <f ca="1">AVERAGE(OFFSET($R$3,0,0,'Données projet'!$E$9+1,1))-AVERAGE(OFFSET($H$3,0,0,'Données projet'!$E$9+1,1))</f>
        <v>441.6145113257511</v>
      </c>
      <c r="T60" s="62">
        <f t="shared" si="34"/>
        <v>295.8399381972477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8.4447903049628827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8.4447903049628827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15.75</v>
      </c>
      <c r="AI60" s="14">
        <f>IF('Données projet'!$A$62&gt;35,AI59+AH60-AQ59,IF(A60&lt;'Données projet'!$A$62,$AF$205^A60,IF(A60='Données projet'!$A$62,'Données projet'!$B$62,AI59+AH60-AQ59)))</f>
        <v>430.50000000000011</v>
      </c>
      <c r="AJ60" s="14">
        <f>AI60*VLOOKUP('Données projet'!$B$10,Paramètres!$A$1:$I$89,3,0)*VLOOKUP('Données projet'!$B$10,Paramètres!$A$1:$I$89,5,0)</f>
        <v>369.36900000000014</v>
      </c>
      <c r="AK60" s="14">
        <f t="shared" si="35"/>
        <v>85.538201144343986</v>
      </c>
      <c r="AL60" s="22">
        <f t="shared" si="4"/>
        <v>792.29670865973264</v>
      </c>
      <c r="AM60" s="62">
        <f t="shared" si="5"/>
        <v>1085.630041993066</v>
      </c>
      <c r="AN60" s="62">
        <f ca="1">AVERAGE(OFFSET($AM$3,0,0,'Données projet'!$E$10+1,1))-AVERAGE(OFFSET($H$3,0,0,'Données projet'!$E$10+1,1))</f>
        <v>623.31285537237943</v>
      </c>
      <c r="AO60" s="62">
        <f t="shared" si="36"/>
        <v>462.33909258902241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65.125207262877154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65.125207262877154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5.2</v>
      </c>
      <c r="BD60" s="13">
        <f>IF('Données projet'!$A$88&gt;35,BD59+BC60-BL59,IF(A60&lt;'Données projet'!$A$88,$BA$205^A60,IF(A60='Données projet'!$A$88,'Données projet'!$B$88,BD59+BC60-BL59)))</f>
        <v>229.39999999999986</v>
      </c>
      <c r="BE60" s="14">
        <f>BD60*VLOOKUP('Données projet'!$B$11,Paramètres!$A$1:$I$89,3,0)*VLOOKUP('Données projet'!$B$11,Paramètres!$A$1:$I$89,5,0)</f>
        <v>182.51063999999988</v>
      </c>
      <c r="BF60" s="14">
        <f t="shared" si="37"/>
        <v>45.880306213791371</v>
      </c>
      <c r="BG60" s="22">
        <f t="shared" si="7"/>
        <v>397.78089798901971</v>
      </c>
      <c r="BH60" s="62">
        <f t="shared" si="8"/>
        <v>691.11423132235302</v>
      </c>
      <c r="BI60" s="62">
        <f ca="1">AVERAGE(OFFSET($BH$3,0,0,'Données projet'!$E$11+1,1))-AVERAGE(OFFSET($H$3,0,0,'Données projet'!$E$11+1,1))</f>
        <v>299.10536994156814</v>
      </c>
      <c r="BJ60" s="62">
        <f t="shared" si="38"/>
        <v>292.57799203101769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14.080662712439773</v>
      </c>
      <c r="BQ60" s="23">
        <f>EXP(-LN(2)/25)*BQ59+(1-EXP(-LN(2)/25))/(LN(2)/25)*Calculateur!BL60*Calculateur!BN60*VLOOKUP('Données projet'!$B$11,Paramètres!$A$1:$I$89,3,0)*0.475*44/12</f>
        <v>0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14.080662712439773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6.0087499999999991</v>
      </c>
      <c r="BY60" s="13">
        <f>IF('Données projet'!$A$114&gt;35,BY59+BX60-CG59,IF(A60&lt;'Données projet'!$A$114,$BV$205^A60,IF(A60='Données projet'!$A$114,'Données projet'!$B$114,BY59+BX60-CG59)))</f>
        <v>172.35374999999999</v>
      </c>
      <c r="BZ60" s="14">
        <f>BY60*VLOOKUP('Données projet'!$B$12,Paramètres!$A$1:$I$89,3,0)*VLOOKUP('Données projet'!$B$12,Paramètres!$A$1:$I$89,5,0)</f>
        <v>134.435925</v>
      </c>
      <c r="CA60" s="14">
        <f t="shared" si="39"/>
        <v>35.019361147607455</v>
      </c>
      <c r="CB60" s="22">
        <f t="shared" si="10"/>
        <v>295.13462337374966</v>
      </c>
      <c r="CC60" s="62">
        <f t="shared" si="11"/>
        <v>588.46795670708298</v>
      </c>
      <c r="CD60" s="62">
        <f ca="1">AVERAGE(OFFSET($CC$3,0,0,'Données projet'!$E$12+1,1))-AVERAGE(OFFSET($H$3,0,0,'Données projet'!$E$12+1,1))</f>
        <v>197.51529454208725</v>
      </c>
      <c r="CE60" s="62">
        <f t="shared" si="40"/>
        <v>196.65362486387215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13.987027344031885</v>
      </c>
      <c r="CL60" s="23">
        <f>EXP(-LN(2)/25)*CL59+(1-EXP(-LN(2)/25))/(LN(2)/25)*Calculateur!CG60*Calculateur!CI60*VLOOKUP('Données projet'!$B$12,Paramètres!$A$1:$I$89,3,0)*0.475*44/12</f>
        <v>0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13.987027344031885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9.4</v>
      </c>
      <c r="CT60" s="13">
        <f>IF('Données projet'!$A$140&gt;35,CT59+CS60-DB59,IF(A60&lt;'Données projet'!$A$140,$CQ$205^A60,IF(A60='Données projet'!$A$140,'Données projet'!$B$140,CT59+CS60-DB59)))</f>
        <v>324.79999999999995</v>
      </c>
      <c r="CU60" s="18">
        <f>CT60*VLOOKUP('Données projet'!$B$13,Paramètres!$A$1:$I$89,3,0)*VLOOKUP('Données projet'!$B$13,Paramètres!$A$1:$I$89,5,0)</f>
        <v>177.34079999999997</v>
      </c>
      <c r="CV60" s="14">
        <f t="shared" si="41"/>
        <v>44.73005165860306</v>
      </c>
      <c r="CW60" s="22">
        <f t="shared" si="13"/>
        <v>386.7733999720669</v>
      </c>
      <c r="CX60" s="62">
        <f t="shared" si="14"/>
        <v>680.10673330540021</v>
      </c>
      <c r="CY60" s="62">
        <f ca="1">AVERAGE(OFFSET($CX$3,0,0,'Données projet'!$E$13+1,1))-AVERAGE(OFFSET($H$3,0,0,'Données projet'!$E$13+1,1))</f>
        <v>303.14853302260451</v>
      </c>
      <c r="CZ60" s="62">
        <f t="shared" si="42"/>
        <v>298.74602928001929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35.296350560616233</v>
      </c>
      <c r="DG60" s="23">
        <f>EXP(-LN(2)/25)*DG59+(1-EXP(-LN(2)/25))/(LN(2)/25)*Calculateur!DB60*Calculateur!DD60*VLOOKUP('Données projet'!$B$13,Paramètres!$A$1:$I$89,3,0)*0.475*44/12</f>
        <v>28.134888677251034</v>
      </c>
      <c r="DH60" s="23">
        <f>EXP(-LN(2)/2)*DH59+(1-EXP(-LN(2)/2))/(LN(2)/2)*DB60*DE60*VLOOKUP('Données projet'!$B$13,Paramètres!$A$1:$I$89,3,0)*0.475*44/12</f>
        <v>2.0794318316903326</v>
      </c>
      <c r="DI60" s="24">
        <f t="shared" si="15"/>
        <v>65.510671069557603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70">
        <f t="shared" si="1"/>
        <v>256.66666666666669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8.2874999999999979</v>
      </c>
      <c r="N61" s="14">
        <f>IF('Données projet'!$A$36&gt;35,N60+M61-V60,IF(A61&lt;'Données projet'!$A$36,$K$205^A61,IF(A61='Données projet'!$A$36,'Données projet'!$B$36,N60+M61-V60)))</f>
        <v>190.90249999999997</v>
      </c>
      <c r="O61" s="14">
        <f>N61*VLOOKUP('Données projet'!$B$9,Paramètres!$A$1:$I$89,3,0)*VLOOKUP('Données projet'!$B$9,Paramètres!$A$1:$I$89,5,0)</f>
        <v>172.72858199999996</v>
      </c>
      <c r="P61" s="14">
        <f t="shared" si="33"/>
        <v>43.700567703700294</v>
      </c>
      <c r="Q61" s="22">
        <f t="shared" si="53"/>
        <v>376.94743573394459</v>
      </c>
      <c r="R61" s="62">
        <f t="shared" si="0"/>
        <v>670.2807690672779</v>
      </c>
      <c r="S61" s="62">
        <f ca="1">AVERAGE(OFFSET($R$3,0,0,'Données projet'!$E$9+1,1))-AVERAGE(OFFSET($H$3,0,0,'Données projet'!$E$9+1,1))</f>
        <v>441.6145113257511</v>
      </c>
      <c r="T61" s="62">
        <f t="shared" si="34"/>
        <v>295.8399381972477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8.2791931178960461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8.2791931178960461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15.75</v>
      </c>
      <c r="AI61" s="14">
        <f>IF('Données projet'!$A$62&gt;35,AI60+AH61-AQ60,IF(A61&lt;'Données projet'!$A$62,$AF$205^A61,IF(A61='Données projet'!$A$62,'Données projet'!$B$62,AI60+AH61-AQ60)))</f>
        <v>446.25000000000011</v>
      </c>
      <c r="AJ61" s="14">
        <f>AI61*VLOOKUP('Données projet'!$B$10,Paramètres!$A$1:$I$89,3,0)*VLOOKUP('Données projet'!$B$10,Paramètres!$A$1:$I$89,5,0)</f>
        <v>382.88250000000016</v>
      </c>
      <c r="AK61" s="14">
        <f t="shared" si="35"/>
        <v>88.297570804235008</v>
      </c>
      <c r="AL61" s="22">
        <f t="shared" si="4"/>
        <v>820.63862331737619</v>
      </c>
      <c r="AM61" s="62">
        <f t="shared" si="5"/>
        <v>1113.9719566507094</v>
      </c>
      <c r="AN61" s="62">
        <f ca="1">AVERAGE(OFFSET($AM$3,0,0,'Données projet'!$E$10+1,1))-AVERAGE(OFFSET($H$3,0,0,'Données projet'!$E$10+1,1))</f>
        <v>623.31285537237943</v>
      </c>
      <c r="AO61" s="62">
        <f t="shared" si="36"/>
        <v>462.33909258902241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63.848141670906294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63.848141670906294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5.2</v>
      </c>
      <c r="BD61" s="13">
        <f>IF('Données projet'!$A$88&gt;35,BD60+BC61-BL60,IF(A61&lt;'Données projet'!$A$88,$BA$205^A61,IF(A61='Données projet'!$A$88,'Données projet'!$B$88,BD60+BC61-BL60)))</f>
        <v>234.59999999999985</v>
      </c>
      <c r="BE61" s="14">
        <f>BD61*VLOOKUP('Données projet'!$B$11,Paramètres!$A$1:$I$89,3,0)*VLOOKUP('Données projet'!$B$11,Paramètres!$A$1:$I$89,5,0)</f>
        <v>186.64775999999989</v>
      </c>
      <c r="BF61" s="14">
        <f t="shared" si="37"/>
        <v>46.79805411155214</v>
      </c>
      <c r="BG61" s="22">
        <f t="shared" si="7"/>
        <v>406.58479291095313</v>
      </c>
      <c r="BH61" s="62">
        <f t="shared" si="8"/>
        <v>699.91812624428644</v>
      </c>
      <c r="BI61" s="62">
        <f ca="1">AVERAGE(OFFSET($BH$3,0,0,'Données projet'!$E$11+1,1))-AVERAGE(OFFSET($H$3,0,0,'Données projet'!$E$11+1,1))</f>
        <v>299.10536994156814</v>
      </c>
      <c r="BJ61" s="62">
        <f t="shared" si="38"/>
        <v>292.57799203101769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13.804549505005054</v>
      </c>
      <c r="BQ61" s="23">
        <f>EXP(-LN(2)/25)*BQ60+(1-EXP(-LN(2)/25))/(LN(2)/25)*Calculateur!BL61*Calculateur!BN61*VLOOKUP('Données projet'!$B$11,Paramètres!$A$1:$I$89,3,0)*0.475*44/12</f>
        <v>0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13.804549505005054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6.0087499999999991</v>
      </c>
      <c r="BY61" s="13">
        <f>IF('Données projet'!$A$114&gt;35,BY60+BX61-CG60,IF(A61&lt;'Données projet'!$A$114,$BV$205^A61,IF(A61='Données projet'!$A$114,'Données projet'!$B$114,BY60+BX61-CG60)))</f>
        <v>178.36249999999998</v>
      </c>
      <c r="BZ61" s="14">
        <f>BY61*VLOOKUP('Données projet'!$B$12,Paramètres!$A$1:$I$89,3,0)*VLOOKUP('Données projet'!$B$12,Paramètres!$A$1:$I$89,5,0)</f>
        <v>139.12275</v>
      </c>
      <c r="CA61" s="14">
        <f t="shared" si="39"/>
        <v>36.095966378059558</v>
      </c>
      <c r="CB61" s="22">
        <f t="shared" si="10"/>
        <v>305.17259769178702</v>
      </c>
      <c r="CC61" s="62">
        <f t="shared" si="11"/>
        <v>598.50593102512039</v>
      </c>
      <c r="CD61" s="62">
        <f ca="1">AVERAGE(OFFSET($CC$3,0,0,'Données projet'!$E$12+1,1))-AVERAGE(OFFSET($H$3,0,0,'Données projet'!$E$12+1,1))</f>
        <v>197.51529454208725</v>
      </c>
      <c r="CE61" s="62">
        <f t="shared" si="40"/>
        <v>196.65362486387215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13.712750269059709</v>
      </c>
      <c r="CL61" s="23">
        <f>EXP(-LN(2)/25)*CL60+(1-EXP(-LN(2)/25))/(LN(2)/25)*Calculateur!CG61*Calculateur!CI61*VLOOKUP('Données projet'!$B$12,Paramètres!$A$1:$I$89,3,0)*0.475*44/12</f>
        <v>0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13.712750269059709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9.4</v>
      </c>
      <c r="CT61" s="13">
        <f>IF('Données projet'!$A$140&gt;35,CT60+CS61-DB60,IF(A61&lt;'Données projet'!$A$140,$CQ$205^A61,IF(A61='Données projet'!$A$140,'Données projet'!$B$140,CT60+CS61-DB60)))</f>
        <v>334.19999999999993</v>
      </c>
      <c r="CU61" s="18">
        <f>CT61*VLOOKUP('Données projet'!$B$13,Paramètres!$A$1:$I$89,3,0)*VLOOKUP('Données projet'!$B$13,Paramètres!$A$1:$I$89,5,0)</f>
        <v>182.47319999999996</v>
      </c>
      <c r="CV61" s="14">
        <f t="shared" si="41"/>
        <v>45.871989823696389</v>
      </c>
      <c r="CW61" s="22">
        <f t="shared" si="13"/>
        <v>397.70120560960441</v>
      </c>
      <c r="CX61" s="62">
        <f t="shared" si="14"/>
        <v>691.03453894293773</v>
      </c>
      <c r="CY61" s="62">
        <f ca="1">AVERAGE(OFFSET($CX$3,0,0,'Données projet'!$E$13+1,1))-AVERAGE(OFFSET($H$3,0,0,'Données projet'!$E$13+1,1))</f>
        <v>303.14853302260451</v>
      </c>
      <c r="CZ61" s="62">
        <f t="shared" si="42"/>
        <v>298.74602928001929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34.604210654770611</v>
      </c>
      <c r="DG61" s="23">
        <f>EXP(-LN(2)/25)*DG60+(1-EXP(-LN(2)/25))/(LN(2)/25)*Calculateur!DB61*Calculateur!DD61*VLOOKUP('Données projet'!$B$13,Paramètres!$A$1:$I$89,3,0)*0.475*44/12</f>
        <v>27.365538666822111</v>
      </c>
      <c r="DH61" s="23">
        <f>EXP(-LN(2)/2)*DH60+(1-EXP(-LN(2)/2))/(LN(2)/2)*DB61*DE61*VLOOKUP('Données projet'!$B$13,Paramètres!$A$1:$I$89,3,0)*0.475*44/12</f>
        <v>1.4703803492033978</v>
      </c>
      <c r="DI61" s="24">
        <f t="shared" si="15"/>
        <v>63.440129670796118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70">
        <f t="shared" si="1"/>
        <v>256.66666666666669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>
        <f>VLOOKUP(A62,'Données projet'!$A$35:$I$55,2,0)</f>
        <v>199.19</v>
      </c>
      <c r="L62" s="13">
        <f>VLOOKUP(A62,'Données projet'!$A$35:$I$55,9,0)</f>
        <v>8.2874999999999979</v>
      </c>
      <c r="M62" s="13">
        <f t="array" ref="M62">INDEX(L:L,MIN(IF(ISNUMBER(L62:L258),ROW(L62:L258),"")))</f>
        <v>8.2874999999999979</v>
      </c>
      <c r="N62" s="14">
        <f>IF('Données projet'!$A$36&gt;35,N61+M62-V61,IF(A62&lt;'Données projet'!$A$36,$K$205^A62,IF(A62='Données projet'!$A$36,'Données projet'!$B$36,N61+M62-V61)))</f>
        <v>199.18999999999997</v>
      </c>
      <c r="O62" s="14">
        <f>N62*VLOOKUP('Données projet'!$B$9,Paramètres!$A$1:$I$89,3,0)*VLOOKUP('Données projet'!$B$9,Paramètres!$A$1:$I$89,5,0)</f>
        <v>180.22711199999998</v>
      </c>
      <c r="P62" s="14">
        <f t="shared" si="33"/>
        <v>45.372710693580842</v>
      </c>
      <c r="Q62" s="22">
        <f t="shared" si="53"/>
        <v>392.91969119131994</v>
      </c>
      <c r="R62" s="62">
        <f t="shared" si="0"/>
        <v>686.25302452465326</v>
      </c>
      <c r="S62" s="62">
        <f ca="1">AVERAGE(OFFSET($R$3,0,0,'Données projet'!$E$9+1,1))-AVERAGE(OFFSET($H$3,0,0,'Données projet'!$E$9+1,1))</f>
        <v>441.6145113257511</v>
      </c>
      <c r="T62" s="62">
        <f t="shared" si="34"/>
        <v>295.8399381972477</v>
      </c>
      <c r="U62" s="16">
        <f>IF(ISNA(VLOOKUP(A62,'Données projet'!$A$35:$I$55,3,0)),0,VLOOKUP(A62,'Données projet'!$A$35:$I$55,3,0))</f>
        <v>3</v>
      </c>
      <c r="V62" s="16">
        <f>IF(ISNA(VLOOKUP(A62,'Données projet'!$A$35:$I$55,4,0)),0,VLOOKUP(A62,'Données projet'!$A$35:$I$55,4,0))</f>
        <v>48.96</v>
      </c>
      <c r="W62" s="17">
        <f>IF(ISNA(VLOOKUP(A62,'Données projet'!$A$35:$I$55,5,0)),0%,VLOOKUP(A62,'Données projet'!$A$35:$I$55,5,0)*VLOOKUP('Données projet'!$B$9,Paramètres!$A$1:$I$89,7,0))</f>
        <v>8.6000000000000007E-2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12.328369932718896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12.328369932718896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15.75</v>
      </c>
      <c r="AI62" s="14">
        <f>IF('Données projet'!$A$62&gt;35,AI61+AH62-AQ61,IF(A62&lt;'Données projet'!$A$62,$AF$205^A62,IF(A62='Données projet'!$A$62,'Données projet'!$B$62,AI61+AH62-AQ61)))</f>
        <v>462.00000000000011</v>
      </c>
      <c r="AJ62" s="14">
        <f>AI62*VLOOKUP('Données projet'!$B$10,Paramètres!$A$1:$I$89,3,0)*VLOOKUP('Données projet'!$B$10,Paramètres!$A$1:$I$89,5,0)</f>
        <v>396.39600000000013</v>
      </c>
      <c r="AK62" s="14">
        <f t="shared" si="35"/>
        <v>91.045625096627589</v>
      </c>
      <c r="AL62" s="22">
        <f t="shared" si="4"/>
        <v>848.96083037662663</v>
      </c>
      <c r="AM62" s="62">
        <f t="shared" si="5"/>
        <v>1142.29416370996</v>
      </c>
      <c r="AN62" s="62">
        <f ca="1">AVERAGE(OFFSET($AM$3,0,0,'Données projet'!$E$10+1,1))-AVERAGE(OFFSET($H$3,0,0,'Données projet'!$E$10+1,1))</f>
        <v>623.31285537237943</v>
      </c>
      <c r="AO62" s="62">
        <f t="shared" si="36"/>
        <v>462.33909258902241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62.59611855626089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62.59611855626089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5.2</v>
      </c>
      <c r="BD62" s="13">
        <f>IF('Données projet'!$A$88&gt;35,BD61+BC62-BL61,IF(A62&lt;'Données projet'!$A$88,$BA$205^A62,IF(A62='Données projet'!$A$88,'Données projet'!$B$88,BD61+BC62-BL61)))</f>
        <v>239.79999999999984</v>
      </c>
      <c r="BE62" s="14">
        <f>BD62*VLOOKUP('Données projet'!$B$11,Paramètres!$A$1:$I$89,3,0)*VLOOKUP('Données projet'!$B$11,Paramètres!$A$1:$I$89,5,0)</f>
        <v>190.78487999999987</v>
      </c>
      <c r="BF62" s="14">
        <f t="shared" si="37"/>
        <v>47.713437020051622</v>
      </c>
      <c r="BG62" s="22">
        <f t="shared" si="7"/>
        <v>415.384568809923</v>
      </c>
      <c r="BH62" s="62">
        <f t="shared" si="8"/>
        <v>708.71790214325631</v>
      </c>
      <c r="BI62" s="62">
        <f ca="1">AVERAGE(OFFSET($BH$3,0,0,'Données projet'!$E$11+1,1))-AVERAGE(OFFSET($H$3,0,0,'Données projet'!$E$11+1,1))</f>
        <v>299.10536994156814</v>
      </c>
      <c r="BJ62" s="62">
        <f t="shared" si="38"/>
        <v>292.57799203101769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13.533850709155702</v>
      </c>
      <c r="BQ62" s="23">
        <f>EXP(-LN(2)/25)*BQ61+(1-EXP(-LN(2)/25))/(LN(2)/25)*Calculateur!BL62*Calculateur!BN62*VLOOKUP('Données projet'!$B$11,Paramètres!$A$1:$I$89,3,0)*0.475*44/12</f>
        <v>0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13.533850709155702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6.0087499999999991</v>
      </c>
      <c r="BY62" s="13">
        <f>IF('Données projet'!$A$114&gt;35,BY61+BX62-CG61,IF(A62&lt;'Données projet'!$A$114,$BV$205^A62,IF(A62='Données projet'!$A$114,'Données projet'!$B$114,BY61+BX62-CG61)))</f>
        <v>184.37124999999997</v>
      </c>
      <c r="BZ62" s="14">
        <f>BY62*VLOOKUP('Données projet'!$B$12,Paramètres!$A$1:$I$89,3,0)*VLOOKUP('Données projet'!$B$12,Paramètres!$A$1:$I$89,5,0)</f>
        <v>143.809575</v>
      </c>
      <c r="CA62" s="14">
        <f t="shared" si="39"/>
        <v>37.168357306916796</v>
      </c>
      <c r="CB62" s="22">
        <f t="shared" si="10"/>
        <v>315.20323210121336</v>
      </c>
      <c r="CC62" s="62">
        <f t="shared" si="11"/>
        <v>608.53656543454667</v>
      </c>
      <c r="CD62" s="62">
        <f ca="1">AVERAGE(OFFSET($CC$3,0,0,'Données projet'!$E$12+1,1))-AVERAGE(OFFSET($H$3,0,0,'Données projet'!$E$12+1,1))</f>
        <v>197.51529454208725</v>
      </c>
      <c r="CE62" s="62">
        <f t="shared" si="40"/>
        <v>196.65362486387215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13.443851600235242</v>
      </c>
      <c r="CL62" s="23">
        <f>EXP(-LN(2)/25)*CL61+(1-EXP(-LN(2)/25))/(LN(2)/25)*Calculateur!CG62*Calculateur!CI62*VLOOKUP('Données projet'!$B$12,Paramètres!$A$1:$I$89,3,0)*0.475*44/12</f>
        <v>0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13.443851600235242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9.4</v>
      </c>
      <c r="CT62" s="13">
        <f>IF('Données projet'!$A$140&gt;35,CT61+CS62-DB61,IF(A62&lt;'Données projet'!$A$140,$CQ$205^A62,IF(A62='Données projet'!$A$140,'Données projet'!$B$140,CT61+CS62-DB61)))</f>
        <v>343.59999999999991</v>
      </c>
      <c r="CU62" s="18">
        <f>CT62*VLOOKUP('Données projet'!$B$13,Paramètres!$A$1:$I$89,3,0)*VLOOKUP('Données projet'!$B$13,Paramètres!$A$1:$I$89,5,0)</f>
        <v>187.60559999999995</v>
      </c>
      <c r="CV62" s="14">
        <f t="shared" si="41"/>
        <v>47.010194913493009</v>
      </c>
      <c r="CW62" s="22">
        <f t="shared" si="13"/>
        <v>408.62250947433353</v>
      </c>
      <c r="CX62" s="62">
        <f t="shared" si="14"/>
        <v>701.95584280766684</v>
      </c>
      <c r="CY62" s="62">
        <f ca="1">AVERAGE(OFFSET($CX$3,0,0,'Données projet'!$E$13+1,1))-AVERAGE(OFFSET($H$3,0,0,'Données projet'!$E$13+1,1))</f>
        <v>303.14853302260451</v>
      </c>
      <c r="CZ62" s="62">
        <f t="shared" si="42"/>
        <v>298.74602928001929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33.925643190314965</v>
      </c>
      <c r="DG62" s="23">
        <f>EXP(-LN(2)/25)*DG61+(1-EXP(-LN(2)/25))/(LN(2)/25)*Calculateur!DB62*Calculateur!DD62*VLOOKUP('Données projet'!$B$13,Paramètres!$A$1:$I$89,3,0)*0.475*44/12</f>
        <v>26.617226572886725</v>
      </c>
      <c r="DH62" s="23">
        <f>EXP(-LN(2)/2)*DH61+(1-EXP(-LN(2)/2))/(LN(2)/2)*DB62*DE62*VLOOKUP('Données projet'!$B$13,Paramètres!$A$1:$I$89,3,0)*0.475*44/12</f>
        <v>1.0397159158451663</v>
      </c>
      <c r="DI62" s="24">
        <f t="shared" si="15"/>
        <v>61.582585679046858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70">
        <f t="shared" si="1"/>
        <v>256.66666666666669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7.6762499999999996</v>
      </c>
      <c r="N63" s="14">
        <f>IF('Données projet'!$A$36&gt;35,N62+M63-V62,IF(A63&lt;'Données projet'!$A$36,$K$205^A63,IF(A63='Données projet'!$A$36,'Données projet'!$B$36,N62+M63-V62)))</f>
        <v>157.90624999999997</v>
      </c>
      <c r="O63" s="14">
        <f>N63*VLOOKUP('Données projet'!$B$9,Paramètres!$A$1:$I$89,3,0)*VLOOKUP('Données projet'!$B$9,Paramètres!$A$1:$I$89,5,0)</f>
        <v>142.87357499999996</v>
      </c>
      <c r="P63" s="14">
        <f t="shared" si="33"/>
        <v>36.954520726750353</v>
      </c>
      <c r="Q63" s="22">
        <f t="shared" si="53"/>
        <v>313.20060005742351</v>
      </c>
      <c r="R63" s="62">
        <f t="shared" si="0"/>
        <v>606.53393339075683</v>
      </c>
      <c r="S63" s="62">
        <f ca="1">AVERAGE(OFFSET($R$3,0,0,'Données projet'!$E$9+1,1))-AVERAGE(OFFSET($H$3,0,0,'Données projet'!$E$9+1,1))</f>
        <v>441.6145113257511</v>
      </c>
      <c r="T63" s="62">
        <f t="shared" si="34"/>
        <v>295.8399381972477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12.086618117901443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12.086618117901443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15.75</v>
      </c>
      <c r="AI63" s="14">
        <f>IF('Données projet'!$A$62&gt;35,AI62+AH63-AQ62,IF(A63&lt;'Données projet'!$A$62,$AF$205^A63,IF(A63='Données projet'!$A$62,'Données projet'!$B$62,AI62+AH63-AQ62)))</f>
        <v>477.75000000000011</v>
      </c>
      <c r="AJ63" s="14">
        <f>AI63*VLOOKUP('Données projet'!$B$10,Paramètres!$A$1:$I$89,3,0)*VLOOKUP('Données projet'!$B$10,Paramètres!$A$1:$I$89,5,0)</f>
        <v>409.90950000000015</v>
      </c>
      <c r="AK63" s="14">
        <f t="shared" si="35"/>
        <v>93.782793990023393</v>
      </c>
      <c r="AL63" s="22">
        <f t="shared" si="4"/>
        <v>877.26407869929096</v>
      </c>
      <c r="AM63" s="62">
        <f t="shared" si="5"/>
        <v>1170.5974120326243</v>
      </c>
      <c r="AN63" s="62">
        <f ca="1">AVERAGE(OFFSET($AM$3,0,0,'Données projet'!$E$10+1,1))-AVERAGE(OFFSET($H$3,0,0,'Données projet'!$E$10+1,1))</f>
        <v>623.31285537237943</v>
      </c>
      <c r="AO63" s="62">
        <f t="shared" si="36"/>
        <v>462.33909258902241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61.368646851234985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61.368646851234985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245</v>
      </c>
      <c r="BB63" s="13">
        <f>VLOOKUP(A63,'Données projet'!$A$87:$I$107,9,0)</f>
        <v>5.2</v>
      </c>
      <c r="BC63" s="13">
        <f t="array" ref="BC63">INDEX(BB:BB,MIN(IF(ISNUMBER(BB63:BB259),ROW(BB63:BB259),"")))</f>
        <v>5.2</v>
      </c>
      <c r="BD63" s="13">
        <f>IF('Données projet'!$A$88&gt;35,BD62+BC63-BL62,IF(A63&lt;'Données projet'!$A$88,$BA$205^A63,IF(A63='Données projet'!$A$88,'Données projet'!$B$88,BD62+BC63-BL62)))</f>
        <v>244.99999999999983</v>
      </c>
      <c r="BE63" s="14">
        <f>BD63*VLOOKUP('Données projet'!$B$11,Paramètres!$A$1:$I$89,3,0)*VLOOKUP('Données projet'!$B$11,Paramètres!$A$1:$I$89,5,0)</f>
        <v>194.92199999999988</v>
      </c>
      <c r="BF63" s="14">
        <f t="shared" si="37"/>
        <v>48.626512129794925</v>
      </c>
      <c r="BG63" s="22">
        <f t="shared" si="7"/>
        <v>424.18032529272591</v>
      </c>
      <c r="BH63" s="62">
        <f t="shared" si="8"/>
        <v>717.51365862605917</v>
      </c>
      <c r="BI63" s="62">
        <f ca="1">AVERAGE(OFFSET($BH$3,0,0,'Données projet'!$E$11+1,1))-AVERAGE(OFFSET($H$3,0,0,'Données projet'!$E$11+1,1))</f>
        <v>299.10536994156814</v>
      </c>
      <c r="BJ63" s="62">
        <f t="shared" si="38"/>
        <v>292.57799203101769</v>
      </c>
      <c r="BK63" s="16">
        <f>IF(ISNA(VLOOKUP(A63,'Données projet'!$A$87:$I$107,3,0)),0,VLOOKUP(A63,'Données projet'!$A$87:$I$107,3,0))</f>
        <v>10</v>
      </c>
      <c r="BL63" s="16">
        <f>IF(ISNA(VLOOKUP(A63,'Données projet'!$A$87:$I$107,4,0)),0,VLOOKUP(A63,'Données projet'!$A$87:$I$107,4,0))</f>
        <v>12</v>
      </c>
      <c r="BM63" s="17">
        <f>IF(ISNA(VLOOKUP(A63,'Données projet'!$A$87:$I$107,5,0)),0%,VLOOKUP(A63,'Données projet'!$A$87:$I$107,5,0)*VLOOKUP('Données projet'!$B$11,Paramètres!$A$1:$I$89,7,0))</f>
        <v>0.318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16.624678836360676</v>
      </c>
      <c r="BQ63" s="23">
        <f>EXP(-LN(2)/25)*BQ62+(1-EXP(-LN(2)/25))/(LN(2)/25)*Calculateur!BL63*Calculateur!BN63*VLOOKUP('Données projet'!$B$11,Paramètres!$A$1:$I$89,3,0)*0.475*44/12</f>
        <v>0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16.624678836360676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190.38</v>
      </c>
      <c r="BW63" s="13">
        <f>VLOOKUP(A63,'Données projet'!$A$113:$I$133,9,0)</f>
        <v>6.0087499999999991</v>
      </c>
      <c r="BX63" s="13">
        <f t="array" ref="BX63">INDEX(BW:BW,MIN(IF(ISNUMBER(BW63:BW259),ROW(BW63:BW259),"")))</f>
        <v>6.0087499999999991</v>
      </c>
      <c r="BY63" s="13">
        <f>IF('Données projet'!$A$114&gt;35,BY62+BX63-CG62,IF(A63&lt;'Données projet'!$A$114,$BV$205^A63,IF(A63='Données projet'!$A$114,'Données projet'!$B$114,BY62+BX63-CG62)))</f>
        <v>190.37999999999997</v>
      </c>
      <c r="BZ63" s="14">
        <f>BY63*VLOOKUP('Données projet'!$B$12,Paramètres!$A$1:$I$89,3,0)*VLOOKUP('Données projet'!$B$12,Paramètres!$A$1:$I$89,5,0)</f>
        <v>148.49639999999997</v>
      </c>
      <c r="CA63" s="14">
        <f t="shared" si="39"/>
        <v>38.23668703199958</v>
      </c>
      <c r="CB63" s="22">
        <f t="shared" si="10"/>
        <v>325.22679324739926</v>
      </c>
      <c r="CC63" s="62">
        <f t="shared" si="11"/>
        <v>618.56012658073257</v>
      </c>
      <c r="CD63" s="62">
        <f ca="1">AVERAGE(OFFSET($CC$3,0,0,'Données projet'!$E$12+1,1))-AVERAGE(OFFSET($H$3,0,0,'Données projet'!$E$12+1,1))</f>
        <v>197.51529454208725</v>
      </c>
      <c r="CE63" s="62">
        <f t="shared" si="40"/>
        <v>196.65362486387215</v>
      </c>
      <c r="CF63" s="16">
        <f>IF(ISNA(VLOOKUP(A63,'Données projet'!$A$113:$I$133,3,0)),0,VLOOKUP(A63,'Données projet'!$A$113:$I$133,3,0))</f>
        <v>8</v>
      </c>
      <c r="CG63" s="16">
        <f>IF(ISNA(VLOOKUP(A63,'Données projet'!$A$113:$I$133,4,0)),0,VLOOKUP(A63,'Données projet'!$A$113:$I$133,4,0))</f>
        <v>30.13</v>
      </c>
      <c r="CH63" s="17">
        <f>IF(ISNA(VLOOKUP(A63,'Données projet'!$A$113:$I$133,5,0)),0%,VLOOKUP(A63,'Données projet'!$A$113:$I$133,5,0)*VLOOKUP('Données projet'!$B$12,Paramètres!$A$1:$I$89,7,0))</f>
        <v>0.30099999999999999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21.000236445138686</v>
      </c>
      <c r="CL63" s="23">
        <f>EXP(-LN(2)/25)*CL62+(1-EXP(-LN(2)/25))/(LN(2)/25)*Calculateur!CG63*Calculateur!CI63*VLOOKUP('Données projet'!$B$12,Paramètres!$A$1:$I$89,3,0)*0.475*44/12</f>
        <v>0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21.000236445138686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353</v>
      </c>
      <c r="CR63" s="13">
        <f>VLOOKUP(A63,'Données projet'!$A$139:$I$159,9,0)</f>
        <v>9.4</v>
      </c>
      <c r="CS63" s="13">
        <f t="array" ref="CS63">INDEX(CR:CR,MIN(IF(ISNUMBER(CR63:CR259),ROW(CR63:CR259),"")))</f>
        <v>9.4</v>
      </c>
      <c r="CT63" s="13">
        <f>IF('Données projet'!$A$140&gt;35,CT62+CS63-DB62,IF(A63&lt;'Données projet'!$A$140,$CQ$205^A63,IF(A63='Données projet'!$A$140,'Données projet'!$B$140,CT62+CS63-DB62)))</f>
        <v>352.99999999999989</v>
      </c>
      <c r="CU63" s="18">
        <f>CT63*VLOOKUP('Données projet'!$B$13,Paramètres!$A$1:$I$89,3,0)*VLOOKUP('Données projet'!$B$13,Paramètres!$A$1:$I$89,5,0)</f>
        <v>192.73799999999991</v>
      </c>
      <c r="CV63" s="14">
        <f t="shared" si="41"/>
        <v>48.144780790228275</v>
      </c>
      <c r="CW63" s="22">
        <f t="shared" si="13"/>
        <v>419.53750987631412</v>
      </c>
      <c r="CX63" s="62">
        <f t="shared" si="14"/>
        <v>712.87084320964743</v>
      </c>
      <c r="CY63" s="62">
        <f ca="1">AVERAGE(OFFSET($CX$3,0,0,'Données projet'!$E$13+1,1))-AVERAGE(OFFSET($H$3,0,0,'Données projet'!$E$13+1,1))</f>
        <v>303.14853302260451</v>
      </c>
      <c r="CZ63" s="62">
        <f t="shared" si="42"/>
        <v>298.74602928001929</v>
      </c>
      <c r="DA63" s="16">
        <f>IF(ISNA(VLOOKUP(A63,'Données projet'!$A$139:$I$159,3,0)),0,VLOOKUP(A63,'Données projet'!$A$139:$I$159,3,0))</f>
        <v>11</v>
      </c>
      <c r="DB63" s="16">
        <f>IF(ISNA(VLOOKUP(A63,'Données projet'!$A$139:$I$159,4,0)),0,VLOOKUP(A63,'Données projet'!$A$139:$I$159,4,0))</f>
        <v>27</v>
      </c>
      <c r="DC63" s="17">
        <f>IF(ISNA(VLOOKUP(A63,'Données projet'!$A$139:$I$159,5,0)),0%,VLOOKUP(A63,'Données projet'!$A$139:$I$159,5,0)*VLOOKUP('Données projet'!$B$13,Paramètres!$A$1:$I$89,7,0))</f>
        <v>0.36</v>
      </c>
      <c r="DD63" s="17">
        <f>IF(ISNA(VLOOKUP(A63,'Données projet'!$A$139:$I$159,6,0)),0%,VLOOKUP(A63,'Données projet'!$A$139:$I$159,6,0)*VLOOKUP('Données projet'!$B$13,Paramètres!$A$1:$I$89,7,0))</f>
        <v>0.13200000000000001</v>
      </c>
      <c r="DE63" s="17">
        <f>IF(ISNA(VLOOKUP(A63,'Données projet'!$A$139:$I$159,7,0)),0%,VLOOKUP(A63,'Données projet'!$A$139:$I$159,7,0))</f>
        <v>0.18</v>
      </c>
      <c r="DF63" s="23">
        <f>EXP(-LN(2)/35)*DF62+(1-EXP(-LN(2)/35))/(LN(2)/35)*DB63*DC63*VLOOKUP('Données projet'!$B$13,Paramètres!$A$1:$I$89,3,0)*0.475*44/12</f>
        <v>40.300618772704304</v>
      </c>
      <c r="DG63" s="23">
        <f>EXP(-LN(2)/25)*DG62+(1-EXP(-LN(2)/25))/(LN(2)/25)*Calculateur!DB63*Calculateur!DD63*VLOOKUP('Données projet'!$B$13,Paramètres!$A$1:$I$89,3,0)*0.475*44/12</f>
        <v>28.460633220487964</v>
      </c>
      <c r="DH63" s="23">
        <f>EXP(-LN(2)/2)*DH62+(1-EXP(-LN(2)/2))/(LN(2)/2)*DB63*DE63*VLOOKUP('Données projet'!$B$13,Paramètres!$A$1:$I$89,3,0)*0.475*44/12</f>
        <v>3.7396365100260276</v>
      </c>
      <c r="DI63" s="24">
        <f t="shared" si="15"/>
        <v>72.500888503218306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70">
        <f t="shared" si="1"/>
        <v>256.66666666666669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7.6762499999999996</v>
      </c>
      <c r="N64" s="14">
        <f>IF('Données projet'!$A$36&gt;35,N63+M64-V63,IF(A64&lt;'Données projet'!$A$36,$K$205^A64,IF(A64='Données projet'!$A$36,'Données projet'!$B$36,N63+M64-V63)))</f>
        <v>165.58249999999998</v>
      </c>
      <c r="O64" s="14">
        <f>N64*VLOOKUP('Données projet'!$B$9,Paramètres!$A$1:$I$89,3,0)*VLOOKUP('Données projet'!$B$9,Paramètres!$A$1:$I$89,5,0)</f>
        <v>149.81904599999996</v>
      </c>
      <c r="P64" s="14">
        <f t="shared" si="33"/>
        <v>38.537460286514737</v>
      </c>
      <c r="Q64" s="22">
        <f t="shared" si="53"/>
        <v>328.05424844901307</v>
      </c>
      <c r="R64" s="62">
        <f t="shared" si="0"/>
        <v>621.38758178234639</v>
      </c>
      <c r="S64" s="62">
        <f ca="1">AVERAGE(OFFSET($R$3,0,0,'Données projet'!$E$9+1,1))-AVERAGE(OFFSET($H$3,0,0,'Données projet'!$E$9+1,1))</f>
        <v>441.6145113257511</v>
      </c>
      <c r="T64" s="62">
        <f t="shared" si="34"/>
        <v>295.8399381972477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11.849606908718512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11.849606908718512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15.75</v>
      </c>
      <c r="AI64" s="14">
        <f>IF('Données projet'!$A$62&gt;35,AI63+AH64-AQ63,IF(A64&lt;'Données projet'!$A$62,$AF$205^A64,IF(A64='Données projet'!$A$62,'Données projet'!$B$62,AI63+AH64-AQ63)))</f>
        <v>493.50000000000011</v>
      </c>
      <c r="AJ64" s="14">
        <f>AI64*VLOOKUP('Données projet'!$B$10,Paramètres!$A$1:$I$89,3,0)*VLOOKUP('Données projet'!$B$10,Paramètres!$A$1:$I$89,5,0)</f>
        <v>423.42300000000012</v>
      </c>
      <c r="AK64" s="14">
        <f t="shared" si="35"/>
        <v>96.509477494398283</v>
      </c>
      <c r="AL64" s="22">
        <f t="shared" si="4"/>
        <v>905.54906496941055</v>
      </c>
      <c r="AM64" s="62">
        <f t="shared" si="5"/>
        <v>1198.8823983027439</v>
      </c>
      <c r="AN64" s="62">
        <f ca="1">AVERAGE(OFFSET($AM$3,0,0,'Données projet'!$E$10+1,1))-AVERAGE(OFFSET($H$3,0,0,'Données projet'!$E$10+1,1))</f>
        <v>623.31285537237943</v>
      </c>
      <c r="AO64" s="62">
        <f t="shared" si="36"/>
        <v>462.33909258902241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60.165245117660824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60.165245117660824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4.4000000000000004</v>
      </c>
      <c r="BD64" s="13">
        <f>IF('Données projet'!$A$88&gt;35,BD63+BC64-BL63,IF(A64&lt;'Données projet'!$A$88,$BA$205^A64,IF(A64='Données projet'!$A$88,'Données projet'!$B$88,BD63+BC64-BL63)))</f>
        <v>237.39999999999984</v>
      </c>
      <c r="BE64" s="14">
        <f>BD64*VLOOKUP('Données projet'!$B$11,Paramètres!$A$1:$I$89,3,0)*VLOOKUP('Données projet'!$B$11,Paramètres!$A$1:$I$89,5,0)</f>
        <v>188.87543999999988</v>
      </c>
      <c r="BF64" s="14">
        <f t="shared" si="37"/>
        <v>47.291242769027726</v>
      </c>
      <c r="BG64" s="22">
        <f t="shared" si="7"/>
        <v>411.32363915605634</v>
      </c>
      <c r="BH64" s="62">
        <f t="shared" si="8"/>
        <v>704.65697248938966</v>
      </c>
      <c r="BI64" s="62">
        <f ca="1">AVERAGE(OFFSET($BH$3,0,0,'Données projet'!$E$11+1,1))-AVERAGE(OFFSET($H$3,0,0,'Données projet'!$E$11+1,1))</f>
        <v>299.10536994156814</v>
      </c>
      <c r="BJ64" s="62">
        <f t="shared" si="38"/>
        <v>292.57799203101769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16.298679024432488</v>
      </c>
      <c r="BQ64" s="23">
        <f>EXP(-LN(2)/25)*BQ63+(1-EXP(-LN(2)/25))/(LN(2)/25)*Calculateur!BL64*Calculateur!BN64*VLOOKUP('Données projet'!$B$11,Paramètres!$A$1:$I$89,3,0)*0.475*44/12</f>
        <v>0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16.298679024432488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5.5566666666666658</v>
      </c>
      <c r="BY64" s="13">
        <f>IF('Données projet'!$A$114&gt;35,BY63+BX64-CG63,IF(A64&lt;'Données projet'!$A$114,$BV$205^A64,IF(A64='Données projet'!$A$114,'Données projet'!$B$114,BY63+BX64-CG63)))</f>
        <v>165.80666666666664</v>
      </c>
      <c r="BZ64" s="14">
        <f>BY64*VLOOKUP('Données projet'!$B$12,Paramètres!$A$1:$I$89,3,0)*VLOOKUP('Données projet'!$B$12,Paramètres!$A$1:$I$89,5,0)</f>
        <v>129.32919999999999</v>
      </c>
      <c r="CA64" s="14">
        <f t="shared" si="39"/>
        <v>33.841310508877726</v>
      </c>
      <c r="CB64" s="22">
        <f t="shared" si="10"/>
        <v>284.18863913629531</v>
      </c>
      <c r="CC64" s="62">
        <f t="shared" si="11"/>
        <v>577.52197246962862</v>
      </c>
      <c r="CD64" s="62">
        <f ca="1">AVERAGE(OFFSET($CC$3,0,0,'Données projet'!$E$12+1,1))-AVERAGE(OFFSET($H$3,0,0,'Données projet'!$E$12+1,1))</f>
        <v>197.51529454208725</v>
      </c>
      <c r="CE64" s="62">
        <f t="shared" si="40"/>
        <v>196.65362486387215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20.588434617328975</v>
      </c>
      <c r="CL64" s="23">
        <f>EXP(-LN(2)/25)*CL63+(1-EXP(-LN(2)/25))/(LN(2)/25)*Calculateur!CG64*Calculateur!CI64*VLOOKUP('Données projet'!$B$12,Paramètres!$A$1:$I$89,3,0)*0.475*44/12</f>
        <v>0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20.588434617328975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8.8000000000000007</v>
      </c>
      <c r="CT64" s="13">
        <f>IF('Données projet'!$A$140&gt;35,CT63+CS64-DB63,IF(A64&lt;'Données projet'!$A$140,$CQ$205^A64,IF(A64='Données projet'!$A$140,'Données projet'!$B$140,CT63+CS64-DB63)))</f>
        <v>334.7999999999999</v>
      </c>
      <c r="CU64" s="18">
        <f>CT64*VLOOKUP('Données projet'!$B$13,Paramètres!$A$1:$I$89,3,0)*VLOOKUP('Données projet'!$B$13,Paramètres!$A$1:$I$89,5,0)</f>
        <v>182.80079999999995</v>
      </c>
      <c r="CV64" s="14">
        <f t="shared" si="41"/>
        <v>45.944751507471658</v>
      </c>
      <c r="CW64" s="22">
        <f t="shared" si="13"/>
        <v>398.39850220884637</v>
      </c>
      <c r="CX64" s="62">
        <f t="shared" si="14"/>
        <v>691.73183554217962</v>
      </c>
      <c r="CY64" s="62">
        <f ca="1">AVERAGE(OFFSET($CX$3,0,0,'Données projet'!$E$13+1,1))-AVERAGE(OFFSET($H$3,0,0,'Données projet'!$E$13+1,1))</f>
        <v>303.14853302260451</v>
      </c>
      <c r="CZ64" s="62">
        <f t="shared" si="42"/>
        <v>298.74602928001929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39.510348219521859</v>
      </c>
      <c r="DG64" s="23">
        <f>EXP(-LN(2)/25)*DG63+(1-EXP(-LN(2)/25))/(LN(2)/25)*Calculateur!DB64*Calculateur!DD64*VLOOKUP('Données projet'!$B$13,Paramètres!$A$1:$I$89,3,0)*0.475*44/12</f>
        <v>27.682375708394066</v>
      </c>
      <c r="DH64" s="23">
        <f>EXP(-LN(2)/2)*DH63+(1-EXP(-LN(2)/2))/(LN(2)/2)*DB64*DE64*VLOOKUP('Données projet'!$B$13,Paramètres!$A$1:$I$89,3,0)*0.475*44/12</f>
        <v>2.6443223354121987</v>
      </c>
      <c r="DI64" s="24">
        <f t="shared" si="15"/>
        <v>69.837046263328119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70">
        <f t="shared" si="1"/>
        <v>256.66666666666669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7.6762499999999996</v>
      </c>
      <c r="N65" s="14">
        <f>IF('Données projet'!$A$36&gt;35,N64+M65-V64,IF(A65&lt;'Données projet'!$A$36,$K$205^A65,IF(A65='Données projet'!$A$36,'Données projet'!$B$36,N64+M65-V64)))</f>
        <v>173.25874999999999</v>
      </c>
      <c r="O65" s="14">
        <f>N65*VLOOKUP('Données projet'!$B$9,Paramètres!$A$1:$I$89,3,0)*VLOOKUP('Données projet'!$B$9,Paramètres!$A$1:$I$89,5,0)</f>
        <v>156.76451699999998</v>
      </c>
      <c r="P65" s="14">
        <f t="shared" si="33"/>
        <v>40.111877777510912</v>
      </c>
      <c r="Q65" s="22">
        <f t="shared" si="53"/>
        <v>342.89305423749806</v>
      </c>
      <c r="R65" s="62">
        <f t="shared" si="0"/>
        <v>636.22638757083132</v>
      </c>
      <c r="S65" s="62">
        <f ca="1">AVERAGE(OFFSET($R$3,0,0,'Données projet'!$E$9+1,1))-AVERAGE(OFFSET($H$3,0,0,'Données projet'!$E$9+1,1))</f>
        <v>441.6145113257511</v>
      </c>
      <c r="T65" s="62">
        <f t="shared" si="34"/>
        <v>295.8399381972477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11.617243344785095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11.617243344785095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15.75</v>
      </c>
      <c r="AI65" s="14">
        <f>IF('Données projet'!$A$62&gt;35,AI64+AH65-AQ64,IF(A65&lt;'Données projet'!$A$62,$AF$205^A65,IF(A65='Données projet'!$A$62,'Données projet'!$B$62,AI64+AH65-AQ64)))</f>
        <v>509.25000000000011</v>
      </c>
      <c r="AJ65" s="14">
        <f>AI65*VLOOKUP('Données projet'!$B$10,Paramètres!$A$1:$I$89,3,0)*VLOOKUP('Données projet'!$B$10,Paramètres!$A$1:$I$89,5,0)</f>
        <v>436.93650000000014</v>
      </c>
      <c r="AK65" s="14">
        <f t="shared" si="35"/>
        <v>99.226048637397696</v>
      </c>
      <c r="AL65" s="22">
        <f t="shared" si="4"/>
        <v>933.81643887680104</v>
      </c>
      <c r="AM65" s="62">
        <f t="shared" si="5"/>
        <v>1227.1497722101344</v>
      </c>
      <c r="AN65" s="62">
        <f ca="1">AVERAGE(OFFSET($AM$3,0,0,'Données projet'!$E$10+1,1))-AVERAGE(OFFSET($H$3,0,0,'Données projet'!$E$10+1,1))</f>
        <v>623.31285537237943</v>
      </c>
      <c r="AO65" s="62">
        <f t="shared" si="36"/>
        <v>462.33909258902241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58.98544135807947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58.98544135807947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4.4000000000000004</v>
      </c>
      <c r="BD65" s="13">
        <f>IF('Données projet'!$A$88&gt;35,BD64+BC65-BL64,IF(A65&lt;'Données projet'!$A$88,$BA$205^A65,IF(A65='Données projet'!$A$88,'Données projet'!$B$88,BD64+BC65-BL64)))</f>
        <v>241.79999999999984</v>
      </c>
      <c r="BE65" s="14">
        <f>BD65*VLOOKUP('Données projet'!$B$11,Paramètres!$A$1:$I$89,3,0)*VLOOKUP('Données projet'!$B$11,Paramètres!$A$1:$I$89,5,0)</f>
        <v>192.37607999999989</v>
      </c>
      <c r="BF65" s="14">
        <f t="shared" si="37"/>
        <v>48.064889828485896</v>
      </c>
      <c r="BG65" s="22">
        <f t="shared" si="7"/>
        <v>418.76802245127936</v>
      </c>
      <c r="BH65" s="62">
        <f t="shared" si="8"/>
        <v>712.10135578461268</v>
      </c>
      <c r="BI65" s="62">
        <f ca="1">AVERAGE(OFFSET($BH$3,0,0,'Données projet'!$E$11+1,1))-AVERAGE(OFFSET($H$3,0,0,'Données projet'!$E$11+1,1))</f>
        <v>299.10536994156814</v>
      </c>
      <c r="BJ65" s="62">
        <f t="shared" si="38"/>
        <v>292.57799203101769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15.979071869975959</v>
      </c>
      <c r="BQ65" s="23">
        <f>EXP(-LN(2)/25)*BQ64+(1-EXP(-LN(2)/25))/(LN(2)/25)*Calculateur!BL65*Calculateur!BN65*VLOOKUP('Données projet'!$B$11,Paramètres!$A$1:$I$89,3,0)*0.475*44/12</f>
        <v>0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15.979071869975959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5.5566666666666658</v>
      </c>
      <c r="BY65" s="13">
        <f>IF('Données projet'!$A$114&gt;35,BY64+BX65-CG64,IF(A65&lt;'Données projet'!$A$114,$BV$205^A65,IF(A65='Données projet'!$A$114,'Données projet'!$B$114,BY64+BX65-CG64)))</f>
        <v>171.36333333333332</v>
      </c>
      <c r="BZ65" s="14">
        <f>BY65*VLOOKUP('Données projet'!$B$12,Paramètres!$A$1:$I$89,3,0)*VLOOKUP('Données projet'!$B$12,Paramètres!$A$1:$I$89,5,0)</f>
        <v>133.6634</v>
      </c>
      <c r="CA65" s="14">
        <f t="shared" si="39"/>
        <v>34.84148952679071</v>
      </c>
      <c r="CB65" s="22">
        <f t="shared" si="10"/>
        <v>293.47934925916041</v>
      </c>
      <c r="CC65" s="62">
        <f t="shared" si="11"/>
        <v>586.81268259249373</v>
      </c>
      <c r="CD65" s="62">
        <f ca="1">AVERAGE(OFFSET($CC$3,0,0,'Données projet'!$E$12+1,1))-AVERAGE(OFFSET($H$3,0,0,'Données projet'!$E$12+1,1))</f>
        <v>197.51529454208725</v>
      </c>
      <c r="CE65" s="62">
        <f t="shared" si="40"/>
        <v>196.65362486387215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20.184707972188299</v>
      </c>
      <c r="CL65" s="23">
        <f>EXP(-LN(2)/25)*CL64+(1-EXP(-LN(2)/25))/(LN(2)/25)*Calculateur!CG65*Calculateur!CI65*VLOOKUP('Données projet'!$B$12,Paramètres!$A$1:$I$89,3,0)*0.475*44/12</f>
        <v>0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20.184707972188299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8.8000000000000007</v>
      </c>
      <c r="CT65" s="13">
        <f>IF('Données projet'!$A$140&gt;35,CT64+CS65-DB64,IF(A65&lt;'Données projet'!$A$140,$CQ$205^A65,IF(A65='Données projet'!$A$140,'Données projet'!$B$140,CT64+CS65-DB64)))</f>
        <v>343.59999999999991</v>
      </c>
      <c r="CU65" s="18">
        <f>CT65*VLOOKUP('Données projet'!$B$13,Paramètres!$A$1:$I$89,3,0)*VLOOKUP('Données projet'!$B$13,Paramètres!$A$1:$I$89,5,0)</f>
        <v>187.60559999999995</v>
      </c>
      <c r="CV65" s="14">
        <f t="shared" si="41"/>
        <v>47.010194913493009</v>
      </c>
      <c r="CW65" s="22">
        <f t="shared" si="13"/>
        <v>408.62250947433353</v>
      </c>
      <c r="CX65" s="62">
        <f t="shared" si="14"/>
        <v>701.95584280766684</v>
      </c>
      <c r="CY65" s="62">
        <f ca="1">AVERAGE(OFFSET($CX$3,0,0,'Données projet'!$E$13+1,1))-AVERAGE(OFFSET($H$3,0,0,'Données projet'!$E$13+1,1))</f>
        <v>303.14853302260451</v>
      </c>
      <c r="CZ65" s="62">
        <f t="shared" si="42"/>
        <v>298.74602928001929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38.735574389869875</v>
      </c>
      <c r="DG65" s="23">
        <f>EXP(-LN(2)/25)*DG64+(1-EXP(-LN(2)/25))/(LN(2)/25)*Calculateur!DB65*Calculateur!DD65*VLOOKUP('Données projet'!$B$13,Paramètres!$A$1:$I$89,3,0)*0.475*44/12</f>
        <v>26.925399688895162</v>
      </c>
      <c r="DH65" s="23">
        <f>EXP(-LN(2)/2)*DH64+(1-EXP(-LN(2)/2))/(LN(2)/2)*DB65*DE65*VLOOKUP('Données projet'!$B$13,Paramètres!$A$1:$I$89,3,0)*0.475*44/12</f>
        <v>1.869818255013014</v>
      </c>
      <c r="DI65" s="24">
        <f t="shared" si="15"/>
        <v>67.530792333778052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70">
        <f t="shared" si="1"/>
        <v>256.66666666666669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7.6762499999999996</v>
      </c>
      <c r="N66" s="14">
        <f>IF('Données projet'!$A$36&gt;35,N65+M66-V65,IF(A66&lt;'Données projet'!$A$36,$K$205^A66,IF(A66='Données projet'!$A$36,'Données projet'!$B$36,N65+M66-V65)))</f>
        <v>180.935</v>
      </c>
      <c r="O66" s="14">
        <f>N66*VLOOKUP('Données projet'!$B$9,Paramètres!$A$1:$I$89,3,0)*VLOOKUP('Données projet'!$B$9,Paramètres!$A$1:$I$89,5,0)</f>
        <v>163.70998799999998</v>
      </c>
      <c r="P66" s="14">
        <f t="shared" si="33"/>
        <v>41.678193916379044</v>
      </c>
      <c r="Q66" s="22">
        <f t="shared" si="53"/>
        <v>357.71775017102681</v>
      </c>
      <c r="R66" s="62">
        <f t="shared" si="0"/>
        <v>651.05108350436012</v>
      </c>
      <c r="S66" s="62">
        <f ca="1">AVERAGE(OFFSET($R$3,0,0,'Données projet'!$E$9+1,1))-AVERAGE(OFFSET($H$3,0,0,'Données projet'!$E$9+1,1))</f>
        <v>441.6145113257511</v>
      </c>
      <c r="T66" s="62">
        <f t="shared" si="34"/>
        <v>295.8399381972477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11.389436288612632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11.389436288612632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>
        <f>VLOOKUP(A66,'Données projet'!$A$61:$I$81,2,0)</f>
        <v>525</v>
      </c>
      <c r="AG66" s="13">
        <f>VLOOKUP(A66,'Données projet'!$A$61:$I$81,9,0)</f>
        <v>15.75</v>
      </c>
      <c r="AH66" s="13">
        <f t="array" ref="AH66">INDEX(AG:AG,MIN(IF(ISNUMBER(AG66:AG262),ROW(AG66:AG262),"")))</f>
        <v>15.75</v>
      </c>
      <c r="AI66" s="14">
        <f>IF('Données projet'!$A$62&gt;35,AI65+AH66-AQ65,IF(A66&lt;'Données projet'!$A$62,$AF$205^A66,IF(A66='Données projet'!$A$62,'Données projet'!$B$62,AI65+AH66-AQ65)))</f>
        <v>525.00000000000011</v>
      </c>
      <c r="AJ66" s="14">
        <f>AI66*VLOOKUP('Données projet'!$B$10,Paramètres!$A$1:$I$89,3,0)*VLOOKUP('Données projet'!$B$10,Paramètres!$A$1:$I$89,5,0)</f>
        <v>450.45000000000022</v>
      </c>
      <c r="AK66" s="14">
        <f t="shared" si="35"/>
        <v>101.93285606199899</v>
      </c>
      <c r="AL66" s="22">
        <f t="shared" si="4"/>
        <v>962.06680764131522</v>
      </c>
      <c r="AM66" s="62">
        <f t="shared" si="5"/>
        <v>1255.4001409746486</v>
      </c>
      <c r="AN66" s="62">
        <f ca="1">AVERAGE(OFFSET($AM$3,0,0,'Données projet'!$E$10+1,1))-AVERAGE(OFFSET($H$3,0,0,'Données projet'!$E$10+1,1))</f>
        <v>623.31285537237943</v>
      </c>
      <c r="AO66" s="62">
        <f t="shared" si="36"/>
        <v>462.33909258902241</v>
      </c>
      <c r="AP66" s="16">
        <f>IF(ISNA(VLOOKUP(A66,'Données projet'!$A$61:$I$81,3,0)),0,VLOOKUP(A66,'Données projet'!$A$61:$I$81,3,0))</f>
        <v>9</v>
      </c>
      <c r="AQ66" s="16">
        <f>IF(ISNA(VLOOKUP(A66,'Données projet'!$A$61:$I$81,4,0)),0,VLOOKUP(A66,'Données projet'!$A$61:$I$81,4,0))</f>
        <v>124</v>
      </c>
      <c r="AR66" s="17">
        <f>IF(ISNA(VLOOKUP(A66,'Données projet'!$A$61:$I$81,5,0)),0%,VLOOKUP(A66,'Données projet'!$A$61:$I$81,5,0)*VLOOKUP('Données projet'!$B$10,Paramètres!$A$1:$I$89,7,0))</f>
        <v>0.371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101.46327174436331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101.46327174436331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4.4000000000000004</v>
      </c>
      <c r="BD66" s="13">
        <f>IF('Données projet'!$A$88&gt;35,BD65+BC66-BL65,IF(A66&lt;'Données projet'!$A$88,$BA$205^A66,IF(A66='Données projet'!$A$88,'Données projet'!$B$88,BD65+BC66-BL65)))</f>
        <v>246.19999999999985</v>
      </c>
      <c r="BE66" s="14">
        <f>BD66*VLOOKUP('Données projet'!$B$11,Paramètres!$A$1:$I$89,3,0)*VLOOKUP('Données projet'!$B$11,Paramètres!$A$1:$I$89,5,0)</f>
        <v>195.87671999999989</v>
      </c>
      <c r="BF66" s="14">
        <f t="shared" si="37"/>
        <v>48.836899853879942</v>
      </c>
      <c r="BG66" s="22">
        <f t="shared" si="7"/>
        <v>426.20955457884071</v>
      </c>
      <c r="BH66" s="62">
        <f t="shared" si="8"/>
        <v>719.54288791217402</v>
      </c>
      <c r="BI66" s="62">
        <f ca="1">AVERAGE(OFFSET($BH$3,0,0,'Données projet'!$E$11+1,1))-AVERAGE(OFFSET($H$3,0,0,'Données projet'!$E$11+1,1))</f>
        <v>299.10536994156814</v>
      </c>
      <c r="BJ66" s="62">
        <f t="shared" si="38"/>
        <v>292.57799203101769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15.665732016877207</v>
      </c>
      <c r="BQ66" s="23">
        <f>EXP(-LN(2)/25)*BQ65+(1-EXP(-LN(2)/25))/(LN(2)/25)*Calculateur!BL66*Calculateur!BN66*VLOOKUP('Données projet'!$B$11,Paramètres!$A$1:$I$89,3,0)*0.475*44/12</f>
        <v>0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15.665732016877207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5.5566666666666658</v>
      </c>
      <c r="BY66" s="13">
        <f>IF('Données projet'!$A$114&gt;35,BY65+BX66-CG65,IF(A66&lt;'Données projet'!$A$114,$BV$205^A66,IF(A66='Données projet'!$A$114,'Données projet'!$B$114,BY65+BX66-CG65)))</f>
        <v>176.92</v>
      </c>
      <c r="BZ66" s="14">
        <f>BY66*VLOOKUP('Données projet'!$B$12,Paramètres!$A$1:$I$89,3,0)*VLOOKUP('Données projet'!$B$12,Paramètres!$A$1:$I$89,5,0)</f>
        <v>137.99760000000001</v>
      </c>
      <c r="CA66" s="14">
        <f t="shared" si="39"/>
        <v>35.83789987366093</v>
      </c>
      <c r="CB66" s="22">
        <f t="shared" si="10"/>
        <v>302.76349561329272</v>
      </c>
      <c r="CC66" s="62">
        <f t="shared" si="11"/>
        <v>596.09682894662603</v>
      </c>
      <c r="CD66" s="62">
        <f ca="1">AVERAGE(OFFSET($CC$3,0,0,'Données projet'!$E$12+1,1))-AVERAGE(OFFSET($H$3,0,0,'Données projet'!$E$12+1,1))</f>
        <v>197.51529454208725</v>
      </c>
      <c r="CE66" s="62">
        <f t="shared" si="40"/>
        <v>196.65362486387215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19.788898160309895</v>
      </c>
      <c r="CL66" s="23">
        <f>EXP(-LN(2)/25)*CL65+(1-EXP(-LN(2)/25))/(LN(2)/25)*Calculateur!CG66*Calculateur!CI66*VLOOKUP('Données projet'!$B$12,Paramètres!$A$1:$I$89,3,0)*0.475*44/12</f>
        <v>0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19.788898160309895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8.8000000000000007</v>
      </c>
      <c r="CT66" s="13">
        <f>IF('Données projet'!$A$140&gt;35,CT65+CS66-DB65,IF(A66&lt;'Données projet'!$A$140,$CQ$205^A66,IF(A66='Données projet'!$A$140,'Données projet'!$B$140,CT65+CS66-DB65)))</f>
        <v>352.39999999999992</v>
      </c>
      <c r="CU66" s="18">
        <f>CT66*VLOOKUP('Données projet'!$B$13,Paramètres!$A$1:$I$89,3,0)*VLOOKUP('Données projet'!$B$13,Paramètres!$A$1:$I$89,5,0)</f>
        <v>192.41039999999995</v>
      </c>
      <c r="CV66" s="14">
        <f t="shared" si="41"/>
        <v>48.072466445896154</v>
      </c>
      <c r="CW66" s="22">
        <f t="shared" si="13"/>
        <v>418.84099239326906</v>
      </c>
      <c r="CX66" s="62">
        <f t="shared" si="14"/>
        <v>712.17432572660232</v>
      </c>
      <c r="CY66" s="62">
        <f ca="1">AVERAGE(OFFSET($CX$3,0,0,'Données projet'!$E$13+1,1))-AVERAGE(OFFSET($H$3,0,0,'Données projet'!$E$13+1,1))</f>
        <v>303.14853302260451</v>
      </c>
      <c r="CZ66" s="62">
        <f t="shared" si="42"/>
        <v>298.74602928001929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37.975993402451998</v>
      </c>
      <c r="DG66" s="23">
        <f>EXP(-LN(2)/25)*DG65+(1-EXP(-LN(2)/25))/(LN(2)/25)*Calculateur!DB66*Calculateur!DD66*VLOOKUP('Données projet'!$B$13,Paramètres!$A$1:$I$89,3,0)*0.475*44/12</f>
        <v>26.189123218457095</v>
      </c>
      <c r="DH66" s="23">
        <f>EXP(-LN(2)/2)*DH65+(1-EXP(-LN(2)/2))/(LN(2)/2)*DB66*DE66*VLOOKUP('Données projet'!$B$13,Paramètres!$A$1:$I$89,3,0)*0.475*44/12</f>
        <v>1.3221611677060996</v>
      </c>
      <c r="DI66" s="24">
        <f t="shared" si="15"/>
        <v>65.487277788615188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70">
        <f t="shared" si="1"/>
        <v>256.66666666666669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7.6762499999999996</v>
      </c>
      <c r="N67" s="14">
        <f>IF('Données projet'!$A$36&gt;35,N66+M67-V66,IF(A67&lt;'Données projet'!$A$36,$K$205^A67,IF(A67='Données projet'!$A$36,'Données projet'!$B$36,N66+M67-V66)))</f>
        <v>188.61125000000001</v>
      </c>
      <c r="O67" s="14">
        <f>N67*VLOOKUP('Données projet'!$B$9,Paramètres!$A$1:$I$89,3,0)*VLOOKUP('Données projet'!$B$9,Paramètres!$A$1:$I$89,5,0)</f>
        <v>170.65545900000001</v>
      </c>
      <c r="P67" s="14">
        <f t="shared" si="33"/>
        <v>43.236791702313674</v>
      </c>
      <c r="Q67" s="22">
        <f t="shared" ref="Q67:Q98" si="54">(O67+P67)*0.475*44/12</f>
        <v>372.52900330652966</v>
      </c>
      <c r="R67" s="62">
        <f t="shared" ref="R67:R130" si="55">Q67+(I67+J67)*44/12</f>
        <v>665.86233663986297</v>
      </c>
      <c r="S67" s="62">
        <f ca="1">AVERAGE(OFFSET($R$3,0,0,'Données projet'!$E$9+1,1))-AVERAGE(OFFSET($H$3,0,0,'Données projet'!$E$9+1,1))</f>
        <v>441.6145113257511</v>
      </c>
      <c r="T67" s="62">
        <f t="shared" si="34"/>
        <v>295.8399381972477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11.166096389863128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11.166096389863128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11.25925925925926</v>
      </c>
      <c r="AI67" s="14">
        <f>IF('Données projet'!$A$62&gt;35,AI66+AH67-AQ66,IF(A67&lt;'Données projet'!$A$62,$AF$205^A67,IF(A67='Données projet'!$A$62,'Données projet'!$B$62,AI66+AH67-AQ66)))</f>
        <v>412.25925925925935</v>
      </c>
      <c r="AJ67" s="14">
        <f>AI67*VLOOKUP('Données projet'!$B$10,Paramètres!$A$1:$I$89,3,0)*VLOOKUP('Données projet'!$B$10,Paramètres!$A$1:$I$89,5,0)</f>
        <v>353.71844444444457</v>
      </c>
      <c r="AK67" s="14">
        <f t="shared" si="35"/>
        <v>82.327705998406941</v>
      </c>
      <c r="AL67" s="22">
        <f t="shared" si="4"/>
        <v>759.44704535463291</v>
      </c>
      <c r="AM67" s="62">
        <f t="shared" si="5"/>
        <v>1052.7803786879663</v>
      </c>
      <c r="AN67" s="62">
        <f ca="1">AVERAGE(OFFSET($AM$3,0,0,'Données projet'!$E$10+1,1))-AVERAGE(OFFSET($H$3,0,0,'Données projet'!$E$10+1,1))</f>
        <v>623.31285537237943</v>
      </c>
      <c r="AO67" s="62">
        <f t="shared" si="36"/>
        <v>462.33909258902241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99.473638871941333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99.473638871941333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4.4000000000000004</v>
      </c>
      <c r="BD67" s="13">
        <f>IF('Données projet'!$A$88&gt;35,BD66+BC67-BL66,IF(A67&lt;'Données projet'!$A$88,$BA$205^A67,IF(A67='Données projet'!$A$88,'Données projet'!$B$88,BD66+BC67-BL66)))</f>
        <v>250.59999999999985</v>
      </c>
      <c r="BE67" s="14">
        <f>BD67*VLOOKUP('Données projet'!$B$11,Paramètres!$A$1:$I$89,3,0)*VLOOKUP('Données projet'!$B$11,Paramètres!$A$1:$I$89,5,0)</f>
        <v>199.3773599999999</v>
      </c>
      <c r="BF67" s="14">
        <f t="shared" si="37"/>
        <v>49.607305476717762</v>
      </c>
      <c r="BG67" s="22">
        <f t="shared" si="7"/>
        <v>433.64829237194994</v>
      </c>
      <c r="BH67" s="62">
        <f t="shared" si="8"/>
        <v>726.98162570528325</v>
      </c>
      <c r="BI67" s="62">
        <f ca="1">AVERAGE(OFFSET($BH$3,0,0,'Données projet'!$E$11+1,1))-AVERAGE(OFFSET($H$3,0,0,'Données projet'!$E$11+1,1))</f>
        <v>299.10536994156814</v>
      </c>
      <c r="BJ67" s="62">
        <f t="shared" si="38"/>
        <v>292.57799203101769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15.358536567179282</v>
      </c>
      <c r="BQ67" s="23">
        <f>EXP(-LN(2)/25)*BQ66+(1-EXP(-LN(2)/25))/(LN(2)/25)*Calculateur!BL67*Calculateur!BN67*VLOOKUP('Données projet'!$B$11,Paramètres!$A$1:$I$89,3,0)*0.475*44/12</f>
        <v>0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15.358536567179282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5.5566666666666658</v>
      </c>
      <c r="BY67" s="13">
        <f>IF('Données projet'!$A$114&gt;35,BY66+BX67-CG66,IF(A67&lt;'Données projet'!$A$114,$BV$205^A67,IF(A67='Données projet'!$A$114,'Données projet'!$B$114,BY66+BX67-CG66)))</f>
        <v>182.47666666666666</v>
      </c>
      <c r="BZ67" s="14">
        <f>BY67*VLOOKUP('Données projet'!$B$12,Paramètres!$A$1:$I$89,3,0)*VLOOKUP('Données projet'!$B$12,Paramètres!$A$1:$I$89,5,0)</f>
        <v>142.33179999999999</v>
      </c>
      <c r="CA67" s="14">
        <f t="shared" si="39"/>
        <v>36.830673495652704</v>
      </c>
      <c r="CB67" s="22">
        <f t="shared" si="10"/>
        <v>312.04130800492845</v>
      </c>
      <c r="CC67" s="62">
        <f t="shared" si="11"/>
        <v>605.37464133826177</v>
      </c>
      <c r="CD67" s="62">
        <f ca="1">AVERAGE(OFFSET($CC$3,0,0,'Données projet'!$E$12+1,1))-AVERAGE(OFFSET($H$3,0,0,'Données projet'!$E$12+1,1))</f>
        <v>197.51529454208725</v>
      </c>
      <c r="CE67" s="62">
        <f t="shared" si="40"/>
        <v>196.65362486387215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19.400849937422279</v>
      </c>
      <c r="CL67" s="23">
        <f>EXP(-LN(2)/25)*CL66+(1-EXP(-LN(2)/25))/(LN(2)/25)*Calculateur!CG67*Calculateur!CI67*VLOOKUP('Données projet'!$B$12,Paramètres!$A$1:$I$89,3,0)*0.475*44/12</f>
        <v>0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19.400849937422279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8.8000000000000007</v>
      </c>
      <c r="CT67" s="13">
        <f>IF('Données projet'!$A$140&gt;35,CT66+CS67-DB66,IF(A67&lt;'Données projet'!$A$140,$CQ$205^A67,IF(A67='Données projet'!$A$140,'Données projet'!$B$140,CT66+CS67-DB66)))</f>
        <v>361.19999999999993</v>
      </c>
      <c r="CU67" s="18">
        <f>CT67*VLOOKUP('Données projet'!$B$13,Paramètres!$A$1:$I$89,3,0)*VLOOKUP('Données projet'!$B$13,Paramètres!$A$1:$I$89,5,0)</f>
        <v>197.21519999999998</v>
      </c>
      <c r="CV67" s="14">
        <f t="shared" si="41"/>
        <v>49.131654421367656</v>
      </c>
      <c r="CW67" s="22">
        <f t="shared" si="13"/>
        <v>429.05410478388194</v>
      </c>
      <c r="CX67" s="62">
        <f t="shared" si="14"/>
        <v>722.3874381172152</v>
      </c>
      <c r="CY67" s="62">
        <f ca="1">AVERAGE(OFFSET($CX$3,0,0,'Données projet'!$E$13+1,1))-AVERAGE(OFFSET($H$3,0,0,'Données projet'!$E$13+1,1))</f>
        <v>303.14853302260451</v>
      </c>
      <c r="CZ67" s="62">
        <f t="shared" si="42"/>
        <v>298.74602928001929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37.231307334898723</v>
      </c>
      <c r="DG67" s="23">
        <f>EXP(-LN(2)/25)*DG66+(1-EXP(-LN(2)/25))/(LN(2)/25)*Calculateur!DB67*Calculateur!DD67*VLOOKUP('Données projet'!$B$13,Paramètres!$A$1:$I$89,3,0)*0.475*44/12</f>
        <v>25.472980266822251</v>
      </c>
      <c r="DH67" s="23">
        <f>EXP(-LN(2)/2)*DH66+(1-EXP(-LN(2)/2))/(LN(2)/2)*DB67*DE67*VLOOKUP('Données projet'!$B$13,Paramètres!$A$1:$I$89,3,0)*0.475*44/12</f>
        <v>0.93490912750650723</v>
      </c>
      <c r="DI67" s="24">
        <f t="shared" si="15"/>
        <v>63.639196729227486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70">
        <f t="shared" ref="H68:H131" si="56">(B68+E68+F68)*44/12+(C68+D68)*0.475*44/12</f>
        <v>256.66666666666669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7.6762499999999996</v>
      </c>
      <c r="N68" s="14">
        <f>IF('Données projet'!$A$36&gt;35,N67+M68-V67,IF(A68&lt;'Données projet'!$A$36,$K$205^A68,IF(A68='Données projet'!$A$36,'Données projet'!$B$36,N67+M68-V67)))</f>
        <v>196.28750000000002</v>
      </c>
      <c r="O68" s="14">
        <f>N68*VLOOKUP('Données projet'!$B$9,Paramètres!$A$1:$I$89,3,0)*VLOOKUP('Données projet'!$B$9,Paramètres!$A$1:$I$89,5,0)</f>
        <v>177.60093000000001</v>
      </c>
      <c r="P68" s="14">
        <f t="shared" si="33"/>
        <v>44.788021195052877</v>
      </c>
      <c r="Q68" s="22">
        <f t="shared" si="54"/>
        <v>387.32742333138373</v>
      </c>
      <c r="R68" s="62">
        <f t="shared" si="55"/>
        <v>680.66075666471704</v>
      </c>
      <c r="S68" s="62">
        <f ca="1">AVERAGE(OFFSET($R$3,0,0,'Données projet'!$E$9+1,1))-AVERAGE(OFFSET($H$3,0,0,'Données projet'!$E$9+1,1))</f>
        <v>441.6145113257511</v>
      </c>
      <c r="T68" s="62">
        <f t="shared" si="34"/>
        <v>295.8399381972477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10.947136050304215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10.947136050304215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11.25925925925926</v>
      </c>
      <c r="AI68" s="14">
        <f>IF('Données projet'!$A$62&gt;35,AI67+AH68-AQ67,IF(A68&lt;'Données projet'!$A$62,$AF$205^A68,IF(A68='Données projet'!$A$62,'Données projet'!$B$62,AI67+AH68-AQ67)))</f>
        <v>423.51851851851859</v>
      </c>
      <c r="AJ68" s="14">
        <f>AI68*VLOOKUP('Données projet'!$B$10,Paramètres!$A$1:$I$89,3,0)*VLOOKUP('Données projet'!$B$10,Paramètres!$A$1:$I$89,5,0)</f>
        <v>363.37888888888898</v>
      </c>
      <c r="AK68" s="14">
        <f t="shared" si="35"/>
        <v>84.311320096540499</v>
      </c>
      <c r="AL68" s="22">
        <f t="shared" ref="AL68:AL131" si="58">(AJ68+AK68)*0.475*44/12</f>
        <v>779.72711398295633</v>
      </c>
      <c r="AM68" s="62">
        <f t="shared" ref="AM68:AM131" si="59">AL68+(AD68+AE68)*44/12</f>
        <v>1073.0604473162896</v>
      </c>
      <c r="AN68" s="62">
        <f ca="1">AVERAGE(OFFSET($AM$3,0,0,'Données projet'!$E$10+1,1))-AVERAGE(OFFSET($H$3,0,0,'Données projet'!$E$10+1,1))</f>
        <v>623.31285537237943</v>
      </c>
      <c r="AO68" s="62">
        <f t="shared" si="36"/>
        <v>462.33909258902241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97.523021486591318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97.523021486591318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255</v>
      </c>
      <c r="BB68" s="13">
        <f>VLOOKUP(A68,'Données projet'!$A$87:$I$107,9,0)</f>
        <v>4.4000000000000004</v>
      </c>
      <c r="BC68" s="13">
        <f t="array" ref="BC68">INDEX(BB:BB,MIN(IF(ISNUMBER(BB68:BB264),ROW(BB68:BB264),"")))</f>
        <v>4.4000000000000004</v>
      </c>
      <c r="BD68" s="13">
        <f>IF('Données projet'!$A$88&gt;35,BD67+BC68-BL67,IF(A68&lt;'Données projet'!$A$88,$BA$205^A68,IF(A68='Données projet'!$A$88,'Données projet'!$B$88,BD67+BC68-BL67)))</f>
        <v>254.99999999999986</v>
      </c>
      <c r="BE68" s="14">
        <f>BD68*VLOOKUP('Données projet'!$B$11,Paramètres!$A$1:$I$89,3,0)*VLOOKUP('Données projet'!$B$11,Paramètres!$A$1:$I$89,5,0)</f>
        <v>202.8779999999999</v>
      </c>
      <c r="BF68" s="14">
        <f t="shared" si="37"/>
        <v>50.376138116990084</v>
      </c>
      <c r="BG68" s="22">
        <f t="shared" ref="BG68:BG131" si="61">(BE68+BF68)*0.475*44/12</f>
        <v>441.08429055375751</v>
      </c>
      <c r="BH68" s="62">
        <f t="shared" ref="BH68:BH131" si="62">BG68+(AY68+AZ68)*44/12</f>
        <v>734.41762388709083</v>
      </c>
      <c r="BI68" s="62">
        <f ca="1">AVERAGE(OFFSET($BH$3,0,0,'Données projet'!$E$11+1,1))-AVERAGE(OFFSET($H$3,0,0,'Données projet'!$E$11+1,1))</f>
        <v>299.10536994156814</v>
      </c>
      <c r="BJ68" s="62">
        <f t="shared" si="38"/>
        <v>292.57799203101769</v>
      </c>
      <c r="BK68" s="16">
        <f>IF(ISNA(VLOOKUP(A68,'Données projet'!$A$87:$I$107,3,0)),0,VLOOKUP(A68,'Données projet'!$A$87:$I$107,3,0))</f>
        <v>11</v>
      </c>
      <c r="BL68" s="16">
        <f>IF(ISNA(VLOOKUP(A68,'Données projet'!$A$87:$I$107,4,0)),0,VLOOKUP(A68,'Données projet'!$A$87:$I$107,4,0))</f>
        <v>11</v>
      </c>
      <c r="BM68" s="17">
        <f>IF(ISNA(VLOOKUP(A68,'Données projet'!$A$87:$I$107,5,0)),0%,VLOOKUP(A68,'Données projet'!$A$87:$I$107,5,0)*VLOOKUP('Données projet'!$B$11,Paramètres!$A$1:$I$89,7,0))</f>
        <v>0.318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18.133898827258751</v>
      </c>
      <c r="BQ68" s="23">
        <f>EXP(-LN(2)/25)*BQ67+(1-EXP(-LN(2)/25))/(LN(2)/25)*Calculateur!BL68*Calculateur!BN68*VLOOKUP('Données projet'!$B$11,Paramètres!$A$1:$I$89,3,0)*0.475*44/12</f>
        <v>0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18.133898827258751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5.5566666666666658</v>
      </c>
      <c r="BY68" s="13">
        <f>IF('Données projet'!$A$114&gt;35,BY67+BX68-CG67,IF(A68&lt;'Données projet'!$A$114,$BV$205^A68,IF(A68='Données projet'!$A$114,'Données projet'!$B$114,BY67+BX68-CG67)))</f>
        <v>188.03333333333333</v>
      </c>
      <c r="BZ68" s="14">
        <f>BY68*VLOOKUP('Données projet'!$B$12,Paramètres!$A$1:$I$89,3,0)*VLOOKUP('Données projet'!$B$12,Paramètres!$A$1:$I$89,5,0)</f>
        <v>146.666</v>
      </c>
      <c r="CA68" s="14">
        <f t="shared" si="39"/>
        <v>37.819933846429407</v>
      </c>
      <c r="CB68" s="22">
        <f t="shared" ref="CB68:CB131" si="64">(BZ68+CA68)*0.475*44/12</f>
        <v>321.31300144919788</v>
      </c>
      <c r="CC68" s="62">
        <f t="shared" ref="CC68:CC131" si="65">CB68+(BT68+BU68)*44/12</f>
        <v>614.6463347825312</v>
      </c>
      <c r="CD68" s="62">
        <f ca="1">AVERAGE(OFFSET($CC$3,0,0,'Données projet'!$E$12+1,1))-AVERAGE(OFFSET($H$3,0,0,'Données projet'!$E$12+1,1))</f>
        <v>197.51529454208725</v>
      </c>
      <c r="CE68" s="62">
        <f t="shared" si="40"/>
        <v>196.65362486387215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19.020411103499445</v>
      </c>
      <c r="CL68" s="23">
        <f>EXP(-LN(2)/25)*CL67+(1-EXP(-LN(2)/25))/(LN(2)/25)*Calculateur!CG68*Calculateur!CI68*VLOOKUP('Données projet'!$B$12,Paramètres!$A$1:$I$89,3,0)*0.475*44/12</f>
        <v>0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19.020411103499445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370</v>
      </c>
      <c r="CR68" s="13">
        <f>VLOOKUP(A68,'Données projet'!$A$139:$I$159,9,0)</f>
        <v>8.8000000000000007</v>
      </c>
      <c r="CS68" s="13">
        <f t="array" ref="CS68">INDEX(CR:CR,MIN(IF(ISNUMBER(CR68:CR264),ROW(CR68:CR264),"")))</f>
        <v>8.8000000000000007</v>
      </c>
      <c r="CT68" s="13">
        <f>IF('Données projet'!$A$140&gt;35,CT67+CS68-DB67,IF(A68&lt;'Données projet'!$A$140,$CQ$205^A68,IF(A68='Données projet'!$A$140,'Données projet'!$B$140,CT67+CS68-DB67)))</f>
        <v>369.99999999999994</v>
      </c>
      <c r="CU68" s="18">
        <f>CT68*VLOOKUP('Données projet'!$B$13,Paramètres!$A$1:$I$89,3,0)*VLOOKUP('Données projet'!$B$13,Paramètres!$A$1:$I$89,5,0)</f>
        <v>202.01999999999998</v>
      </c>
      <c r="CV68" s="14">
        <f t="shared" si="41"/>
        <v>50.187842607873506</v>
      </c>
      <c r="CW68" s="22">
        <f t="shared" ref="CW68:CW131" si="67">(CU68+CV68)*0.475*44/12</f>
        <v>439.2619925420463</v>
      </c>
      <c r="CX68" s="62">
        <f t="shared" ref="CX68:CX131" si="68">CW68+(CO68+CP68)*44/12</f>
        <v>732.59532587537956</v>
      </c>
      <c r="CY68" s="62">
        <f ca="1">AVERAGE(OFFSET($CX$3,0,0,'Données projet'!$E$13+1,1))-AVERAGE(OFFSET($H$3,0,0,'Données projet'!$E$13+1,1))</f>
        <v>303.14853302260451</v>
      </c>
      <c r="CZ68" s="62">
        <f t="shared" si="42"/>
        <v>298.74602928001929</v>
      </c>
      <c r="DA68" s="16">
        <f>IF(ISNA(VLOOKUP(A68,'Données projet'!$A$139:$I$159,3,0)),0,VLOOKUP(A68,'Données projet'!$A$139:$I$159,3,0))</f>
        <v>12</v>
      </c>
      <c r="DB68" s="16">
        <f>IF(ISNA(VLOOKUP(A68,'Données projet'!$A$139:$I$159,4,0)),0,VLOOKUP(A68,'Données projet'!$A$139:$I$159,4,0))</f>
        <v>26</v>
      </c>
      <c r="DC68" s="17">
        <f>IF(ISNA(VLOOKUP(A68,'Données projet'!$A$139:$I$159,5,0)),0%,VLOOKUP(A68,'Données projet'!$A$139:$I$159,5,0)*VLOOKUP('Données projet'!$B$13,Paramètres!$A$1:$I$89,7,0))</f>
        <v>0.42</v>
      </c>
      <c r="DD68" s="17">
        <f>IF(ISNA(VLOOKUP(A68,'Données projet'!$A$139:$I$159,6,0)),0%,VLOOKUP(A68,'Données projet'!$A$139:$I$159,6,0)*VLOOKUP('Données projet'!$B$13,Paramètres!$A$1:$I$89,7,0))</f>
        <v>0.10080000000000001</v>
      </c>
      <c r="DE68" s="17">
        <f>IF(ISNA(VLOOKUP(A68,'Données projet'!$A$139:$I$159,7,0)),0%,VLOOKUP(A68,'Données projet'!$A$139:$I$159,7,0))</f>
        <v>0.13200000000000001</v>
      </c>
      <c r="DF68" s="23">
        <f>EXP(-LN(2)/35)*DF67+(1-EXP(-LN(2)/35))/(LN(2)/35)*DB68*DC68*VLOOKUP('Données projet'!$B$13,Paramètres!$A$1:$I$89,3,0)*0.475*44/12</f>
        <v>44.410625890872794</v>
      </c>
      <c r="DG68" s="23">
        <f>EXP(-LN(2)/25)*DG67+(1-EXP(-LN(2)/25))/(LN(2)/25)*Calculateur!DB68*Calculateur!DD68*VLOOKUP('Données projet'!$B$13,Paramètres!$A$1:$I$89,3,0)*0.475*44/12</f>
        <v>26.667202551159662</v>
      </c>
      <c r="DH68" s="23">
        <f>EXP(-LN(2)/2)*DH67+(1-EXP(-LN(2)/2))/(LN(2)/2)*DB68*DE68*VLOOKUP('Données projet'!$B$13,Paramètres!$A$1:$I$89,3,0)*0.475*44/12</f>
        <v>2.7827389836835641</v>
      </c>
      <c r="DI68" s="24">
        <f t="shared" ref="DI68:DI131" si="69">SUM(DF68:DH68)</f>
        <v>73.860567425716013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70">
        <f t="shared" si="56"/>
        <v>256.66666666666669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7.6762499999999996</v>
      </c>
      <c r="N69" s="14">
        <f>IF('Données projet'!$A$36&gt;35,N68+M69-V68,IF(A69&lt;'Données projet'!$A$36,$K$205^A69,IF(A69='Données projet'!$A$36,'Données projet'!$B$36,N68+M69-V68)))</f>
        <v>203.96375000000003</v>
      </c>
      <c r="O69" s="14">
        <f>N69*VLOOKUP('Données projet'!$B$9,Paramètres!$A$1:$I$89,3,0)*VLOOKUP('Données projet'!$B$9,Paramètres!$A$1:$I$89,5,0)</f>
        <v>184.54640100000003</v>
      </c>
      <c r="P69" s="14">
        <f t="shared" ref="P69:P132" si="87">EXP(-1.0587+0.8836*LN(O69)+0.284)</f>
        <v>46.332203524423406</v>
      </c>
      <c r="Q69" s="22">
        <f t="shared" si="54"/>
        <v>402.11356954670413</v>
      </c>
      <c r="R69" s="62">
        <f t="shared" si="55"/>
        <v>695.44690288003744</v>
      </c>
      <c r="S69" s="62">
        <f ca="1">AVERAGE(OFFSET($R$3,0,0,'Données projet'!$E$9+1,1))-AVERAGE(OFFSET($H$3,0,0,'Données projet'!$E$9+1,1))</f>
        <v>441.6145113257511</v>
      </c>
      <c r="T69" s="62">
        <f t="shared" ref="T69:T132" si="88">$T$3</f>
        <v>295.8399381972477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10.732469389451431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10.732469389451431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11.25925925925926</v>
      </c>
      <c r="AI69" s="14">
        <f>IF('Données projet'!$A$62&gt;35,AI68+AH69-AQ68,IF(A69&lt;'Données projet'!$A$62,$AF$205^A69,IF(A69='Données projet'!$A$62,'Données projet'!$B$62,AI68+AH69-AQ68)))</f>
        <v>434.77777777777783</v>
      </c>
      <c r="AJ69" s="14">
        <f>AI69*VLOOKUP('Données projet'!$B$10,Paramètres!$A$1:$I$89,3,0)*VLOOKUP('Données projet'!$B$10,Paramètres!$A$1:$I$89,5,0)</f>
        <v>373.03933333333339</v>
      </c>
      <c r="AK69" s="14">
        <f t="shared" ref="AK69:AK132" si="89">EXP(-1.0587+0.8836*LN(AJ69)+0.284)</f>
        <v>86.28880462683226</v>
      </c>
      <c r="AL69" s="22">
        <f t="shared" si="58"/>
        <v>799.99650694728837</v>
      </c>
      <c r="AM69" s="62">
        <f t="shared" si="59"/>
        <v>1093.3298402806217</v>
      </c>
      <c r="AN69" s="62">
        <f ca="1">AVERAGE(OFFSET($AM$3,0,0,'Données projet'!$E$10+1,1))-AVERAGE(OFFSET($H$3,0,0,'Données projet'!$E$10+1,1))</f>
        <v>623.31285537237943</v>
      </c>
      <c r="AO69" s="62">
        <f t="shared" ref="AO69:AO132" si="90">$AO$3</f>
        <v>462.33909258902241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95.610654518408893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95.610654518408893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3.8</v>
      </c>
      <c r="BD69" s="13">
        <f>IF('Données projet'!$A$88&gt;35,BD68+BC69-BL68,IF(A69&lt;'Données projet'!$A$88,$BA$205^A69,IF(A69='Données projet'!$A$88,'Données projet'!$B$88,BD68+BC69-BL68)))</f>
        <v>247.79999999999984</v>
      </c>
      <c r="BE69" s="14">
        <f>BD69*VLOOKUP('Données projet'!$B$11,Paramètres!$A$1:$I$89,3,0)*VLOOKUP('Données projet'!$B$11,Paramètres!$A$1:$I$89,5,0)</f>
        <v>197.14967999999988</v>
      </c>
      <c r="BF69" s="14">
        <f t="shared" ref="BF69:BF132" si="91">EXP(-1.0587+0.8836*LN(BE69)+0.284)</f>
        <v>49.11723130862363</v>
      </c>
      <c r="BG69" s="22">
        <f t="shared" si="61"/>
        <v>428.91487052918592</v>
      </c>
      <c r="BH69" s="62">
        <f t="shared" si="62"/>
        <v>722.24820386251918</v>
      </c>
      <c r="BI69" s="62">
        <f ca="1">AVERAGE(OFFSET($BH$3,0,0,'Données projet'!$E$11+1,1))-AVERAGE(OFFSET($H$3,0,0,'Données projet'!$E$11+1,1))</f>
        <v>299.10536994156814</v>
      </c>
      <c r="BJ69" s="62">
        <f t="shared" ref="BJ69:BJ132" si="92">$BJ$3</f>
        <v>292.57799203101769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17.778304131842351</v>
      </c>
      <c r="BQ69" s="23">
        <f>EXP(-LN(2)/25)*BQ68+(1-EXP(-LN(2)/25))/(LN(2)/25)*Calculateur!BL69*Calculateur!BN69*VLOOKUP('Données projet'!$B$11,Paramètres!$A$1:$I$89,3,0)*0.475*44/12</f>
        <v>0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17.778304131842351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5.5566666666666658</v>
      </c>
      <c r="BY69" s="13">
        <f>IF('Données projet'!$A$114&gt;35,BY68+BX69-CG68,IF(A69&lt;'Données projet'!$A$114,$BV$205^A69,IF(A69='Données projet'!$A$114,'Données projet'!$B$114,BY68+BX69-CG68)))</f>
        <v>193.59</v>
      </c>
      <c r="BZ69" s="14">
        <f>BY69*VLOOKUP('Données projet'!$B$12,Paramètres!$A$1:$I$89,3,0)*VLOOKUP('Données projet'!$B$12,Paramètres!$A$1:$I$89,5,0)</f>
        <v>151.00020000000001</v>
      </c>
      <c r="CA69" s="14">
        <f t="shared" ref="CA69:CA132" si="93">EXP(-1.0587+0.8836*LN(BZ69)+0.284)</f>
        <v>38.805796668382804</v>
      </c>
      <c r="CB69" s="22">
        <f t="shared" si="64"/>
        <v>330.57877753076673</v>
      </c>
      <c r="CC69" s="62">
        <f t="shared" si="65"/>
        <v>623.91211086409999</v>
      </c>
      <c r="CD69" s="62">
        <f ca="1">AVERAGE(OFFSET($CC$3,0,0,'Données projet'!$E$12+1,1))-AVERAGE(OFFSET($H$3,0,0,'Données projet'!$E$12+1,1))</f>
        <v>197.51529454208725</v>
      </c>
      <c r="CE69" s="62">
        <f t="shared" ref="CE69:CE132" si="94">$CE$3</f>
        <v>196.65362486387215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18.64743244306506</v>
      </c>
      <c r="CL69" s="23">
        <f>EXP(-LN(2)/25)*CL68+(1-EXP(-LN(2)/25))/(LN(2)/25)*Calculateur!CG69*Calculateur!CI69*VLOOKUP('Données projet'!$B$12,Paramètres!$A$1:$I$89,3,0)*0.475*44/12</f>
        <v>0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18.64743244306506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8.1999999999999993</v>
      </c>
      <c r="CT69" s="13">
        <f>IF('Données projet'!$A$140&gt;35,CT68+CS69-DB68,IF(A69&lt;'Données projet'!$A$140,$CQ$205^A69,IF(A69='Données projet'!$A$140,'Données projet'!$B$140,CT68+CS69-DB68)))</f>
        <v>352.19999999999993</v>
      </c>
      <c r="CU69" s="18">
        <f>CT69*VLOOKUP('Données projet'!$B$13,Paramètres!$A$1:$I$89,3,0)*VLOOKUP('Données projet'!$B$13,Paramètres!$A$1:$I$89,5,0)</f>
        <v>192.30119999999997</v>
      </c>
      <c r="CV69" s="14">
        <f t="shared" ref="CV69:CV132" si="95">EXP(-1.0587+0.8836*LN(CU69)+0.284)</f>
        <v>48.04835848069456</v>
      </c>
      <c r="CW69" s="22">
        <f t="shared" si="67"/>
        <v>418.6088143538762</v>
      </c>
      <c r="CX69" s="62">
        <f t="shared" si="68"/>
        <v>711.94214768720951</v>
      </c>
      <c r="CY69" s="62">
        <f ca="1">AVERAGE(OFFSET($CX$3,0,0,'Données projet'!$E$13+1,1))-AVERAGE(OFFSET($H$3,0,0,'Données projet'!$E$13+1,1))</f>
        <v>303.14853302260451</v>
      </c>
      <c r="CZ69" s="62">
        <f t="shared" ref="CZ69:CZ132" si="96">$CZ$3</f>
        <v>298.74602928001929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43.539760604959874</v>
      </c>
      <c r="DG69" s="23">
        <f>EXP(-LN(2)/25)*DG68+(1-EXP(-LN(2)/25))/(LN(2)/25)*Calculateur!DB69*Calculateur!DD69*VLOOKUP('Données projet'!$B$13,Paramètres!$A$1:$I$89,3,0)*0.475*44/12</f>
        <v>25.937986495030966</v>
      </c>
      <c r="DH69" s="23">
        <f>EXP(-LN(2)/2)*DH68+(1-EXP(-LN(2)/2))/(LN(2)/2)*DB69*DE69*VLOOKUP('Données projet'!$B$13,Paramètres!$A$1:$I$89,3,0)*0.475*44/12</f>
        <v>1.9676936056348098</v>
      </c>
      <c r="DI69" s="24">
        <f t="shared" si="69"/>
        <v>71.445440705625643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70">
        <f t="shared" si="56"/>
        <v>256.66666666666669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>
        <f>VLOOKUP(A70,'Données projet'!$A$35:$I$55,2,0)</f>
        <v>211.64</v>
      </c>
      <c r="L70" s="13">
        <f>VLOOKUP(A70,'Données projet'!$A$35:$I$55,9,0)</f>
        <v>7.6762499999999996</v>
      </c>
      <c r="M70" s="13">
        <f t="array" ref="M70">INDEX(L:L,MIN(IF(ISNUMBER(L70:L266),ROW(L70:L266),"")))</f>
        <v>7.6762499999999996</v>
      </c>
      <c r="N70" s="14">
        <f>IF('Données projet'!$A$36&gt;35,N69+M70-V69,IF(A70&lt;'Données projet'!$A$36,$K$205^A70,IF(A70='Données projet'!$A$36,'Données projet'!$B$36,N69+M70-V69)))</f>
        <v>211.64000000000004</v>
      </c>
      <c r="O70" s="14">
        <f>N70*VLOOKUP('Données projet'!$B$9,Paramètres!$A$1:$I$89,3,0)*VLOOKUP('Données projet'!$B$9,Paramètres!$A$1:$I$89,5,0)</f>
        <v>191.49187200000003</v>
      </c>
      <c r="P70" s="14">
        <f t="shared" si="87"/>
        <v>47.86963427931142</v>
      </c>
      <c r="Q70" s="22">
        <f t="shared" si="54"/>
        <v>416.88795676980072</v>
      </c>
      <c r="R70" s="62">
        <f t="shared" si="55"/>
        <v>710.22129010313404</v>
      </c>
      <c r="S70" s="62">
        <f ca="1">AVERAGE(OFFSET($R$3,0,0,'Données projet'!$E$9+1,1))-AVERAGE(OFFSET($H$3,0,0,'Données projet'!$E$9+1,1))</f>
        <v>441.6145113257511</v>
      </c>
      <c r="T70" s="62">
        <f t="shared" si="88"/>
        <v>295.8399381972477</v>
      </c>
      <c r="U70" s="16">
        <f>IF(ISNA(VLOOKUP(A70,'Données projet'!$A$35:$I$55,3,0)),0,VLOOKUP(A70,'Données projet'!$A$35:$I$55,3,0))</f>
        <v>4</v>
      </c>
      <c r="V70" s="16">
        <f>IF(ISNA(VLOOKUP(A70,'Données projet'!$A$35:$I$55,4,0)),0,VLOOKUP(A70,'Données projet'!$A$35:$I$55,4,0))</f>
        <v>40.630000000000003</v>
      </c>
      <c r="W70" s="17">
        <f>IF(ISNA(VLOOKUP(A70,'Données projet'!$A$35:$I$55,5,0)),0%,VLOOKUP(A70,'Données projet'!$A$35:$I$55,5,0)*VLOOKUP('Données projet'!$B$9,Paramètres!$A$1:$I$89,7,0))</f>
        <v>0.129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15.764485603338882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15.764485603338882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11.25925925925926</v>
      </c>
      <c r="AI70" s="14">
        <f>IF('Données projet'!$A$62&gt;35,AI69+AH70-AQ69,IF(A70&lt;'Données projet'!$A$62,$AF$205^A70,IF(A70='Données projet'!$A$62,'Données projet'!$B$62,AI69+AH70-AQ69)))</f>
        <v>446.03703703703707</v>
      </c>
      <c r="AJ70" s="14">
        <f>AI70*VLOOKUP('Données projet'!$B$10,Paramètres!$A$1:$I$89,3,0)*VLOOKUP('Données projet'!$B$10,Paramètres!$A$1:$I$89,5,0)</f>
        <v>382.69977777777785</v>
      </c>
      <c r="AK70" s="14">
        <f t="shared" si="89"/>
        <v>88.260336574104286</v>
      </c>
      <c r="AL70" s="22">
        <f t="shared" si="58"/>
        <v>820.25553249619463</v>
      </c>
      <c r="AM70" s="62">
        <f t="shared" si="59"/>
        <v>1113.588865829528</v>
      </c>
      <c r="AN70" s="62">
        <f ca="1">AVERAGE(OFFSET($AM$3,0,0,'Données projet'!$E$10+1,1))-AVERAGE(OFFSET($H$3,0,0,'Données projet'!$E$10+1,1))</f>
        <v>623.31285537237943</v>
      </c>
      <c r="AO70" s="62">
        <f t="shared" si="90"/>
        <v>462.33909258902241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93.735787900043846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93.735787900043846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3.8</v>
      </c>
      <c r="BD70" s="13">
        <f>IF('Données projet'!$A$88&gt;35,BD69+BC70-BL69,IF(A70&lt;'Données projet'!$A$88,$BA$205^A70,IF(A70='Données projet'!$A$88,'Données projet'!$B$88,BD69+BC70-BL69)))</f>
        <v>251.59999999999985</v>
      </c>
      <c r="BE70" s="14">
        <f>BD70*VLOOKUP('Données projet'!$B$11,Paramètres!$A$1:$I$89,3,0)*VLOOKUP('Données projet'!$B$11,Paramètres!$A$1:$I$89,5,0)</f>
        <v>200.17295999999988</v>
      </c>
      <c r="BF70" s="14">
        <f t="shared" si="91"/>
        <v>49.782177185855986</v>
      </c>
      <c r="BG70" s="22">
        <f t="shared" si="61"/>
        <v>435.33853059869892</v>
      </c>
      <c r="BH70" s="62">
        <f t="shared" si="62"/>
        <v>728.67186393203224</v>
      </c>
      <c r="BI70" s="62">
        <f ca="1">AVERAGE(OFFSET($BH$3,0,0,'Données projet'!$E$11+1,1))-AVERAGE(OFFSET($H$3,0,0,'Données projet'!$E$11+1,1))</f>
        <v>299.10536994156814</v>
      </c>
      <c r="BJ70" s="62">
        <f t="shared" si="92"/>
        <v>292.57799203101769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17.429682431511715</v>
      </c>
      <c r="BQ70" s="23">
        <f>EXP(-LN(2)/25)*BQ69+(1-EXP(-LN(2)/25))/(LN(2)/25)*Calculateur!BL70*Calculateur!BN70*VLOOKUP('Données projet'!$B$11,Paramètres!$A$1:$I$89,3,0)*0.475*44/12</f>
        <v>0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17.429682431511715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5.5566666666666658</v>
      </c>
      <c r="BY70" s="13">
        <f>IF('Données projet'!$A$114&gt;35,BY69+BX70-CG69,IF(A70&lt;'Données projet'!$A$114,$BV$205^A70,IF(A70='Données projet'!$A$114,'Données projet'!$B$114,BY69+BX70-CG69)))</f>
        <v>199.14666666666668</v>
      </c>
      <c r="BZ70" s="14">
        <f>BY70*VLOOKUP('Données projet'!$B$12,Paramètres!$A$1:$I$89,3,0)*VLOOKUP('Données projet'!$B$12,Paramètres!$A$1:$I$89,5,0)</f>
        <v>155.33440000000002</v>
      </c>
      <c r="CA70" s="14">
        <f t="shared" si="93"/>
        <v>39.788370681645802</v>
      </c>
      <c r="CB70" s="22">
        <f t="shared" si="64"/>
        <v>339.83882560386644</v>
      </c>
      <c r="CC70" s="62">
        <f t="shared" si="65"/>
        <v>633.17215893719981</v>
      </c>
      <c r="CD70" s="62">
        <f ca="1">AVERAGE(OFFSET($CC$3,0,0,'Données projet'!$E$12+1,1))-AVERAGE(OFFSET($H$3,0,0,'Données projet'!$E$12+1,1))</f>
        <v>197.51529454208725</v>
      </c>
      <c r="CE70" s="62">
        <f t="shared" si="94"/>
        <v>196.65362486387215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18.281767666667275</v>
      </c>
      <c r="CL70" s="23">
        <f>EXP(-LN(2)/25)*CL69+(1-EXP(-LN(2)/25))/(LN(2)/25)*Calculateur!CG70*Calculateur!CI70*VLOOKUP('Données projet'!$B$12,Paramètres!$A$1:$I$89,3,0)*0.475*44/12</f>
        <v>0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18.281767666667275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8.1999999999999993</v>
      </c>
      <c r="CT70" s="13">
        <f>IF('Données projet'!$A$140&gt;35,CT69+CS70-DB69,IF(A70&lt;'Données projet'!$A$140,$CQ$205^A70,IF(A70='Données projet'!$A$140,'Données projet'!$B$140,CT69+CS70-DB69)))</f>
        <v>360.39999999999992</v>
      </c>
      <c r="CU70" s="18">
        <f>CT70*VLOOKUP('Données projet'!$B$13,Paramètres!$A$1:$I$89,3,0)*VLOOKUP('Données projet'!$B$13,Paramètres!$A$1:$I$89,5,0)</f>
        <v>196.77839999999998</v>
      </c>
      <c r="CV70" s="14">
        <f t="shared" si="95"/>
        <v>49.035489791192632</v>
      </c>
      <c r="CW70" s="22">
        <f t="shared" si="67"/>
        <v>428.12585805299381</v>
      </c>
      <c r="CX70" s="62">
        <f t="shared" si="68"/>
        <v>721.45919138632712</v>
      </c>
      <c r="CY70" s="62">
        <f ca="1">AVERAGE(OFFSET($CX$3,0,0,'Données projet'!$E$13+1,1))-AVERAGE(OFFSET($H$3,0,0,'Données projet'!$E$13+1,1))</f>
        <v>303.14853302260451</v>
      </c>
      <c r="CZ70" s="62">
        <f t="shared" si="96"/>
        <v>298.74602928001929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42.685972456128333</v>
      </c>
      <c r="DG70" s="23">
        <f>EXP(-LN(2)/25)*DG69+(1-EXP(-LN(2)/25))/(LN(2)/25)*Calculateur!DB70*Calculateur!DD70*VLOOKUP('Données projet'!$B$13,Paramètres!$A$1:$I$89,3,0)*0.475*44/12</f>
        <v>25.228710890304917</v>
      </c>
      <c r="DH70" s="23">
        <f>EXP(-LN(2)/2)*DH69+(1-EXP(-LN(2)/2))/(LN(2)/2)*DB70*DE70*VLOOKUP('Données projet'!$B$13,Paramètres!$A$1:$I$89,3,0)*0.475*44/12</f>
        <v>1.3913694918417823</v>
      </c>
      <c r="DI70" s="24">
        <f t="shared" si="69"/>
        <v>69.306052838275036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70">
        <f t="shared" si="56"/>
        <v>256.66666666666669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7.3250000000000028</v>
      </c>
      <c r="N71" s="14">
        <f>IF('Données projet'!$A$36&gt;35,N70+M71-V70,IF(A71&lt;'Données projet'!$A$36,$K$205^A71,IF(A71='Données projet'!$A$36,'Données projet'!$B$36,N70+M71-V70)))</f>
        <v>178.33500000000004</v>
      </c>
      <c r="O71" s="14">
        <f>N71*VLOOKUP('Données projet'!$B$9,Paramètres!$A$1:$I$89,3,0)*VLOOKUP('Données projet'!$B$9,Paramètres!$A$1:$I$89,5,0)</f>
        <v>161.35750800000002</v>
      </c>
      <c r="P71" s="14">
        <f t="shared" si="87"/>
        <v>41.148554406090135</v>
      </c>
      <c r="Q71" s="22">
        <f t="shared" si="54"/>
        <v>352.69805869060701</v>
      </c>
      <c r="R71" s="62">
        <f t="shared" si="55"/>
        <v>646.03139202394027</v>
      </c>
      <c r="S71" s="62">
        <f ca="1">AVERAGE(OFFSET($R$3,0,0,'Données projet'!$E$9+1,1))-AVERAGE(OFFSET($H$3,0,0,'Données projet'!$E$9+1,1))</f>
        <v>441.6145113257511</v>
      </c>
      <c r="T71" s="62">
        <f t="shared" si="88"/>
        <v>295.8399381972477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15.455353656044183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15.455353656044183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11.25925925925926</v>
      </c>
      <c r="AI71" s="14">
        <f>IF('Données projet'!$A$62&gt;35,AI70+AH71-AQ70,IF(A71&lt;'Données projet'!$A$62,$AF$205^A71,IF(A71='Données projet'!$A$62,'Données projet'!$B$62,AI70+AH71-AQ70)))</f>
        <v>457.2962962962963</v>
      </c>
      <c r="AJ71" s="14">
        <f>AI71*VLOOKUP('Données projet'!$B$10,Paramètres!$A$1:$I$89,3,0)*VLOOKUP('Données projet'!$B$10,Paramètres!$A$1:$I$89,5,0)</f>
        <v>392.36022222222232</v>
      </c>
      <c r="AK71" s="14">
        <f t="shared" si="89"/>
        <v>90.226083478788951</v>
      </c>
      <c r="AL71" s="22">
        <f t="shared" si="58"/>
        <v>840.5044824292612</v>
      </c>
      <c r="AM71" s="62">
        <f t="shared" si="59"/>
        <v>1133.8378157625946</v>
      </c>
      <c r="AN71" s="62">
        <f ca="1">AVERAGE(OFFSET($AM$3,0,0,'Données projet'!$E$10+1,1))-AVERAGE(OFFSET($H$3,0,0,'Données projet'!$E$10+1,1))</f>
        <v>623.31285537237943</v>
      </c>
      <c r="AO71" s="62">
        <f t="shared" si="90"/>
        <v>462.33909258902241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91.897686272509219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91.897686272509219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3.8</v>
      </c>
      <c r="BD71" s="13">
        <f>IF('Données projet'!$A$88&gt;35,BD70+BC71-BL70,IF(A71&lt;'Données projet'!$A$88,$BA$205^A71,IF(A71='Données projet'!$A$88,'Données projet'!$B$88,BD70+BC71-BL70)))</f>
        <v>255.39999999999986</v>
      </c>
      <c r="BE71" s="14">
        <f>BD71*VLOOKUP('Données projet'!$B$11,Paramètres!$A$1:$I$89,3,0)*VLOOKUP('Données projet'!$B$11,Paramètres!$A$1:$I$89,5,0)</f>
        <v>203.1962399999999</v>
      </c>
      <c r="BF71" s="14">
        <f t="shared" si="91"/>
        <v>50.445955049216174</v>
      </c>
      <c r="BG71" s="22">
        <f t="shared" si="61"/>
        <v>441.76015637738465</v>
      </c>
      <c r="BH71" s="62">
        <f t="shared" si="62"/>
        <v>735.0934897107179</v>
      </c>
      <c r="BI71" s="62">
        <f ca="1">AVERAGE(OFFSET($BH$3,0,0,'Données projet'!$E$11+1,1))-AVERAGE(OFFSET($H$3,0,0,'Données projet'!$E$11+1,1))</f>
        <v>299.10536994156814</v>
      </c>
      <c r="BJ71" s="62">
        <f t="shared" si="92"/>
        <v>292.57799203101769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17.087896990086325</v>
      </c>
      <c r="BQ71" s="23">
        <f>EXP(-LN(2)/25)*BQ70+(1-EXP(-LN(2)/25))/(LN(2)/25)*Calculateur!BL71*Calculateur!BN71*VLOOKUP('Données projet'!$B$11,Paramètres!$A$1:$I$89,3,0)*0.475*44/12</f>
        <v>0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17.087896990086325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5.5566666666666658</v>
      </c>
      <c r="BY71" s="13">
        <f>IF('Données projet'!$A$114&gt;35,BY70+BX71-CG70,IF(A71&lt;'Données projet'!$A$114,$BV$205^A71,IF(A71='Données projet'!$A$114,'Données projet'!$B$114,BY70+BX71-CG70)))</f>
        <v>204.70333333333335</v>
      </c>
      <c r="BZ71" s="14">
        <f>BY71*VLOOKUP('Données projet'!$B$12,Paramètres!$A$1:$I$89,3,0)*VLOOKUP('Données projet'!$B$12,Paramètres!$A$1:$I$89,5,0)</f>
        <v>159.66860000000003</v>
      </c>
      <c r="CA71" s="14">
        <f t="shared" si="93"/>
        <v>40.767758194043076</v>
      </c>
      <c r="CB71" s="22">
        <f t="shared" si="64"/>
        <v>349.09332385462511</v>
      </c>
      <c r="CC71" s="62">
        <f t="shared" si="65"/>
        <v>642.42665718795843</v>
      </c>
      <c r="CD71" s="62">
        <f ca="1">AVERAGE(OFFSET($CC$3,0,0,'Données projet'!$E$12+1,1))-AVERAGE(OFFSET($H$3,0,0,'Données projet'!$E$12+1,1))</f>
        <v>197.51529454208725</v>
      </c>
      <c r="CE71" s="62">
        <f t="shared" si="94"/>
        <v>196.65362486387215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17.923273353501159</v>
      </c>
      <c r="CL71" s="23">
        <f>EXP(-LN(2)/25)*CL70+(1-EXP(-LN(2)/25))/(LN(2)/25)*Calculateur!CG71*Calculateur!CI71*VLOOKUP('Données projet'!$B$12,Paramètres!$A$1:$I$89,3,0)*0.475*44/12</f>
        <v>0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17.923273353501159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8.1999999999999993</v>
      </c>
      <c r="CT71" s="13">
        <f>IF('Données projet'!$A$140&gt;35,CT70+CS71-DB70,IF(A71&lt;'Données projet'!$A$140,$CQ$205^A71,IF(A71='Données projet'!$A$140,'Données projet'!$B$140,CT70+CS71-DB70)))</f>
        <v>368.59999999999991</v>
      </c>
      <c r="CU71" s="18">
        <f>CT71*VLOOKUP('Données projet'!$B$13,Paramètres!$A$1:$I$89,3,0)*VLOOKUP('Données projet'!$B$13,Paramètres!$A$1:$I$89,5,0)</f>
        <v>201.25559999999996</v>
      </c>
      <c r="CV71" s="14">
        <f t="shared" si="95"/>
        <v>50.020010013024304</v>
      </c>
      <c r="CW71" s="22">
        <f t="shared" si="67"/>
        <v>437.63835410601723</v>
      </c>
      <c r="CX71" s="62">
        <f t="shared" si="68"/>
        <v>730.97168743935049</v>
      </c>
      <c r="CY71" s="62">
        <f ca="1">AVERAGE(OFFSET($CX$3,0,0,'Données projet'!$E$13+1,1))-AVERAGE(OFFSET($H$3,0,0,'Données projet'!$E$13+1,1))</f>
        <v>303.14853302260451</v>
      </c>
      <c r="CZ71" s="62">
        <f t="shared" si="96"/>
        <v>298.74602928001929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41.848926572136023</v>
      </c>
      <c r="DG71" s="23">
        <f>EXP(-LN(2)/25)*DG70+(1-EXP(-LN(2)/25))/(LN(2)/25)*Calculateur!DB71*Calculateur!DD71*VLOOKUP('Données projet'!$B$13,Paramètres!$A$1:$I$89,3,0)*0.475*44/12</f>
        <v>24.538830464289283</v>
      </c>
      <c r="DH71" s="23">
        <f>EXP(-LN(2)/2)*DH70+(1-EXP(-LN(2)/2))/(LN(2)/2)*DB71*DE71*VLOOKUP('Données projet'!$B$13,Paramètres!$A$1:$I$89,3,0)*0.475*44/12</f>
        <v>0.983846802817405</v>
      </c>
      <c r="DI71" s="24">
        <f t="shared" si="69"/>
        <v>67.371603839242724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70">
        <f t="shared" si="56"/>
        <v>256.66666666666669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7.3250000000000028</v>
      </c>
      <c r="N72" s="14">
        <f>IF('Données projet'!$A$36&gt;35,N71+M72-V71,IF(A72&lt;'Données projet'!$A$36,$K$205^A72,IF(A72='Données projet'!$A$36,'Données projet'!$B$36,N71+M72-V71)))</f>
        <v>185.66000000000003</v>
      </c>
      <c r="O72" s="14">
        <f>N72*VLOOKUP('Données projet'!$B$9,Paramètres!$A$1:$I$89,3,0)*VLOOKUP('Données projet'!$B$9,Paramètres!$A$1:$I$89,5,0)</f>
        <v>167.98516800000002</v>
      </c>
      <c r="P72" s="14">
        <f t="shared" si="87"/>
        <v>42.638455591914493</v>
      </c>
      <c r="Q72" s="22">
        <f t="shared" si="54"/>
        <v>366.83614442258437</v>
      </c>
      <c r="R72" s="62">
        <f t="shared" si="55"/>
        <v>660.16947775591768</v>
      </c>
      <c r="S72" s="62">
        <f ca="1">AVERAGE(OFFSET($R$3,0,0,'Données projet'!$E$9+1,1))-AVERAGE(OFFSET($H$3,0,0,'Données projet'!$E$9+1,1))</f>
        <v>441.6145113257511</v>
      </c>
      <c r="T72" s="62">
        <f t="shared" si="88"/>
        <v>295.8399381972477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15.152283597684065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15.152283597684065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11.25925925925926</v>
      </c>
      <c r="AI72" s="14">
        <f>IF('Données projet'!$A$62&gt;35,AI71+AH72-AQ71,IF(A72&lt;'Données projet'!$A$62,$AF$205^A72,IF(A72='Données projet'!$A$62,'Données projet'!$B$62,AI71+AH72-AQ71)))</f>
        <v>468.55555555555554</v>
      </c>
      <c r="AJ72" s="14">
        <f>AI72*VLOOKUP('Données projet'!$B$10,Paramètres!$A$1:$I$89,3,0)*VLOOKUP('Données projet'!$B$10,Paramètres!$A$1:$I$89,5,0)</f>
        <v>402.02066666666673</v>
      </c>
      <c r="AK72" s="14">
        <f t="shared" si="89"/>
        <v>92.186204160854714</v>
      </c>
      <c r="AL72" s="22">
        <f t="shared" si="58"/>
        <v>860.74363335793316</v>
      </c>
      <c r="AM72" s="62">
        <f t="shared" si="59"/>
        <v>1154.0769666912665</v>
      </c>
      <c r="AN72" s="62">
        <f ca="1">AVERAGE(OFFSET($AM$3,0,0,'Données projet'!$E$10+1,1))-AVERAGE(OFFSET($H$3,0,0,'Données projet'!$E$10+1,1))</f>
        <v>623.31285537237943</v>
      </c>
      <c r="AO72" s="62">
        <f t="shared" si="90"/>
        <v>462.33909258902241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90.095628696759263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90.095628696759263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3.8</v>
      </c>
      <c r="BD72" s="13">
        <f>IF('Données projet'!$A$88&gt;35,BD71+BC72-BL71,IF(A72&lt;'Données projet'!$A$88,$BA$205^A72,IF(A72='Données projet'!$A$88,'Données projet'!$B$88,BD71+BC72-BL71)))</f>
        <v>259.19999999999987</v>
      </c>
      <c r="BE72" s="14">
        <f>BD72*VLOOKUP('Données projet'!$B$11,Paramètres!$A$1:$I$89,3,0)*VLOOKUP('Données projet'!$B$11,Paramètres!$A$1:$I$89,5,0)</f>
        <v>206.21951999999993</v>
      </c>
      <c r="BF72" s="14">
        <f t="shared" si="91"/>
        <v>51.10858428464028</v>
      </c>
      <c r="BG72" s="22">
        <f t="shared" si="61"/>
        <v>448.17978162908167</v>
      </c>
      <c r="BH72" s="62">
        <f t="shared" si="62"/>
        <v>741.51311496241499</v>
      </c>
      <c r="BI72" s="62">
        <f ca="1">AVERAGE(OFFSET($BH$3,0,0,'Données projet'!$E$11+1,1))-AVERAGE(OFFSET($H$3,0,0,'Données projet'!$E$11+1,1))</f>
        <v>299.10536994156814</v>
      </c>
      <c r="BJ72" s="62">
        <f t="shared" si="92"/>
        <v>292.57799203101769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16.752813752698749</v>
      </c>
      <c r="BQ72" s="23">
        <f>EXP(-LN(2)/25)*BQ71+(1-EXP(-LN(2)/25))/(LN(2)/25)*Calculateur!BL72*Calculateur!BN72*VLOOKUP('Données projet'!$B$11,Paramètres!$A$1:$I$89,3,0)*0.475*44/12</f>
        <v>0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16.752813752698749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>
        <f>VLOOKUP(A72,'Données projet'!$A$113:$I$133,2,0)</f>
        <v>210.26</v>
      </c>
      <c r="BW72" s="13">
        <f>VLOOKUP(A72,'Données projet'!$A$113:$I$133,9,0)</f>
        <v>5.5566666666666658</v>
      </c>
      <c r="BX72" s="13">
        <f t="array" ref="BX72">INDEX(BW:BW,MIN(IF(ISNUMBER(BW72:BW268),ROW(BW72:BW268),"")))</f>
        <v>5.5566666666666658</v>
      </c>
      <c r="BY72" s="13">
        <f>IF('Données projet'!$A$114&gt;35,BY71+BX72-CG71,IF(A72&lt;'Données projet'!$A$114,$BV$205^A72,IF(A72='Données projet'!$A$114,'Données projet'!$B$114,BY71+BX72-CG71)))</f>
        <v>210.26000000000002</v>
      </c>
      <c r="BZ72" s="14">
        <f>BY72*VLOOKUP('Données projet'!$B$12,Paramètres!$A$1:$I$89,3,0)*VLOOKUP('Données projet'!$B$12,Paramètres!$A$1:$I$89,5,0)</f>
        <v>164.00280000000001</v>
      </c>
      <c r="CA72" s="14">
        <f t="shared" si="93"/>
        <v>41.744055642951004</v>
      </c>
      <c r="CB72" s="22">
        <f t="shared" si="64"/>
        <v>358.34244024480631</v>
      </c>
      <c r="CC72" s="62">
        <f t="shared" si="65"/>
        <v>651.67577357813957</v>
      </c>
      <c r="CD72" s="62">
        <f ca="1">AVERAGE(OFFSET($CC$3,0,0,'Données projet'!$E$12+1,1))-AVERAGE(OFFSET($H$3,0,0,'Données projet'!$E$12+1,1))</f>
        <v>197.51529454208725</v>
      </c>
      <c r="CE72" s="62">
        <f t="shared" si="94"/>
        <v>196.65362486387215</v>
      </c>
      <c r="CF72" s="16">
        <f>IF(ISNA(VLOOKUP(A72,'Données projet'!$A$113:$I$133,3,0)),0,VLOOKUP(A72,'Données projet'!$A$113:$I$133,3,0))</f>
        <v>9</v>
      </c>
      <c r="CG72" s="16">
        <f>IF(ISNA(VLOOKUP(A72,'Données projet'!$A$113:$I$133,4,0)),0,VLOOKUP(A72,'Données projet'!$A$113:$I$133,4,0))</f>
        <v>210.26</v>
      </c>
      <c r="CH72" s="17">
        <f>IF(ISNA(VLOOKUP(A72,'Données projet'!$A$113:$I$133,5,0)),0%,VLOOKUP(A72,'Données projet'!$A$113:$I$133,5,0)*VLOOKUP('Données projet'!$B$12,Paramètres!$A$1:$I$89,7,0))</f>
        <v>0.34400000000000003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79.939090615956786</v>
      </c>
      <c r="CL72" s="23">
        <f>EXP(-LN(2)/25)*CL71+(1-EXP(-LN(2)/25))/(LN(2)/25)*Calculateur!CG72*Calculateur!CI72*VLOOKUP('Données projet'!$B$12,Paramètres!$A$1:$I$89,3,0)*0.475*44/12</f>
        <v>0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79.939090615956786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8.1999999999999993</v>
      </c>
      <c r="CT72" s="13">
        <f>IF('Données projet'!$A$140&gt;35,CT71+CS72-DB71,IF(A72&lt;'Données projet'!$A$140,$CQ$205^A72,IF(A72='Données projet'!$A$140,'Données projet'!$B$140,CT71+CS72-DB71)))</f>
        <v>376.7999999999999</v>
      </c>
      <c r="CU72" s="18">
        <f>CT72*VLOOKUP('Données projet'!$B$13,Paramètres!$A$1:$I$89,3,0)*VLOOKUP('Données projet'!$B$13,Paramètres!$A$1:$I$89,5,0)</f>
        <v>205.73279999999994</v>
      </c>
      <c r="CV72" s="14">
        <f t="shared" si="95"/>
        <v>51.00198392159993</v>
      </c>
      <c r="CW72" s="22">
        <f t="shared" si="67"/>
        <v>447.14641533011968</v>
      </c>
      <c r="CX72" s="62">
        <f t="shared" si="68"/>
        <v>740.47974866345294</v>
      </c>
      <c r="CY72" s="62">
        <f ca="1">AVERAGE(OFFSET($CX$3,0,0,'Données projet'!$E$13+1,1))-AVERAGE(OFFSET($H$3,0,0,'Données projet'!$E$13+1,1))</f>
        <v>303.14853302260451</v>
      </c>
      <c r="CZ72" s="62">
        <f t="shared" si="96"/>
        <v>298.74602928001929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41.02829464738123</v>
      </c>
      <c r="DG72" s="23">
        <f>EXP(-LN(2)/25)*DG71+(1-EXP(-LN(2)/25))/(LN(2)/25)*Calculateur!DB72*Calculateur!DD72*VLOOKUP('Données projet'!$B$13,Paramètres!$A$1:$I$89,3,0)*0.475*44/12</f>
        <v>23.867814854802283</v>
      </c>
      <c r="DH72" s="23">
        <f>EXP(-LN(2)/2)*DH71+(1-EXP(-LN(2)/2))/(LN(2)/2)*DB72*DE72*VLOOKUP('Données projet'!$B$13,Paramètres!$A$1:$I$89,3,0)*0.475*44/12</f>
        <v>0.69568474592089125</v>
      </c>
      <c r="DI72" s="24">
        <f t="shared" si="69"/>
        <v>65.591794248104407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70">
        <f t="shared" si="56"/>
        <v>256.66666666666669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7.3250000000000028</v>
      </c>
      <c r="N73" s="14">
        <f>IF('Données projet'!$A$36&gt;35,N72+M73-V72,IF(A73&lt;'Données projet'!$A$36,$K$205^A73,IF(A73='Données projet'!$A$36,'Données projet'!$B$36,N72+M73-V72)))</f>
        <v>192.98500000000001</v>
      </c>
      <c r="O73" s="14">
        <f>N73*VLOOKUP('Données projet'!$B$9,Paramètres!$A$1:$I$89,3,0)*VLOOKUP('Données projet'!$B$9,Paramètres!$A$1:$I$89,5,0)</f>
        <v>174.61282800000001</v>
      </c>
      <c r="P73" s="14">
        <f t="shared" si="87"/>
        <v>44.121528331511364</v>
      </c>
      <c r="Q73" s="22">
        <f t="shared" si="54"/>
        <v>380.96233727738235</v>
      </c>
      <c r="R73" s="62">
        <f t="shared" si="55"/>
        <v>674.29567061071566</v>
      </c>
      <c r="S73" s="62">
        <f ca="1">AVERAGE(OFFSET($R$3,0,0,'Données projet'!$E$9+1,1))-AVERAGE(OFFSET($H$3,0,0,'Données projet'!$E$9+1,1))</f>
        <v>441.6145113257511</v>
      </c>
      <c r="T73" s="62">
        <f t="shared" si="88"/>
        <v>295.8399381972477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14.855156558313904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14.855156558313904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11.25925925925926</v>
      </c>
      <c r="AI73" s="14">
        <f>IF('Données projet'!$A$62&gt;35,AI72+AH73-AQ72,IF(A73&lt;'Données projet'!$A$62,$AF$205^A73,IF(A73='Données projet'!$A$62,'Données projet'!$B$62,AI72+AH73-AQ72)))</f>
        <v>479.81481481481478</v>
      </c>
      <c r="AJ73" s="14">
        <f>AI73*VLOOKUP('Données projet'!$B$10,Paramètres!$A$1:$I$89,3,0)*VLOOKUP('Données projet'!$B$10,Paramètres!$A$1:$I$89,5,0)</f>
        <v>411.68111111111114</v>
      </c>
      <c r="AK73" s="14">
        <f t="shared" si="89"/>
        <v>94.14084937218901</v>
      </c>
      <c r="AL73" s="22">
        <f t="shared" si="58"/>
        <v>880.97324784174771</v>
      </c>
      <c r="AM73" s="62">
        <f t="shared" si="59"/>
        <v>1174.306581175081</v>
      </c>
      <c r="AN73" s="62">
        <f ca="1">AVERAGE(OFFSET($AM$3,0,0,'Données projet'!$E$10+1,1))-AVERAGE(OFFSET($H$3,0,0,'Données projet'!$E$10+1,1))</f>
        <v>623.31285537237943</v>
      </c>
      <c r="AO73" s="62">
        <f t="shared" si="90"/>
        <v>462.33909258902241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88.328908370923173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88.328908370923173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263</v>
      </c>
      <c r="BB73" s="13">
        <f>VLOOKUP(A73,'Données projet'!$A$87:$I$107,9,0)</f>
        <v>3.8</v>
      </c>
      <c r="BC73" s="13">
        <f t="array" ref="BC73">INDEX(BB:BB,MIN(IF(ISNUMBER(BB73:BB269),ROW(BB73:BB269),"")))</f>
        <v>3.8</v>
      </c>
      <c r="BD73" s="13">
        <f>IF('Données projet'!$A$88&gt;35,BD72+BC73-BL72,IF(A73&lt;'Données projet'!$A$88,$BA$205^A73,IF(A73='Données projet'!$A$88,'Données projet'!$B$88,BD72+BC73-BL72)))</f>
        <v>262.99999999999989</v>
      </c>
      <c r="BE73" s="14">
        <f>BD73*VLOOKUP('Données projet'!$B$11,Paramètres!$A$1:$I$89,3,0)*VLOOKUP('Données projet'!$B$11,Paramètres!$A$1:$I$89,5,0)</f>
        <v>209.2427999999999</v>
      </c>
      <c r="BF73" s="14">
        <f t="shared" si="91"/>
        <v>51.770083677016814</v>
      </c>
      <c r="BG73" s="22">
        <f t="shared" si="61"/>
        <v>454.59743907080406</v>
      </c>
      <c r="BH73" s="62">
        <f t="shared" si="62"/>
        <v>747.93077240413731</v>
      </c>
      <c r="BI73" s="62">
        <f ca="1">AVERAGE(OFFSET($BH$3,0,0,'Données projet'!$E$11+1,1))-AVERAGE(OFFSET($H$3,0,0,'Données projet'!$E$11+1,1))</f>
        <v>299.10536994156814</v>
      </c>
      <c r="BJ73" s="62">
        <f t="shared" si="92"/>
        <v>292.57799203101769</v>
      </c>
      <c r="BK73" s="16">
        <f>IF(ISNA(VLOOKUP(A73,'Données projet'!$A$87:$I$107,3,0)),0,VLOOKUP(A73,'Données projet'!$A$87:$I$107,3,0))</f>
        <v>12</v>
      </c>
      <c r="BL73" s="16">
        <f>IF(ISNA(VLOOKUP(A73,'Données projet'!$A$87:$I$107,4,0)),0,VLOOKUP(A73,'Données projet'!$A$87:$I$107,4,0))</f>
        <v>10</v>
      </c>
      <c r="BM73" s="17">
        <f>IF(ISNA(VLOOKUP(A73,'Données projet'!$A$87:$I$107,5,0)),0%,VLOOKUP(A73,'Données projet'!$A$87:$I$107,5,0)*VLOOKUP('Données projet'!$B$11,Paramètres!$A$1:$I$89,7,0))</f>
        <v>0.371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19.687291681194051</v>
      </c>
      <c r="BQ73" s="23">
        <f>EXP(-LN(2)/25)*BQ72+(1-EXP(-LN(2)/25))/(LN(2)/25)*Calculateur!BL73*Calculateur!BN73*VLOOKUP('Données projet'!$B$11,Paramètres!$A$1:$I$89,3,0)*0.475*44/12</f>
        <v>0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19.687291681194051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2.8421709430404007E-14</v>
      </c>
      <c r="BZ73" s="14">
        <f>BY73*VLOOKUP('Données projet'!$B$12,Paramètres!$A$1:$I$89,3,0)*VLOOKUP('Données projet'!$B$12,Paramètres!$A$1:$I$89,5,0)</f>
        <v>2.2168933355715127E-14</v>
      </c>
      <c r="CA73" s="14">
        <f t="shared" si="93"/>
        <v>3.9687356123668477E-13</v>
      </c>
      <c r="CB73" s="22">
        <f t="shared" si="64"/>
        <v>7.2983234474842979E-13</v>
      </c>
      <c r="CC73" s="62">
        <f t="shared" si="65"/>
        <v>293.33333333333405</v>
      </c>
      <c r="CD73" s="62">
        <f ca="1">AVERAGE(OFFSET($CC$3,0,0,'Données projet'!$E$12+1,1))-AVERAGE(OFFSET($H$3,0,0,'Données projet'!$E$12+1,1))</f>
        <v>197.51529454208725</v>
      </c>
      <c r="CE73" s="62">
        <f t="shared" si="94"/>
        <v>196.65362486387215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78.371533807008689</v>
      </c>
      <c r="CL73" s="23">
        <f>EXP(-LN(2)/25)*CL72+(1-EXP(-LN(2)/25))/(LN(2)/25)*Calculateur!CG73*Calculateur!CI73*VLOOKUP('Données projet'!$B$12,Paramètres!$A$1:$I$89,3,0)*0.475*44/12</f>
        <v>0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78.371533807008689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385</v>
      </c>
      <c r="CR73" s="13">
        <f>VLOOKUP(A73,'Données projet'!$A$139:$I$159,9,0)</f>
        <v>8.1999999999999993</v>
      </c>
      <c r="CS73" s="13">
        <f t="array" ref="CS73">INDEX(CR:CR,MIN(IF(ISNUMBER(CR73:CR269),ROW(CR73:CR269),"")))</f>
        <v>8.1999999999999993</v>
      </c>
      <c r="CT73" s="13">
        <f>IF('Données projet'!$A$140&gt;35,CT72+CS73-DB72,IF(A73&lt;'Données projet'!$A$140,$CQ$205^A73,IF(A73='Données projet'!$A$140,'Données projet'!$B$140,CT72+CS73-DB72)))</f>
        <v>384.99999999999989</v>
      </c>
      <c r="CU73" s="18">
        <f>CT73*VLOOKUP('Données projet'!$B$13,Paramètres!$A$1:$I$89,3,0)*VLOOKUP('Données projet'!$B$13,Paramètres!$A$1:$I$89,5,0)</f>
        <v>210.20999999999995</v>
      </c>
      <c r="CV73" s="14">
        <f t="shared" si="95"/>
        <v>51.981473312002848</v>
      </c>
      <c r="CW73" s="22">
        <f t="shared" si="67"/>
        <v>456.65014935173821</v>
      </c>
      <c r="CX73" s="62">
        <f t="shared" si="68"/>
        <v>749.98348268507152</v>
      </c>
      <c r="CY73" s="62">
        <f ca="1">AVERAGE(OFFSET($CX$3,0,0,'Données projet'!$E$13+1,1))-AVERAGE(OFFSET($H$3,0,0,'Données projet'!$E$13+1,1))</f>
        <v>303.14853302260451</v>
      </c>
      <c r="CZ73" s="62">
        <f t="shared" si="96"/>
        <v>298.74602928001929</v>
      </c>
      <c r="DA73" s="16">
        <f>IF(ISNA(VLOOKUP(A73,'Données projet'!$A$139:$I$159,3,0)),0,VLOOKUP(A73,'Données projet'!$A$139:$I$159,3,0))</f>
        <v>13</v>
      </c>
      <c r="DB73" s="16">
        <f>IF(ISNA(VLOOKUP(A73,'Données projet'!$A$139:$I$159,4,0)),0,VLOOKUP(A73,'Données projet'!$A$139:$I$159,4,0))</f>
        <v>26</v>
      </c>
      <c r="DC73" s="17">
        <f>IF(ISNA(VLOOKUP(A73,'Données projet'!$A$139:$I$159,5,0)),0%,VLOOKUP(A73,'Données projet'!$A$139:$I$159,5,0)*VLOOKUP('Données projet'!$B$13,Paramètres!$A$1:$I$89,7,0))</f>
        <v>0.42</v>
      </c>
      <c r="DD73" s="17">
        <f>IF(ISNA(VLOOKUP(A73,'Données projet'!$A$139:$I$159,6,0)),0%,VLOOKUP(A73,'Données projet'!$A$139:$I$159,6,0)*VLOOKUP('Données projet'!$B$13,Paramètres!$A$1:$I$89,7,0))</f>
        <v>0.10080000000000001</v>
      </c>
      <c r="DE73" s="17">
        <f>IF(ISNA(VLOOKUP(A73,'Données projet'!$A$139:$I$159,7,0)),0%,VLOOKUP(A73,'Données projet'!$A$139:$I$159,7,0))</f>
        <v>0.13200000000000001</v>
      </c>
      <c r="DF73" s="23">
        <f>EXP(-LN(2)/35)*DF72+(1-EXP(-LN(2)/35))/(LN(2)/35)*DB73*DC73*VLOOKUP('Données projet'!$B$13,Paramètres!$A$1:$I$89,3,0)*0.475*44/12</f>
        <v>48.133156598091105</v>
      </c>
      <c r="DG73" s="23">
        <f>EXP(-LN(2)/25)*DG72+(1-EXP(-LN(2)/25))/(LN(2)/25)*Calculateur!DB73*Calculateur!DD73*VLOOKUP('Données projet'!$B$13,Paramètres!$A$1:$I$89,3,0)*0.475*44/12</f>
        <v>25.10593047174336</v>
      </c>
      <c r="DH73" s="23">
        <f>EXP(-LN(2)/2)*DH72+(1-EXP(-LN(2)/2))/(LN(2)/2)*DB73*DE73*VLOOKUP('Données projet'!$B$13,Paramètres!$A$1:$I$89,3,0)*0.475*44/12</f>
        <v>2.6135818012392167</v>
      </c>
      <c r="DI73" s="24">
        <f t="shared" si="69"/>
        <v>75.852668871073689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70">
        <f t="shared" si="56"/>
        <v>256.66666666666669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7.3250000000000028</v>
      </c>
      <c r="N74" s="14">
        <f>IF('Données projet'!$A$36&gt;35,N73+M74-V73,IF(A74&lt;'Données projet'!$A$36,$K$205^A74,IF(A74='Données projet'!$A$36,'Données projet'!$B$36,N73+M74-V73)))</f>
        <v>200.31</v>
      </c>
      <c r="O74" s="14">
        <f>N74*VLOOKUP('Données projet'!$B$9,Paramètres!$A$1:$I$89,3,0)*VLOOKUP('Données projet'!$B$9,Paramètres!$A$1:$I$89,5,0)</f>
        <v>181.240488</v>
      </c>
      <c r="P74" s="14">
        <f t="shared" si="87"/>
        <v>45.598061479363125</v>
      </c>
      <c r="Q74" s="22">
        <f t="shared" si="54"/>
        <v>395.07714034322407</v>
      </c>
      <c r="R74" s="62">
        <f t="shared" si="55"/>
        <v>688.41047367655733</v>
      </c>
      <c r="S74" s="62">
        <f ca="1">AVERAGE(OFFSET($R$3,0,0,'Données projet'!$E$9+1,1))-AVERAGE(OFFSET($H$3,0,0,'Données projet'!$E$9+1,1))</f>
        <v>441.6145113257511</v>
      </c>
      <c r="T74" s="62">
        <f t="shared" si="88"/>
        <v>295.8399381972477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14.563855998956194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14.563855998956194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11.25925925925926</v>
      </c>
      <c r="AI74" s="14">
        <f>IF('Données projet'!$A$62&gt;35,AI73+AH74-AQ73,IF(A74&lt;'Données projet'!$A$62,$AF$205^A74,IF(A74='Données projet'!$A$62,'Données projet'!$B$62,AI73+AH74-AQ73)))</f>
        <v>491.07407407407402</v>
      </c>
      <c r="AJ74" s="14">
        <f>AI74*VLOOKUP('Données projet'!$B$10,Paramètres!$A$1:$I$89,3,0)*VLOOKUP('Données projet'!$B$10,Paramètres!$A$1:$I$89,5,0)</f>
        <v>421.34155555555554</v>
      </c>
      <c r="AK74" s="14">
        <f t="shared" si="89"/>
        <v>96.090162386021305</v>
      </c>
      <c r="AL74" s="22">
        <f t="shared" si="58"/>
        <v>901.19357541491297</v>
      </c>
      <c r="AM74" s="62">
        <f t="shared" si="59"/>
        <v>1194.5269087482463</v>
      </c>
      <c r="AN74" s="62">
        <f ca="1">AVERAGE(OFFSET($AM$3,0,0,'Données projet'!$E$10+1,1))-AVERAGE(OFFSET($H$3,0,0,'Données projet'!$E$10+1,1))</f>
        <v>623.31285537237943</v>
      </c>
      <c r="AO74" s="62">
        <f t="shared" si="90"/>
        <v>462.33909258902241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86.596832353083727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86.596832353083727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3.4</v>
      </c>
      <c r="BD74" s="13">
        <f>IF('Données projet'!$A$88&gt;35,BD73+BC74-BL73,IF(A74&lt;'Données projet'!$A$88,$BA$205^A74,IF(A74='Données projet'!$A$88,'Données projet'!$B$88,BD73+BC74-BL73)))</f>
        <v>256.39999999999986</v>
      </c>
      <c r="BE74" s="14">
        <f>BD74*VLOOKUP('Données projet'!$B$11,Paramètres!$A$1:$I$89,3,0)*VLOOKUP('Données projet'!$B$11,Paramètres!$A$1:$I$89,5,0)</f>
        <v>203.99183999999988</v>
      </c>
      <c r="BF74" s="14">
        <f t="shared" si="91"/>
        <v>50.620441749347997</v>
      </c>
      <c r="BG74" s="22">
        <f t="shared" si="61"/>
        <v>443.44972404678083</v>
      </c>
      <c r="BH74" s="62">
        <f t="shared" si="62"/>
        <v>736.78305738011409</v>
      </c>
      <c r="BI74" s="62">
        <f ca="1">AVERAGE(OFFSET($BH$3,0,0,'Données projet'!$E$11+1,1))-AVERAGE(OFFSET($H$3,0,0,'Données projet'!$E$11+1,1))</f>
        <v>299.10536994156814</v>
      </c>
      <c r="BJ74" s="62">
        <f t="shared" si="92"/>
        <v>292.57799203101769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19.301235899388065</v>
      </c>
      <c r="BQ74" s="23">
        <f>EXP(-LN(2)/25)*BQ73+(1-EXP(-LN(2)/25))/(LN(2)/25)*Calculateur!BL74*Calculateur!BN74*VLOOKUP('Données projet'!$B$11,Paramètres!$A$1:$I$89,3,0)*0.475*44/12</f>
        <v>0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19.301235899388065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2.8421709430404007E-14</v>
      </c>
      <c r="BZ74" s="14">
        <f>BY74*VLOOKUP('Données projet'!$B$12,Paramètres!$A$1:$I$89,3,0)*VLOOKUP('Données projet'!$B$12,Paramètres!$A$1:$I$89,5,0)</f>
        <v>2.2168933355715127E-14</v>
      </c>
      <c r="CA74" s="14">
        <f t="shared" si="93"/>
        <v>3.9687356123668477E-13</v>
      </c>
      <c r="CB74" s="22">
        <f t="shared" si="64"/>
        <v>7.2983234474842979E-13</v>
      </c>
      <c r="CC74" s="62">
        <f t="shared" si="65"/>
        <v>293.33333333333405</v>
      </c>
      <c r="CD74" s="62">
        <f ca="1">AVERAGE(OFFSET($CC$3,0,0,'Données projet'!$E$12+1,1))-AVERAGE(OFFSET($H$3,0,0,'Données projet'!$E$12+1,1))</f>
        <v>197.51529454208725</v>
      </c>
      <c r="CE74" s="62">
        <f t="shared" si="94"/>
        <v>196.65362486387215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76.834715830968818</v>
      </c>
      <c r="CL74" s="23">
        <f>EXP(-LN(2)/25)*CL73+(1-EXP(-LN(2)/25))/(LN(2)/25)*Calculateur!CG74*Calculateur!CI74*VLOOKUP('Données projet'!$B$12,Paramètres!$A$1:$I$89,3,0)*0.475*44/12</f>
        <v>0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76.834715830968818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7.8</v>
      </c>
      <c r="CT74" s="13">
        <f>IF('Données projet'!$A$140&gt;35,CT73+CS74-DB73,IF(A74&lt;'Données projet'!$A$140,$CQ$205^A74,IF(A74='Données projet'!$A$140,'Données projet'!$B$140,CT73+CS74-DB73)))</f>
        <v>366.7999999999999</v>
      </c>
      <c r="CU74" s="18">
        <f>CT74*VLOOKUP('Données projet'!$B$13,Paramètres!$A$1:$I$89,3,0)*VLOOKUP('Données projet'!$B$13,Paramètres!$A$1:$I$89,5,0)</f>
        <v>200.27279999999996</v>
      </c>
      <c r="CV74" s="14">
        <f t="shared" si="95"/>
        <v>49.80411615159111</v>
      </c>
      <c r="CW74" s="22">
        <f t="shared" si="67"/>
        <v>435.55062896402114</v>
      </c>
      <c r="CX74" s="62">
        <f t="shared" si="68"/>
        <v>728.8839622973544</v>
      </c>
      <c r="CY74" s="62">
        <f ca="1">AVERAGE(OFFSET($CX$3,0,0,'Données projet'!$E$13+1,1))-AVERAGE(OFFSET($H$3,0,0,'Données projet'!$E$13+1,1))</f>
        <v>303.14853302260451</v>
      </c>
      <c r="CZ74" s="62">
        <f t="shared" si="96"/>
        <v>298.74602928001929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47.189294755529168</v>
      </c>
      <c r="DG74" s="23">
        <f>EXP(-LN(2)/25)*DG73+(1-EXP(-LN(2)/25))/(LN(2)/25)*Calculateur!DB74*Calculateur!DD74*VLOOKUP('Données projet'!$B$13,Paramètres!$A$1:$I$89,3,0)*0.475*44/12</f>
        <v>24.419407482730033</v>
      </c>
      <c r="DH74" s="23">
        <f>EXP(-LN(2)/2)*DH73+(1-EXP(-LN(2)/2))/(LN(2)/2)*DB74*DE74*VLOOKUP('Données projet'!$B$13,Paramètres!$A$1:$I$89,3,0)*0.475*44/12</f>
        <v>1.8480814148420017</v>
      </c>
      <c r="DI74" s="24">
        <f t="shared" si="69"/>
        <v>73.456783653101198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70">
        <f t="shared" si="56"/>
        <v>256.66666666666669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7.3250000000000028</v>
      </c>
      <c r="N75" s="14">
        <f>IF('Données projet'!$A$36&gt;35,N74+M75-V74,IF(A75&lt;'Données projet'!$A$36,$K$205^A75,IF(A75='Données projet'!$A$36,'Données projet'!$B$36,N74+M75-V74)))</f>
        <v>207.63499999999999</v>
      </c>
      <c r="O75" s="14">
        <f>N75*VLOOKUP('Données projet'!$B$9,Paramètres!$A$1:$I$89,3,0)*VLOOKUP('Données projet'!$B$9,Paramètres!$A$1:$I$89,5,0)</f>
        <v>187.86814799999999</v>
      </c>
      <c r="P75" s="14">
        <f t="shared" si="87"/>
        <v>47.068321566912815</v>
      </c>
      <c r="Q75" s="22">
        <f t="shared" si="54"/>
        <v>409.18101782903983</v>
      </c>
      <c r="R75" s="62">
        <f t="shared" si="55"/>
        <v>702.51435116237315</v>
      </c>
      <c r="S75" s="62">
        <f ca="1">AVERAGE(OFFSET($R$3,0,0,'Données projet'!$E$9+1,1))-AVERAGE(OFFSET($H$3,0,0,'Données projet'!$E$9+1,1))</f>
        <v>441.6145113257511</v>
      </c>
      <c r="T75" s="62">
        <f t="shared" si="88"/>
        <v>295.8399381972477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14.278267665891692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14.278267665891692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11.25925925925926</v>
      </c>
      <c r="AI75" s="14">
        <f>IF('Données projet'!$A$62&gt;35,AI74+AH75-AQ74,IF(A75&lt;'Données projet'!$A$62,$AF$205^A75,IF(A75='Données projet'!$A$62,'Données projet'!$B$62,AI74+AH75-AQ74)))</f>
        <v>502.33333333333326</v>
      </c>
      <c r="AJ75" s="14">
        <f>AI75*VLOOKUP('Données projet'!$B$10,Paramètres!$A$1:$I$89,3,0)*VLOOKUP('Données projet'!$B$10,Paramètres!$A$1:$I$89,5,0)</f>
        <v>431.00199999999995</v>
      </c>
      <c r="AK75" s="14">
        <f t="shared" si="89"/>
        <v>98.034279530765474</v>
      </c>
      <c r="AL75" s="22">
        <f t="shared" si="58"/>
        <v>921.40485351608311</v>
      </c>
      <c r="AM75" s="62">
        <f t="shared" si="59"/>
        <v>1214.7381868494165</v>
      </c>
      <c r="AN75" s="62">
        <f ca="1">AVERAGE(OFFSET($AM$3,0,0,'Données projet'!$E$10+1,1))-AVERAGE(OFFSET($H$3,0,0,'Données projet'!$E$10+1,1))</f>
        <v>623.31285537237943</v>
      </c>
      <c r="AO75" s="62">
        <f t="shared" si="90"/>
        <v>462.33909258902241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84.898721289492059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84.898721289492059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3.4</v>
      </c>
      <c r="BD75" s="13">
        <f>IF('Données projet'!$A$88&gt;35,BD74+BC75-BL74,IF(A75&lt;'Données projet'!$A$88,$BA$205^A75,IF(A75='Données projet'!$A$88,'Données projet'!$B$88,BD74+BC75-BL74)))</f>
        <v>259.79999999999984</v>
      </c>
      <c r="BE75" s="14">
        <f>BD75*VLOOKUP('Données projet'!$B$11,Paramètres!$A$1:$I$89,3,0)*VLOOKUP('Données projet'!$B$11,Paramètres!$A$1:$I$89,5,0)</f>
        <v>206.69687999999991</v>
      </c>
      <c r="BF75" s="14">
        <f t="shared" si="91"/>
        <v>51.213106197404436</v>
      </c>
      <c r="BG75" s="22">
        <f t="shared" si="61"/>
        <v>449.1932259604792</v>
      </c>
      <c r="BH75" s="62">
        <f t="shared" si="62"/>
        <v>742.52655929381251</v>
      </c>
      <c r="BI75" s="62">
        <f ca="1">AVERAGE(OFFSET($BH$3,0,0,'Données projet'!$E$11+1,1))-AVERAGE(OFFSET($H$3,0,0,'Données projet'!$E$11+1,1))</f>
        <v>299.10536994156814</v>
      </c>
      <c r="BJ75" s="62">
        <f t="shared" si="92"/>
        <v>292.57799203101769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18.922750435992516</v>
      </c>
      <c r="BQ75" s="23">
        <f>EXP(-LN(2)/25)*BQ74+(1-EXP(-LN(2)/25))/(LN(2)/25)*Calculateur!BL75*Calculateur!BN75*VLOOKUP('Données projet'!$B$11,Paramètres!$A$1:$I$89,3,0)*0.475*44/12</f>
        <v>0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18.922750435992516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2.8421709430404007E-14</v>
      </c>
      <c r="BZ75" s="14">
        <f>BY75*VLOOKUP('Données projet'!$B$12,Paramètres!$A$1:$I$89,3,0)*VLOOKUP('Données projet'!$B$12,Paramètres!$A$1:$I$89,5,0)</f>
        <v>2.2168933355715127E-14</v>
      </c>
      <c r="CA75" s="14">
        <f t="shared" si="93"/>
        <v>3.9687356123668477E-13</v>
      </c>
      <c r="CB75" s="22">
        <f t="shared" si="64"/>
        <v>7.2983234474842979E-13</v>
      </c>
      <c r="CC75" s="62">
        <f t="shared" si="65"/>
        <v>293.33333333333405</v>
      </c>
      <c r="CD75" s="62">
        <f ca="1">AVERAGE(OFFSET($CC$3,0,0,'Données projet'!$E$12+1,1))-AVERAGE(OFFSET($H$3,0,0,'Données projet'!$E$12+1,1))</f>
        <v>197.51529454208725</v>
      </c>
      <c r="CE75" s="62">
        <f t="shared" si="94"/>
        <v>196.65362486387215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75.328033918072691</v>
      </c>
      <c r="CL75" s="23">
        <f>EXP(-LN(2)/25)*CL74+(1-EXP(-LN(2)/25))/(LN(2)/25)*Calculateur!CG75*Calculateur!CI75*VLOOKUP('Données projet'!$B$12,Paramètres!$A$1:$I$89,3,0)*0.475*44/12</f>
        <v>0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75.328033918072691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7.8</v>
      </c>
      <c r="CT75" s="13">
        <f>IF('Données projet'!$A$140&gt;35,CT74+CS75-DB74,IF(A75&lt;'Données projet'!$A$140,$CQ$205^A75,IF(A75='Données projet'!$A$140,'Données projet'!$B$140,CT74+CS75-DB74)))</f>
        <v>374.59999999999991</v>
      </c>
      <c r="CU75" s="18">
        <f>CT75*VLOOKUP('Données projet'!$B$13,Paramètres!$A$1:$I$89,3,0)*VLOOKUP('Données projet'!$B$13,Paramètres!$A$1:$I$89,5,0)</f>
        <v>204.53159999999997</v>
      </c>
      <c r="CV75" s="14">
        <f t="shared" si="95"/>
        <v>50.738773889882594</v>
      </c>
      <c r="CW75" s="22">
        <f t="shared" si="67"/>
        <v>444.59590119154547</v>
      </c>
      <c r="CX75" s="62">
        <f t="shared" si="68"/>
        <v>737.92923452487878</v>
      </c>
      <c r="CY75" s="62">
        <f ca="1">AVERAGE(OFFSET($CX$3,0,0,'Données projet'!$E$13+1,1))-AVERAGE(OFFSET($H$3,0,0,'Données projet'!$E$13+1,1))</f>
        <v>303.14853302260451</v>
      </c>
      <c r="CZ75" s="62">
        <f t="shared" si="96"/>
        <v>298.74602928001929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46.263941468000993</v>
      </c>
      <c r="DG75" s="23">
        <f>EXP(-LN(2)/25)*DG74+(1-EXP(-LN(2)/25))/(LN(2)/25)*Calculateur!DB75*Calculateur!DD75*VLOOKUP('Données projet'!$B$13,Paramètres!$A$1:$I$89,3,0)*0.475*44/12</f>
        <v>23.751657500953954</v>
      </c>
      <c r="DH75" s="23">
        <f>EXP(-LN(2)/2)*DH74+(1-EXP(-LN(2)/2))/(LN(2)/2)*DB75*DE75*VLOOKUP('Données projet'!$B$13,Paramètres!$A$1:$I$89,3,0)*0.475*44/12</f>
        <v>1.3067909006196086</v>
      </c>
      <c r="DI75" s="24">
        <f t="shared" si="69"/>
        <v>71.32238986957455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70">
        <f t="shared" si="56"/>
        <v>256.66666666666669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7.3250000000000028</v>
      </c>
      <c r="N76" s="14">
        <f>IF('Données projet'!$A$36&gt;35,N75+M76-V75,IF(A76&lt;'Données projet'!$A$36,$K$205^A76,IF(A76='Données projet'!$A$36,'Données projet'!$B$36,N75+M76-V75)))</f>
        <v>214.95999999999998</v>
      </c>
      <c r="O76" s="14">
        <f>N76*VLOOKUP('Données projet'!$B$9,Paramètres!$A$1:$I$89,3,0)*VLOOKUP('Données projet'!$B$9,Paramètres!$A$1:$I$89,5,0)</f>
        <v>194.49580799999998</v>
      </c>
      <c r="P76" s="14">
        <f t="shared" si="87"/>
        <v>48.532555253837756</v>
      </c>
      <c r="Q76" s="22">
        <f t="shared" si="54"/>
        <v>423.27439933376741</v>
      </c>
      <c r="R76" s="62">
        <f t="shared" si="55"/>
        <v>716.60773266710066</v>
      </c>
      <c r="S76" s="62">
        <f ca="1">AVERAGE(OFFSET($R$3,0,0,'Données projet'!$E$9+1,1))-AVERAGE(OFFSET($H$3,0,0,'Données projet'!$E$9+1,1))</f>
        <v>441.6145113257511</v>
      </c>
      <c r="T76" s="62">
        <f t="shared" si="88"/>
        <v>295.8399381972477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13.9982795458469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13.9982795458469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11.25925925925926</v>
      </c>
      <c r="AI76" s="14">
        <f>IF('Données projet'!$A$62&gt;35,AI75+AH76-AQ75,IF(A76&lt;'Données projet'!$A$62,$AF$205^A76,IF(A76='Données projet'!$A$62,'Données projet'!$B$62,AI75+AH76-AQ75)))</f>
        <v>513.5925925925925</v>
      </c>
      <c r="AJ76" s="14">
        <f>AI76*VLOOKUP('Données projet'!$B$10,Paramètres!$A$1:$I$89,3,0)*VLOOKUP('Données projet'!$B$10,Paramètres!$A$1:$I$89,5,0)</f>
        <v>440.66244444444436</v>
      </c>
      <c r="AK76" s="14">
        <f t="shared" si="89"/>
        <v>99.973330674651464</v>
      </c>
      <c r="AL76" s="22">
        <f t="shared" si="58"/>
        <v>941.60730833242508</v>
      </c>
      <c r="AM76" s="62">
        <f t="shared" si="59"/>
        <v>1234.9406416657584</v>
      </c>
      <c r="AN76" s="62">
        <f ca="1">AVERAGE(OFFSET($AM$3,0,0,'Données projet'!$E$10+1,1))-AVERAGE(OFFSET($H$3,0,0,'Données projet'!$E$10+1,1))</f>
        <v>623.31285537237943</v>
      </c>
      <c r="AO76" s="62">
        <f t="shared" si="90"/>
        <v>462.33909258902241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83.233909148111948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83.233909148111948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3.4</v>
      </c>
      <c r="BD76" s="13">
        <f>IF('Données projet'!$A$88&gt;35,BD75+BC76-BL75,IF(A76&lt;'Données projet'!$A$88,$BA$205^A76,IF(A76='Données projet'!$A$88,'Données projet'!$B$88,BD75+BC76-BL75)))</f>
        <v>263.19999999999982</v>
      </c>
      <c r="BE76" s="14">
        <f>BD76*VLOOKUP('Données projet'!$B$11,Paramètres!$A$1:$I$89,3,0)*VLOOKUP('Données projet'!$B$11,Paramètres!$A$1:$I$89,5,0)</f>
        <v>209.40191999999988</v>
      </c>
      <c r="BF76" s="14">
        <f t="shared" si="91"/>
        <v>51.804868484579039</v>
      </c>
      <c r="BG76" s="22">
        <f t="shared" si="61"/>
        <v>454.93515661064157</v>
      </c>
      <c r="BH76" s="62">
        <f t="shared" si="62"/>
        <v>748.26848994397483</v>
      </c>
      <c r="BI76" s="62">
        <f ca="1">AVERAGE(OFFSET($BH$3,0,0,'Données projet'!$E$11+1,1))-AVERAGE(OFFSET($H$3,0,0,'Données projet'!$E$11+1,1))</f>
        <v>299.10536994156814</v>
      </c>
      <c r="BJ76" s="62">
        <f t="shared" si="92"/>
        <v>292.57799203101769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18.551686841680816</v>
      </c>
      <c r="BQ76" s="23">
        <f>EXP(-LN(2)/25)*BQ75+(1-EXP(-LN(2)/25))/(LN(2)/25)*Calculateur!BL76*Calculateur!BN76*VLOOKUP('Données projet'!$B$11,Paramètres!$A$1:$I$89,3,0)*0.475*44/12</f>
        <v>0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18.551686841680816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2.8421709430404007E-14</v>
      </c>
      <c r="BZ76" s="14">
        <f>BY76*VLOOKUP('Données projet'!$B$12,Paramètres!$A$1:$I$89,3,0)*VLOOKUP('Données projet'!$B$12,Paramètres!$A$1:$I$89,5,0)</f>
        <v>2.2168933355715127E-14</v>
      </c>
      <c r="CA76" s="14">
        <f t="shared" si="93"/>
        <v>3.9687356123668477E-13</v>
      </c>
      <c r="CB76" s="22">
        <f t="shared" si="64"/>
        <v>7.2983234474842979E-13</v>
      </c>
      <c r="CC76" s="62">
        <f t="shared" si="65"/>
        <v>293.33333333333405</v>
      </c>
      <c r="CD76" s="62">
        <f ca="1">AVERAGE(OFFSET($CC$3,0,0,'Données projet'!$E$12+1,1))-AVERAGE(OFFSET($H$3,0,0,'Données projet'!$E$12+1,1))</f>
        <v>197.51529454208725</v>
      </c>
      <c r="CE76" s="62">
        <f t="shared" si="94"/>
        <v>196.65362486387215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73.850897118503227</v>
      </c>
      <c r="CL76" s="23">
        <f>EXP(-LN(2)/25)*CL75+(1-EXP(-LN(2)/25))/(LN(2)/25)*Calculateur!CG76*Calculateur!CI76*VLOOKUP('Données projet'!$B$12,Paramètres!$A$1:$I$89,3,0)*0.475*44/12</f>
        <v>0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73.850897118503227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7.8</v>
      </c>
      <c r="CT76" s="13">
        <f>IF('Données projet'!$A$140&gt;35,CT75+CS76-DB75,IF(A76&lt;'Données projet'!$A$140,$CQ$205^A76,IF(A76='Données projet'!$A$140,'Données projet'!$B$140,CT75+CS76-DB75)))</f>
        <v>382.39999999999992</v>
      </c>
      <c r="CU76" s="18">
        <f>CT76*VLOOKUP('Données projet'!$B$13,Paramètres!$A$1:$I$89,3,0)*VLOOKUP('Données projet'!$B$13,Paramètres!$A$1:$I$89,5,0)</f>
        <v>208.79039999999995</v>
      </c>
      <c r="CV76" s="14">
        <f t="shared" si="95"/>
        <v>51.671168863475145</v>
      </c>
      <c r="CW76" s="22">
        <f t="shared" si="67"/>
        <v>453.63723243721915</v>
      </c>
      <c r="CX76" s="62">
        <f t="shared" si="68"/>
        <v>746.97056577055241</v>
      </c>
      <c r="CY76" s="62">
        <f ca="1">AVERAGE(OFFSET($CX$3,0,0,'Données projet'!$E$13+1,1))-AVERAGE(OFFSET($H$3,0,0,'Données projet'!$E$13+1,1))</f>
        <v>303.14853302260451</v>
      </c>
      <c r="CZ76" s="62">
        <f t="shared" si="96"/>
        <v>298.74602928001929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45.35673379403147</v>
      </c>
      <c r="DG76" s="23">
        <f>EXP(-LN(2)/25)*DG75+(1-EXP(-LN(2)/25))/(LN(2)/25)*Calculateur!DB76*Calculateur!DD76*VLOOKUP('Données projet'!$B$13,Paramètres!$A$1:$I$89,3,0)*0.475*44/12</f>
        <v>23.102167177544985</v>
      </c>
      <c r="DH76" s="23">
        <f>EXP(-LN(2)/2)*DH75+(1-EXP(-LN(2)/2))/(LN(2)/2)*DB76*DE76*VLOOKUP('Données projet'!$B$13,Paramètres!$A$1:$I$89,3,0)*0.475*44/12</f>
        <v>0.92404070742100097</v>
      </c>
      <c r="DI76" s="24">
        <f t="shared" si="69"/>
        <v>69.382941678997454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70">
        <f t="shared" si="56"/>
        <v>256.66666666666669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7.3250000000000028</v>
      </c>
      <c r="N77" s="14">
        <f>IF('Données projet'!$A$36&gt;35,N76+M77-V76,IF(A77&lt;'Données projet'!$A$36,$K$205^A77,IF(A77='Données projet'!$A$36,'Données projet'!$B$36,N76+M77-V76)))</f>
        <v>222.28499999999997</v>
      </c>
      <c r="O77" s="14">
        <f>N77*VLOOKUP('Données projet'!$B$9,Paramètres!$A$1:$I$89,3,0)*VLOOKUP('Données projet'!$B$9,Paramètres!$A$1:$I$89,5,0)</f>
        <v>201.12346799999995</v>
      </c>
      <c r="P77" s="14">
        <f t="shared" si="87"/>
        <v>49.990991435816994</v>
      </c>
      <c r="Q77" s="22">
        <f t="shared" si="54"/>
        <v>437.35768351738119</v>
      </c>
      <c r="R77" s="62">
        <f t="shared" si="55"/>
        <v>730.6910168507145</v>
      </c>
      <c r="S77" s="62">
        <f ca="1">AVERAGE(OFFSET($R$3,0,0,'Données projet'!$E$9+1,1))-AVERAGE(OFFSET($H$3,0,0,'Données projet'!$E$9+1,1))</f>
        <v>441.6145113257511</v>
      </c>
      <c r="T77" s="62">
        <f t="shared" si="88"/>
        <v>295.8399381972477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13.723781822060298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13.723781822060298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11.25925925925926</v>
      </c>
      <c r="AI77" s="14">
        <f>IF('Données projet'!$A$62&gt;35,AI76+AH77-AQ76,IF(A77&lt;'Données projet'!$A$62,$AF$205^A77,IF(A77='Données projet'!$A$62,'Données projet'!$B$62,AI76+AH77-AQ76)))</f>
        <v>524.85185185185173</v>
      </c>
      <c r="AJ77" s="14">
        <f>AI77*VLOOKUP('Données projet'!$B$10,Paramètres!$A$1:$I$89,3,0)*VLOOKUP('Données projet'!$B$10,Paramètres!$A$1:$I$89,5,0)</f>
        <v>450.32288888888883</v>
      </c>
      <c r="AK77" s="14">
        <f t="shared" si="89"/>
        <v>101.90743966666022</v>
      </c>
      <c r="AL77" s="22">
        <f t="shared" si="58"/>
        <v>961.80115556758119</v>
      </c>
      <c r="AM77" s="62">
        <f t="shared" si="59"/>
        <v>1255.1344889009144</v>
      </c>
      <c r="AN77" s="62">
        <f ca="1">AVERAGE(OFFSET($AM$3,0,0,'Données projet'!$E$10+1,1))-AVERAGE(OFFSET($H$3,0,0,'Données projet'!$E$10+1,1))</f>
        <v>623.31285537237943</v>
      </c>
      <c r="AO77" s="62">
        <f t="shared" si="90"/>
        <v>462.33909258902241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81.601742957389163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81.601742957389163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3.4</v>
      </c>
      <c r="BD77" s="13">
        <f>IF('Données projet'!$A$88&gt;35,BD76+BC77-BL76,IF(A77&lt;'Données projet'!$A$88,$BA$205^A77,IF(A77='Données projet'!$A$88,'Données projet'!$B$88,BD76+BC77-BL76)))</f>
        <v>266.5999999999998</v>
      </c>
      <c r="BE77" s="14">
        <f>BD77*VLOOKUP('Données projet'!$B$11,Paramètres!$A$1:$I$89,3,0)*VLOOKUP('Données projet'!$B$11,Paramètres!$A$1:$I$89,5,0)</f>
        <v>212.10695999999984</v>
      </c>
      <c r="BF77" s="14">
        <f t="shared" si="91"/>
        <v>52.395741612408194</v>
      </c>
      <c r="BG77" s="22">
        <f t="shared" si="61"/>
        <v>460.67553864161067</v>
      </c>
      <c r="BH77" s="62">
        <f t="shared" si="62"/>
        <v>754.00887197494399</v>
      </c>
      <c r="BI77" s="62">
        <f ca="1">AVERAGE(OFFSET($BH$3,0,0,'Données projet'!$E$11+1,1))-AVERAGE(OFFSET($H$3,0,0,'Données projet'!$E$11+1,1))</f>
        <v>299.10536994156814</v>
      </c>
      <c r="BJ77" s="62">
        <f t="shared" si="92"/>
        <v>292.57799203101769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18.187899578127123</v>
      </c>
      <c r="BQ77" s="23">
        <f>EXP(-LN(2)/25)*BQ76+(1-EXP(-LN(2)/25))/(LN(2)/25)*Calculateur!BL77*Calculateur!BN77*VLOOKUP('Données projet'!$B$11,Paramètres!$A$1:$I$89,3,0)*0.475*44/12</f>
        <v>0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18.187899578127123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2.8421709430404007E-14</v>
      </c>
      <c r="BZ77" s="14">
        <f>BY77*VLOOKUP('Données projet'!$B$12,Paramètres!$A$1:$I$89,3,0)*VLOOKUP('Données projet'!$B$12,Paramètres!$A$1:$I$89,5,0)</f>
        <v>2.2168933355715127E-14</v>
      </c>
      <c r="CA77" s="14">
        <f t="shared" si="93"/>
        <v>3.9687356123668477E-13</v>
      </c>
      <c r="CB77" s="22">
        <f t="shared" si="64"/>
        <v>7.2983234474842979E-13</v>
      </c>
      <c r="CC77" s="62">
        <f t="shared" si="65"/>
        <v>293.33333333333405</v>
      </c>
      <c r="CD77" s="62">
        <f ca="1">AVERAGE(OFFSET($CC$3,0,0,'Données projet'!$E$12+1,1))-AVERAGE(OFFSET($H$3,0,0,'Données projet'!$E$12+1,1))</f>
        <v>197.51529454208725</v>
      </c>
      <c r="CE77" s="62">
        <f t="shared" si="94"/>
        <v>196.65362486387215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72.402726070608836</v>
      </c>
      <c r="CL77" s="23">
        <f>EXP(-LN(2)/25)*CL76+(1-EXP(-LN(2)/25))/(LN(2)/25)*Calculateur!CG77*Calculateur!CI77*VLOOKUP('Données projet'!$B$12,Paramètres!$A$1:$I$89,3,0)*0.475*44/12</f>
        <v>0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72.402726070608836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7.8</v>
      </c>
      <c r="CT77" s="13">
        <f>IF('Données projet'!$A$140&gt;35,CT76+CS77-DB76,IF(A77&lt;'Données projet'!$A$140,$CQ$205^A77,IF(A77='Données projet'!$A$140,'Données projet'!$B$140,CT76+CS77-DB76)))</f>
        <v>390.19999999999993</v>
      </c>
      <c r="CU77" s="18">
        <f>CT77*VLOOKUP('Données projet'!$B$13,Paramètres!$A$1:$I$89,3,0)*VLOOKUP('Données projet'!$B$13,Paramètres!$A$1:$I$89,5,0)</f>
        <v>213.04919999999996</v>
      </c>
      <c r="CV77" s="14">
        <f t="shared" si="95"/>
        <v>52.601352545581292</v>
      </c>
      <c r="CW77" s="22">
        <f t="shared" si="67"/>
        <v>462.67471235022066</v>
      </c>
      <c r="CX77" s="62">
        <f t="shared" si="68"/>
        <v>756.00804568355397</v>
      </c>
      <c r="CY77" s="62">
        <f ca="1">AVERAGE(OFFSET($CX$3,0,0,'Données projet'!$E$13+1,1))-AVERAGE(OFFSET($H$3,0,0,'Données projet'!$E$13+1,1))</f>
        <v>303.14853302260451</v>
      </c>
      <c r="CZ77" s="62">
        <f t="shared" si="96"/>
        <v>298.74602928001929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44.467315909206448</v>
      </c>
      <c r="DG77" s="23">
        <f>EXP(-LN(2)/25)*DG76+(1-EXP(-LN(2)/25))/(LN(2)/25)*Calculateur!DB77*Calculateur!DD77*VLOOKUP('Données projet'!$B$13,Paramètres!$A$1:$I$89,3,0)*0.475*44/12</f>
        <v>22.470437201184847</v>
      </c>
      <c r="DH77" s="23">
        <f>EXP(-LN(2)/2)*DH76+(1-EXP(-LN(2)/2))/(LN(2)/2)*DB77*DE77*VLOOKUP('Données projet'!$B$13,Paramètres!$A$1:$I$89,3,0)*0.475*44/12</f>
        <v>0.65339545030980439</v>
      </c>
      <c r="DI77" s="24">
        <f t="shared" si="69"/>
        <v>67.5911485607011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70">
        <f t="shared" si="56"/>
        <v>256.66666666666669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229.61</v>
      </c>
      <c r="L78" s="13">
        <f>VLOOKUP(A78,'Données projet'!$A$35:$I$55,9,0)</f>
        <v>7.3250000000000028</v>
      </c>
      <c r="M78" s="13">
        <f t="array" ref="M78">INDEX(L:L,MIN(IF(ISNUMBER(L78:L274),ROW(L78:L274),"")))</f>
        <v>7.3250000000000028</v>
      </c>
      <c r="N78" s="14">
        <f>IF('Données projet'!$A$36&gt;35,N77+M78-V77,IF(A78&lt;'Données projet'!$A$36,$K$205^A78,IF(A78='Données projet'!$A$36,'Données projet'!$B$36,N77+M78-V77)))</f>
        <v>229.60999999999996</v>
      </c>
      <c r="O78" s="14">
        <f>N78*VLOOKUP('Données projet'!$B$9,Paramètres!$A$1:$I$89,3,0)*VLOOKUP('Données projet'!$B$9,Paramètres!$A$1:$I$89,5,0)</f>
        <v>207.75112799999997</v>
      </c>
      <c r="P78" s="14">
        <f t="shared" si="87"/>
        <v>51.443843066664108</v>
      </c>
      <c r="Q78" s="22">
        <f t="shared" si="54"/>
        <v>451.43124127443997</v>
      </c>
      <c r="R78" s="62">
        <f t="shared" si="55"/>
        <v>744.76457460777328</v>
      </c>
      <c r="S78" s="62">
        <f ca="1">AVERAGE(OFFSET($R$3,0,0,'Données projet'!$E$9+1,1))-AVERAGE(OFFSET($H$3,0,0,'Données projet'!$E$9+1,1))</f>
        <v>441.6145113257511</v>
      </c>
      <c r="T78" s="62">
        <f t="shared" si="88"/>
        <v>295.8399381972477</v>
      </c>
      <c r="U78" s="16">
        <f>IF(ISNA(VLOOKUP(A78,'Données projet'!$A$35:$I$55,3,0)),0,VLOOKUP(A78,'Données projet'!$A$35:$I$55,3,0))</f>
        <v>5</v>
      </c>
      <c r="V78" s="16">
        <f>IF(ISNA(VLOOKUP(A78,'Données projet'!$A$35:$I$55,4,0)),0,VLOOKUP(A78,'Données projet'!$A$35:$I$55,4,0))</f>
        <v>39.54</v>
      </c>
      <c r="W78" s="17">
        <f>IF(ISNA(VLOOKUP(A78,'Données projet'!$A$35:$I$55,5,0)),0%,VLOOKUP(A78,'Données projet'!$A$35:$I$55,5,0)*VLOOKUP('Données projet'!$B$9,Paramètres!$A$1:$I$89,7,0))</f>
        <v>0.129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18.556497939692882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18.556497939692882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11.25925925925926</v>
      </c>
      <c r="AI78" s="14">
        <f>IF('Données projet'!$A$62&gt;35,AI77+AH78-AQ77,IF(A78&lt;'Données projet'!$A$62,$AF$205^A78,IF(A78='Données projet'!$A$62,'Données projet'!$B$62,AI77+AH78-AQ77)))</f>
        <v>536.11111111111097</v>
      </c>
      <c r="AJ78" s="14">
        <f>AI78*VLOOKUP('Données projet'!$B$10,Paramètres!$A$1:$I$89,3,0)*VLOOKUP('Données projet'!$B$10,Paramètres!$A$1:$I$89,5,0)</f>
        <v>459.98333333333329</v>
      </c>
      <c r="AK78" s="14">
        <f t="shared" si="89"/>
        <v>103.83672473855513</v>
      </c>
      <c r="AL78" s="22">
        <f t="shared" si="58"/>
        <v>981.98660114187214</v>
      </c>
      <c r="AM78" s="62">
        <f t="shared" si="59"/>
        <v>1275.3199344752054</v>
      </c>
      <c r="AN78" s="62">
        <f ca="1">AVERAGE(OFFSET($AM$3,0,0,'Données projet'!$E$10+1,1))-AVERAGE(OFFSET($H$3,0,0,'Données projet'!$E$10+1,1))</f>
        <v>623.31285537237943</v>
      </c>
      <c r="AO78" s="62">
        <f t="shared" si="90"/>
        <v>462.33909258902241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80.001582550143368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80.001582550143368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270</v>
      </c>
      <c r="BB78" s="13">
        <f>VLOOKUP(A78,'Données projet'!$A$87:$I$107,9,0)</f>
        <v>3.4</v>
      </c>
      <c r="BC78" s="13">
        <f t="array" ref="BC78">INDEX(BB:BB,MIN(IF(ISNUMBER(BB78:BB274),ROW(BB78:BB274),"")))</f>
        <v>3.4</v>
      </c>
      <c r="BD78" s="13">
        <f>IF('Données projet'!$A$88&gt;35,BD77+BC78-BL77,IF(A78&lt;'Données projet'!$A$88,$BA$205^A78,IF(A78='Données projet'!$A$88,'Données projet'!$B$88,BD77+BC78-BL77)))</f>
        <v>269.99999999999977</v>
      </c>
      <c r="BE78" s="14">
        <f>BD78*VLOOKUP('Données projet'!$B$11,Paramètres!$A$1:$I$89,3,0)*VLOOKUP('Données projet'!$B$11,Paramètres!$A$1:$I$89,5,0)</f>
        <v>214.81199999999981</v>
      </c>
      <c r="BF78" s="14">
        <f t="shared" si="91"/>
        <v>52.985738231738011</v>
      </c>
      <c r="BG78" s="22">
        <f t="shared" si="61"/>
        <v>466.41439408694333</v>
      </c>
      <c r="BH78" s="62">
        <f t="shared" si="62"/>
        <v>759.74772742027665</v>
      </c>
      <c r="BI78" s="62">
        <f ca="1">AVERAGE(OFFSET($BH$3,0,0,'Données projet'!$E$11+1,1))-AVERAGE(OFFSET($H$3,0,0,'Données projet'!$E$11+1,1))</f>
        <v>299.10536994156814</v>
      </c>
      <c r="BJ78" s="62">
        <f t="shared" si="92"/>
        <v>292.57799203101769</v>
      </c>
      <c r="BK78" s="16">
        <f>IF(ISNA(VLOOKUP(A78,'Données projet'!$A$87:$I$107,3,0)),0,VLOOKUP(A78,'Données projet'!$A$87:$I$107,3,0))</f>
        <v>13</v>
      </c>
      <c r="BL78" s="16">
        <f>IF(ISNA(VLOOKUP(A78,'Données projet'!$A$87:$I$107,4,0)),0,VLOOKUP(A78,'Données projet'!$A$87:$I$107,4,0))</f>
        <v>9</v>
      </c>
      <c r="BM78" s="17">
        <f>IF(ISNA(VLOOKUP(A78,'Données projet'!$A$87:$I$107,5,0)),0%,VLOOKUP(A78,'Données projet'!$A$87:$I$107,5,0)*VLOOKUP('Données projet'!$B$11,Paramètres!$A$1:$I$89,7,0))</f>
        <v>0.371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20.767937310103868</v>
      </c>
      <c r="BQ78" s="23">
        <f>EXP(-LN(2)/25)*BQ77+(1-EXP(-LN(2)/25))/(LN(2)/25)*Calculateur!BL78*Calculateur!BN78*VLOOKUP('Données projet'!$B$11,Paramètres!$A$1:$I$89,3,0)*0.475*44/12</f>
        <v>0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20.767937310103868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2.8421709430404007E-14</v>
      </c>
      <c r="BZ78" s="14">
        <f>BY78*VLOOKUP('Données projet'!$B$12,Paramètres!$A$1:$I$89,3,0)*VLOOKUP('Données projet'!$B$12,Paramètres!$A$1:$I$89,5,0)</f>
        <v>2.2168933355715127E-14</v>
      </c>
      <c r="CA78" s="14">
        <f t="shared" si="93"/>
        <v>3.9687356123668477E-13</v>
      </c>
      <c r="CB78" s="22">
        <f t="shared" si="64"/>
        <v>7.2983234474842979E-13</v>
      </c>
      <c r="CC78" s="62">
        <f t="shared" si="65"/>
        <v>293.33333333333405</v>
      </c>
      <c r="CD78" s="62">
        <f ca="1">AVERAGE(OFFSET($CC$3,0,0,'Données projet'!$E$12+1,1))-AVERAGE(OFFSET($H$3,0,0,'Données projet'!$E$12+1,1))</f>
        <v>197.51529454208725</v>
      </c>
      <c r="CE78" s="62">
        <f t="shared" si="94"/>
        <v>196.65362486387215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70.98295277366654</v>
      </c>
      <c r="CL78" s="23">
        <f>EXP(-LN(2)/25)*CL77+(1-EXP(-LN(2)/25))/(LN(2)/25)*Calculateur!CG78*Calculateur!CI78*VLOOKUP('Données projet'!$B$12,Paramètres!$A$1:$I$89,3,0)*0.475*44/12</f>
        <v>0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70.98295277366654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398</v>
      </c>
      <c r="CR78" s="13">
        <f>VLOOKUP(A78,'Données projet'!$A$139:$I$159,9,0)</f>
        <v>7.8</v>
      </c>
      <c r="CS78" s="13">
        <f t="array" ref="CS78">INDEX(CR:CR,MIN(IF(ISNUMBER(CR78:CR274),ROW(CR78:CR274),"")))</f>
        <v>7.8</v>
      </c>
      <c r="CT78" s="13">
        <f>IF('Données projet'!$A$140&gt;35,CT77+CS78-DB77,IF(A78&lt;'Données projet'!$A$140,$CQ$205^A78,IF(A78='Données projet'!$A$140,'Données projet'!$B$140,CT77+CS78-DB77)))</f>
        <v>397.99999999999994</v>
      </c>
      <c r="CU78" s="18">
        <f>CT78*VLOOKUP('Données projet'!$B$13,Paramètres!$A$1:$I$89,3,0)*VLOOKUP('Données projet'!$B$13,Paramètres!$A$1:$I$89,5,0)</f>
        <v>217.30799999999996</v>
      </c>
      <c r="CV78" s="14">
        <f t="shared" si="95"/>
        <v>53.529374233869042</v>
      </c>
      <c r="CW78" s="22">
        <f t="shared" si="67"/>
        <v>471.70842679065521</v>
      </c>
      <c r="CX78" s="62">
        <f t="shared" si="68"/>
        <v>765.04176012398852</v>
      </c>
      <c r="CY78" s="62">
        <f ca="1">AVERAGE(OFFSET($CX$3,0,0,'Données projet'!$E$13+1,1))-AVERAGE(OFFSET($H$3,0,0,'Données projet'!$E$13+1,1))</f>
        <v>303.14853302260451</v>
      </c>
      <c r="CZ78" s="62">
        <f t="shared" si="96"/>
        <v>298.74602928001929</v>
      </c>
      <c r="DA78" s="16">
        <f>IF(ISNA(VLOOKUP(A78,'Données projet'!$A$139:$I$159,3,0)),0,VLOOKUP(A78,'Données projet'!$A$139:$I$159,3,0))</f>
        <v>14</v>
      </c>
      <c r="DB78" s="16">
        <f>IF(ISNA(VLOOKUP(A78,'Données projet'!$A$139:$I$159,4,0)),0,VLOOKUP(A78,'Données projet'!$A$139:$I$159,4,0))</f>
        <v>26</v>
      </c>
      <c r="DC78" s="17">
        <f>IF(ISNA(VLOOKUP(A78,'Données projet'!$A$139:$I$159,5,0)),0%,VLOOKUP(A78,'Données projet'!$A$139:$I$159,5,0)*VLOOKUP('Données projet'!$B$13,Paramètres!$A$1:$I$89,7,0))</f>
        <v>0.48</v>
      </c>
      <c r="DD78" s="17">
        <f>IF(ISNA(VLOOKUP(A78,'Données projet'!$A$139:$I$159,6,0)),0%,VLOOKUP(A78,'Données projet'!$A$139:$I$159,6,0)*VLOOKUP('Données projet'!$B$13,Paramètres!$A$1:$I$89,7,0))</f>
        <v>6.6000000000000003E-2</v>
      </c>
      <c r="DE78" s="17">
        <f>IF(ISNA(VLOOKUP(A78,'Données projet'!$A$139:$I$159,7,0)),0%,VLOOKUP(A78,'Données projet'!$A$139:$I$159,7,0))</f>
        <v>0.09</v>
      </c>
      <c r="DF78" s="23">
        <f>EXP(-LN(2)/35)*DF77+(1-EXP(-LN(2)/35))/(LN(2)/35)*DB78*DC78*VLOOKUP('Données projet'!$B$13,Paramètres!$A$1:$I$89,3,0)*0.475*44/12</f>
        <v>52.634655291132965</v>
      </c>
      <c r="DG78" s="23">
        <f>EXP(-LN(2)/25)*DG77+(1-EXP(-LN(2)/25))/(LN(2)/25)*Calculateur!DB78*Calculateur!DD78*VLOOKUP('Données projet'!$B$13,Paramètres!$A$1:$I$89,3,0)*0.475*44/12</f>
        <v>23.093994114386074</v>
      </c>
      <c r="DH78" s="23">
        <f>EXP(-LN(2)/2)*DH77+(1-EXP(-LN(2)/2))/(LN(2)/2)*DB78*DE78*VLOOKUP('Données projet'!$B$13,Paramètres!$A$1:$I$89,3,0)*0.475*44/12</f>
        <v>1.9086056263222142</v>
      </c>
      <c r="DI78" s="24">
        <f t="shared" si="69"/>
        <v>77.637255031841249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70">
        <f t="shared" si="56"/>
        <v>256.66666666666669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7.0711111111111098</v>
      </c>
      <c r="N79" s="14">
        <f>IF('Données projet'!$A$36&gt;35,N78+M79-V78,IF(A79&lt;'Données projet'!$A$36,$K$205^A79,IF(A79='Données projet'!$A$36,'Données projet'!$B$36,N78+M79-V78)))</f>
        <v>197.14111111111109</v>
      </c>
      <c r="O79" s="14">
        <f>N79*VLOOKUP('Données projet'!$B$9,Paramètres!$A$1:$I$89,3,0)*VLOOKUP('Données projet'!$B$9,Paramètres!$A$1:$I$89,5,0)</f>
        <v>178.37327733333331</v>
      </c>
      <c r="P79" s="14">
        <f t="shared" si="87"/>
        <v>44.960079342354923</v>
      </c>
      <c r="Q79" s="22">
        <f t="shared" si="54"/>
        <v>388.97226287682361</v>
      </c>
      <c r="R79" s="62">
        <f t="shared" si="55"/>
        <v>682.30559621015686</v>
      </c>
      <c r="S79" s="62">
        <f ca="1">AVERAGE(OFFSET($R$3,0,0,'Données projet'!$E$9+1,1))-AVERAGE(OFFSET($H$3,0,0,'Données projet'!$E$9+1,1))</f>
        <v>441.6145113257511</v>
      </c>
      <c r="T79" s="62">
        <f t="shared" si="88"/>
        <v>295.8399381972477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18.192616333441652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18.192616333441652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11.25925925925926</v>
      </c>
      <c r="AI79" s="14">
        <f>IF('Données projet'!$A$62&gt;35,AI78+AH79-AQ78,IF(A79&lt;'Données projet'!$A$62,$AF$205^A79,IF(A79='Données projet'!$A$62,'Données projet'!$B$62,AI78+AH79-AQ78)))</f>
        <v>547.37037037037021</v>
      </c>
      <c r="AJ79" s="14">
        <f>AI79*VLOOKUP('Données projet'!$B$10,Paramètres!$A$1:$I$89,3,0)*VLOOKUP('Données projet'!$B$10,Paramètres!$A$1:$I$89,5,0)</f>
        <v>469.6437777777777</v>
      </c>
      <c r="AK79" s="14">
        <f t="shared" si="89"/>
        <v>105.76129887218715</v>
      </c>
      <c r="AL79" s="22">
        <f t="shared" si="58"/>
        <v>1002.1638418320221</v>
      </c>
      <c r="AM79" s="62">
        <f t="shared" si="59"/>
        <v>1295.4971751653554</v>
      </c>
      <c r="AN79" s="62">
        <f ca="1">AVERAGE(OFFSET($AM$3,0,0,'Données projet'!$E$10+1,1))-AVERAGE(OFFSET($H$3,0,0,'Données projet'!$E$10+1,1))</f>
        <v>623.31285537237943</v>
      </c>
      <c r="AO79" s="62">
        <f t="shared" si="90"/>
        <v>462.33909258902241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78.432800312482186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78.432800312482186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2.8</v>
      </c>
      <c r="BD79" s="13">
        <f>IF('Données projet'!$A$88&gt;35,BD78+BC79-BL78,IF(A79&lt;'Données projet'!$A$88,$BA$205^A79,IF(A79='Données projet'!$A$88,'Données projet'!$B$88,BD78+BC79-BL78)))</f>
        <v>263.79999999999978</v>
      </c>
      <c r="BE79" s="14">
        <f>BD79*VLOOKUP('Données projet'!$B$11,Paramètres!$A$1:$I$89,3,0)*VLOOKUP('Données projet'!$B$11,Paramètres!$A$1:$I$89,5,0)</f>
        <v>209.87927999999985</v>
      </c>
      <c r="BF79" s="14">
        <f t="shared" si="91"/>
        <v>51.909204458241767</v>
      </c>
      <c r="BG79" s="22">
        <f t="shared" si="61"/>
        <v>455.94827709810414</v>
      </c>
      <c r="BH79" s="62">
        <f t="shared" si="62"/>
        <v>749.28161043143746</v>
      </c>
      <c r="BI79" s="62">
        <f ca="1">AVERAGE(OFFSET($BH$3,0,0,'Données projet'!$E$11+1,1))-AVERAGE(OFFSET($H$3,0,0,'Données projet'!$E$11+1,1))</f>
        <v>299.10536994156814</v>
      </c>
      <c r="BJ79" s="62">
        <f t="shared" si="92"/>
        <v>292.57799203101769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20.36069072664371</v>
      </c>
      <c r="BQ79" s="23">
        <f>EXP(-LN(2)/25)*BQ78+(1-EXP(-LN(2)/25))/(LN(2)/25)*Calculateur!BL79*Calculateur!BN79*VLOOKUP('Données projet'!$B$11,Paramètres!$A$1:$I$89,3,0)*0.475*44/12</f>
        <v>0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20.36069072664371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2.8421709430404007E-14</v>
      </c>
      <c r="BZ79" s="14">
        <f>BY79*VLOOKUP('Données projet'!$B$12,Paramètres!$A$1:$I$89,3,0)*VLOOKUP('Données projet'!$B$12,Paramètres!$A$1:$I$89,5,0)</f>
        <v>2.2168933355715127E-14</v>
      </c>
      <c r="CA79" s="14">
        <f t="shared" si="93"/>
        <v>3.9687356123668477E-13</v>
      </c>
      <c r="CB79" s="22">
        <f t="shared" si="64"/>
        <v>7.2983234474842979E-13</v>
      </c>
      <c r="CC79" s="62">
        <f t="shared" si="65"/>
        <v>293.33333333333405</v>
      </c>
      <c r="CD79" s="62">
        <f ca="1">AVERAGE(OFFSET($CC$3,0,0,'Données projet'!$E$12+1,1))-AVERAGE(OFFSET($H$3,0,0,'Données projet'!$E$12+1,1))</f>
        <v>197.51529454208725</v>
      </c>
      <c r="CE79" s="62">
        <f t="shared" si="94"/>
        <v>196.65362486387215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69.591020365101073</v>
      </c>
      <c r="CL79" s="23">
        <f>EXP(-LN(2)/25)*CL78+(1-EXP(-LN(2)/25))/(LN(2)/25)*Calculateur!CG79*Calculateur!CI79*VLOOKUP('Données projet'!$B$12,Paramètres!$A$1:$I$89,3,0)*0.475*44/12</f>
        <v>0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69.591020365101073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7</v>
      </c>
      <c r="CT79" s="13">
        <f>IF('Données projet'!$A$140&gt;35,CT78+CS79-DB78,IF(A79&lt;'Données projet'!$A$140,$CQ$205^A79,IF(A79='Données projet'!$A$140,'Données projet'!$B$140,CT78+CS79-DB78)))</f>
        <v>378.99999999999994</v>
      </c>
      <c r="CU79" s="18">
        <f>CT79*VLOOKUP('Données projet'!$B$13,Paramètres!$A$1:$I$89,3,0)*VLOOKUP('Données projet'!$B$13,Paramètres!$A$1:$I$89,5,0)</f>
        <v>206.93399999999997</v>
      </c>
      <c r="CV79" s="14">
        <f t="shared" si="95"/>
        <v>51.265015130782835</v>
      </c>
      <c r="CW79" s="22">
        <f t="shared" si="67"/>
        <v>449.6966180194467</v>
      </c>
      <c r="CX79" s="62">
        <f t="shared" si="68"/>
        <v>743.02995135278002</v>
      </c>
      <c r="CY79" s="62">
        <f ca="1">AVERAGE(OFFSET($CX$3,0,0,'Données projet'!$E$13+1,1))-AVERAGE(OFFSET($H$3,0,0,'Données projet'!$E$13+1,1))</f>
        <v>303.14853302260451</v>
      </c>
      <c r="CZ79" s="62">
        <f t="shared" si="96"/>
        <v>298.74602928001929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51.602521804843569</v>
      </c>
      <c r="DG79" s="23">
        <f>EXP(-LN(2)/25)*DG78+(1-EXP(-LN(2)/25))/(LN(2)/25)*Calculateur!DB79*Calculateur!DD79*VLOOKUP('Données projet'!$B$13,Paramètres!$A$1:$I$89,3,0)*0.475*44/12</f>
        <v>22.46248763086782</v>
      </c>
      <c r="DH79" s="23">
        <f>EXP(-LN(2)/2)*DH78+(1-EXP(-LN(2)/2))/(LN(2)/2)*DB79*DE79*VLOOKUP('Données projet'!$B$13,Paramètres!$A$1:$I$89,3,0)*0.475*44/12</f>
        <v>1.3495879809832354</v>
      </c>
      <c r="DI79" s="24">
        <f t="shared" si="69"/>
        <v>75.414597416694619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70">
        <f t="shared" si="56"/>
        <v>256.66666666666669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7.0711111111111098</v>
      </c>
      <c r="N80" s="14">
        <f>IF('Données projet'!$A$36&gt;35,N79+M80-V79,IF(A80&lt;'Données projet'!$A$36,$K$205^A80,IF(A80='Données projet'!$A$36,'Données projet'!$B$36,N79+M80-V79)))</f>
        <v>204.21222222222221</v>
      </c>
      <c r="O80" s="14">
        <f>N80*VLOOKUP('Données projet'!$B$9,Paramètres!$A$1:$I$89,3,0)*VLOOKUP('Données projet'!$B$9,Paramètres!$A$1:$I$89,5,0)</f>
        <v>184.77121866666667</v>
      </c>
      <c r="P80" s="14">
        <f t="shared" si="87"/>
        <v>46.382072763296549</v>
      </c>
      <c r="Q80" s="22">
        <f t="shared" si="54"/>
        <v>402.59198257385259</v>
      </c>
      <c r="R80" s="62">
        <f t="shared" si="55"/>
        <v>695.9253159071859</v>
      </c>
      <c r="S80" s="62">
        <f ca="1">AVERAGE(OFFSET($R$3,0,0,'Données projet'!$E$9+1,1))-AVERAGE(OFFSET($H$3,0,0,'Données projet'!$E$9+1,1))</f>
        <v>441.6145113257511</v>
      </c>
      <c r="T80" s="62">
        <f t="shared" si="88"/>
        <v>295.8399381972477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17.835870223543147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17.835870223543147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11.25925925925926</v>
      </c>
      <c r="AI80" s="14">
        <f>IF('Données projet'!$A$62&gt;35,AI79+AH80-AQ79,IF(A80&lt;'Données projet'!$A$62,$AF$205^A80,IF(A80='Données projet'!$A$62,'Données projet'!$B$62,AI79+AH80-AQ79)))</f>
        <v>558.62962962962945</v>
      </c>
      <c r="AJ80" s="14">
        <f>AI80*VLOOKUP('Données projet'!$B$10,Paramètres!$A$1:$I$89,3,0)*VLOOKUP('Données projet'!$B$10,Paramètres!$A$1:$I$89,5,0)</f>
        <v>479.30422222222217</v>
      </c>
      <c r="AK80" s="14">
        <f t="shared" si="89"/>
        <v>107.68127013572482</v>
      </c>
      <c r="AL80" s="22">
        <f t="shared" si="58"/>
        <v>1022.3330658567578</v>
      </c>
      <c r="AM80" s="62">
        <f t="shared" si="59"/>
        <v>1315.6663991900912</v>
      </c>
      <c r="AN80" s="62">
        <f ca="1">AVERAGE(OFFSET($AM$3,0,0,'Données projet'!$E$10+1,1))-AVERAGE(OFFSET($H$3,0,0,'Données projet'!$E$10+1,1))</f>
        <v>623.31285537237943</v>
      </c>
      <c r="AO80" s="62">
        <f t="shared" si="90"/>
        <v>462.33909258902241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76.89478093763887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76.89478093763887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2.8</v>
      </c>
      <c r="BD80" s="13">
        <f>IF('Données projet'!$A$88&gt;35,BD79+BC80-BL79,IF(A80&lt;'Données projet'!$A$88,$BA$205^A80,IF(A80='Données projet'!$A$88,'Données projet'!$B$88,BD79+BC80-BL79)))</f>
        <v>266.5999999999998</v>
      </c>
      <c r="BE80" s="14">
        <f>BD80*VLOOKUP('Données projet'!$B$11,Paramètres!$A$1:$I$89,3,0)*VLOOKUP('Données projet'!$B$11,Paramètres!$A$1:$I$89,5,0)</f>
        <v>212.10695999999984</v>
      </c>
      <c r="BF80" s="14">
        <f t="shared" si="91"/>
        <v>52.395741612408194</v>
      </c>
      <c r="BG80" s="22">
        <f t="shared" si="61"/>
        <v>460.67553864161067</v>
      </c>
      <c r="BH80" s="62">
        <f t="shared" si="62"/>
        <v>754.00887197494399</v>
      </c>
      <c r="BI80" s="62">
        <f ca="1">AVERAGE(OFFSET($BH$3,0,0,'Données projet'!$E$11+1,1))-AVERAGE(OFFSET($H$3,0,0,'Données projet'!$E$11+1,1))</f>
        <v>299.10536994156814</v>
      </c>
      <c r="BJ80" s="62">
        <f t="shared" si="92"/>
        <v>292.57799203101769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19.961430000289315</v>
      </c>
      <c r="BQ80" s="23">
        <f>EXP(-LN(2)/25)*BQ79+(1-EXP(-LN(2)/25))/(LN(2)/25)*Calculateur!BL80*Calculateur!BN80*VLOOKUP('Données projet'!$B$11,Paramètres!$A$1:$I$89,3,0)*0.475*44/12</f>
        <v>0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19.961430000289315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2.8421709430404007E-14</v>
      </c>
      <c r="BZ80" s="14">
        <f>BY80*VLOOKUP('Données projet'!$B$12,Paramètres!$A$1:$I$89,3,0)*VLOOKUP('Données projet'!$B$12,Paramètres!$A$1:$I$89,5,0)</f>
        <v>2.2168933355715127E-14</v>
      </c>
      <c r="CA80" s="14">
        <f t="shared" si="93"/>
        <v>3.9687356123668477E-13</v>
      </c>
      <c r="CB80" s="22">
        <f t="shared" si="64"/>
        <v>7.2983234474842979E-13</v>
      </c>
      <c r="CC80" s="62">
        <f t="shared" si="65"/>
        <v>293.33333333333405</v>
      </c>
      <c r="CD80" s="62">
        <f ca="1">AVERAGE(OFFSET($CC$3,0,0,'Données projet'!$E$12+1,1))-AVERAGE(OFFSET($H$3,0,0,'Données projet'!$E$12+1,1))</f>
        <v>197.51529454208725</v>
      </c>
      <c r="CE80" s="62">
        <f t="shared" si="94"/>
        <v>196.65362486387215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68.226382902072643</v>
      </c>
      <c r="CL80" s="23">
        <f>EXP(-LN(2)/25)*CL79+(1-EXP(-LN(2)/25))/(LN(2)/25)*Calculateur!CG80*Calculateur!CI80*VLOOKUP('Données projet'!$B$12,Paramètres!$A$1:$I$89,3,0)*0.475*44/12</f>
        <v>0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68.226382902072643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7</v>
      </c>
      <c r="CT80" s="13">
        <f>IF('Données projet'!$A$140&gt;35,CT79+CS80-DB79,IF(A80&lt;'Données projet'!$A$140,$CQ$205^A80,IF(A80='Données projet'!$A$140,'Données projet'!$B$140,CT79+CS80-DB79)))</f>
        <v>385.99999999999994</v>
      </c>
      <c r="CU80" s="18">
        <f>CT80*VLOOKUP('Données projet'!$B$13,Paramètres!$A$1:$I$89,3,0)*VLOOKUP('Données projet'!$B$13,Paramètres!$A$1:$I$89,5,0)</f>
        <v>210.75599999999997</v>
      </c>
      <c r="CV80" s="14">
        <f t="shared" si="95"/>
        <v>52.100756151511106</v>
      </c>
      <c r="CW80" s="22">
        <f t="shared" si="67"/>
        <v>457.80885029721509</v>
      </c>
      <c r="CX80" s="62">
        <f t="shared" si="68"/>
        <v>751.1421836305484</v>
      </c>
      <c r="CY80" s="62">
        <f ca="1">AVERAGE(OFFSET($CX$3,0,0,'Données projet'!$E$13+1,1))-AVERAGE(OFFSET($H$3,0,0,'Données projet'!$E$13+1,1))</f>
        <v>303.14853302260451</v>
      </c>
      <c r="CZ80" s="62">
        <f t="shared" si="96"/>
        <v>298.74602928001929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50.590627826681043</v>
      </c>
      <c r="DG80" s="23">
        <f>EXP(-LN(2)/25)*DG79+(1-EXP(-LN(2)/25))/(LN(2)/25)*Calculateur!DB80*Calculateur!DD80*VLOOKUP('Données projet'!$B$13,Paramètres!$A$1:$I$89,3,0)*0.475*44/12</f>
        <v>21.848249725350854</v>
      </c>
      <c r="DH80" s="23">
        <f>EXP(-LN(2)/2)*DH79+(1-EXP(-LN(2)/2))/(LN(2)/2)*DB80*DE80*VLOOKUP('Données projet'!$B$13,Paramètres!$A$1:$I$89,3,0)*0.475*44/12</f>
        <v>0.95430281316110721</v>
      </c>
      <c r="DI80" s="24">
        <f t="shared" si="69"/>
        <v>73.393180365193004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70">
        <f t="shared" si="56"/>
        <v>256.66666666666669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7.0711111111111098</v>
      </c>
      <c r="N81" s="14">
        <f>IF('Données projet'!$A$36&gt;35,N80+M81-V80,IF(A81&lt;'Données projet'!$A$36,$K$205^A81,IF(A81='Données projet'!$A$36,'Données projet'!$B$36,N80+M81-V80)))</f>
        <v>211.28333333333333</v>
      </c>
      <c r="O81" s="14">
        <f>N81*VLOOKUP('Données projet'!$B$9,Paramètres!$A$1:$I$89,3,0)*VLOOKUP('Données projet'!$B$9,Paramètres!$A$1:$I$89,5,0)</f>
        <v>191.16916000000001</v>
      </c>
      <c r="P81" s="14">
        <f t="shared" si="87"/>
        <v>47.798345166860187</v>
      </c>
      <c r="Q81" s="22">
        <f t="shared" si="54"/>
        <v>416.20173816561481</v>
      </c>
      <c r="R81" s="62">
        <f t="shared" si="55"/>
        <v>709.53507149894813</v>
      </c>
      <c r="S81" s="62">
        <f ca="1">AVERAGE(OFFSET($R$3,0,0,'Données projet'!$E$9+1,1))-AVERAGE(OFFSET($H$3,0,0,'Données projet'!$E$9+1,1))</f>
        <v>441.6145113257511</v>
      </c>
      <c r="T81" s="62">
        <f t="shared" si="88"/>
        <v>295.8399381972477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17.486119687266108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17.486119687266108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11.25925925925926</v>
      </c>
      <c r="AI81" s="14">
        <f>IF('Données projet'!$A$62&gt;35,AI80+AH81-AQ80,IF(A81&lt;'Données projet'!$A$62,$AF$205^A81,IF(A81='Données projet'!$A$62,'Données projet'!$B$62,AI80+AH81-AQ80)))</f>
        <v>569.88888888888869</v>
      </c>
      <c r="AJ81" s="14">
        <f>AI81*VLOOKUP('Données projet'!$B$10,Paramètres!$A$1:$I$89,3,0)*VLOOKUP('Données projet'!$B$10,Paramètres!$A$1:$I$89,5,0)</f>
        <v>488.96466666666657</v>
      </c>
      <c r="AK81" s="14">
        <f t="shared" si="89"/>
        <v>109.59674199201186</v>
      </c>
      <c r="AL81" s="22">
        <f t="shared" si="58"/>
        <v>1042.4944534138647</v>
      </c>
      <c r="AM81" s="62">
        <f t="shared" si="59"/>
        <v>1335.8277867471979</v>
      </c>
      <c r="AN81" s="62">
        <f ca="1">AVERAGE(OFFSET($AM$3,0,0,'Données projet'!$E$10+1,1))-AVERAGE(OFFSET($H$3,0,0,'Données projet'!$E$10+1,1))</f>
        <v>623.31285537237943</v>
      </c>
      <c r="AO81" s="62">
        <f t="shared" si="90"/>
        <v>462.33909258902241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75.386921184637032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75.386921184637032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2.8</v>
      </c>
      <c r="BD81" s="13">
        <f>IF('Données projet'!$A$88&gt;35,BD80+BC81-BL80,IF(A81&lt;'Données projet'!$A$88,$BA$205^A81,IF(A81='Données projet'!$A$88,'Données projet'!$B$88,BD80+BC81-BL80)))</f>
        <v>269.39999999999981</v>
      </c>
      <c r="BE81" s="14">
        <f>BD81*VLOOKUP('Données projet'!$B$11,Paramètres!$A$1:$I$89,3,0)*VLOOKUP('Données projet'!$B$11,Paramètres!$A$1:$I$89,5,0)</f>
        <v>214.33463999999984</v>
      </c>
      <c r="BF81" s="14">
        <f t="shared" si="91"/>
        <v>52.881684324030282</v>
      </c>
      <c r="BG81" s="22">
        <f t="shared" si="61"/>
        <v>465.40176486435234</v>
      </c>
      <c r="BH81" s="62">
        <f t="shared" si="62"/>
        <v>758.7350981976856</v>
      </c>
      <c r="BI81" s="62">
        <f ca="1">AVERAGE(OFFSET($BH$3,0,0,'Données projet'!$E$11+1,1))-AVERAGE(OFFSET($H$3,0,0,'Données projet'!$E$11+1,1))</f>
        <v>299.10536994156814</v>
      </c>
      <c r="BJ81" s="62">
        <f t="shared" si="92"/>
        <v>292.57799203101769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19.569998533253735</v>
      </c>
      <c r="BQ81" s="23">
        <f>EXP(-LN(2)/25)*BQ80+(1-EXP(-LN(2)/25))/(LN(2)/25)*Calculateur!BL81*Calculateur!BN81*VLOOKUP('Données projet'!$B$11,Paramètres!$A$1:$I$89,3,0)*0.475*44/12</f>
        <v>0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19.569998533253735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2.8421709430404007E-14</v>
      </c>
      <c r="BZ81" s="14">
        <f>BY81*VLOOKUP('Données projet'!$B$12,Paramètres!$A$1:$I$89,3,0)*VLOOKUP('Données projet'!$B$12,Paramètres!$A$1:$I$89,5,0)</f>
        <v>2.2168933355715127E-14</v>
      </c>
      <c r="CA81" s="14">
        <f t="shared" si="93"/>
        <v>3.9687356123668477E-13</v>
      </c>
      <c r="CB81" s="22">
        <f t="shared" si="64"/>
        <v>7.2983234474842979E-13</v>
      </c>
      <c r="CC81" s="62">
        <f t="shared" si="65"/>
        <v>293.33333333333405</v>
      </c>
      <c r="CD81" s="62">
        <f ca="1">AVERAGE(OFFSET($CC$3,0,0,'Données projet'!$E$12+1,1))-AVERAGE(OFFSET($H$3,0,0,'Données projet'!$E$12+1,1))</f>
        <v>197.51529454208725</v>
      </c>
      <c r="CE81" s="62">
        <f t="shared" si="94"/>
        <v>196.65362486387215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66.88850514734753</v>
      </c>
      <c r="CL81" s="23">
        <f>EXP(-LN(2)/25)*CL80+(1-EXP(-LN(2)/25))/(LN(2)/25)*Calculateur!CG81*Calculateur!CI81*VLOOKUP('Données projet'!$B$12,Paramètres!$A$1:$I$89,3,0)*0.475*44/12</f>
        <v>0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66.88850514734753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7</v>
      </c>
      <c r="CT81" s="13">
        <f>IF('Données projet'!$A$140&gt;35,CT80+CS81-DB80,IF(A81&lt;'Données projet'!$A$140,$CQ$205^A81,IF(A81='Données projet'!$A$140,'Données projet'!$B$140,CT80+CS81-DB80)))</f>
        <v>392.99999999999994</v>
      </c>
      <c r="CU81" s="18">
        <f>CT81*VLOOKUP('Données projet'!$B$13,Paramètres!$A$1:$I$89,3,0)*VLOOKUP('Données projet'!$B$13,Paramètres!$A$1:$I$89,5,0)</f>
        <v>214.57799999999997</v>
      </c>
      <c r="CV81" s="14">
        <f t="shared" si="95"/>
        <v>52.934734781064783</v>
      </c>
      <c r="CW81" s="22">
        <f t="shared" si="67"/>
        <v>465.91801307702104</v>
      </c>
      <c r="CX81" s="62">
        <f t="shared" si="68"/>
        <v>759.25134641035436</v>
      </c>
      <c r="CY81" s="62">
        <f ca="1">AVERAGE(OFFSET($CX$3,0,0,'Données projet'!$E$13+1,1))-AVERAGE(OFFSET($H$3,0,0,'Données projet'!$E$13+1,1))</f>
        <v>303.14853302260451</v>
      </c>
      <c r="CZ81" s="62">
        <f t="shared" si="96"/>
        <v>298.74602928001929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49.598576472235905</v>
      </c>
      <c r="DG81" s="23">
        <f>EXP(-LN(2)/25)*DG80+(1-EXP(-LN(2)/25))/(LN(2)/25)*Calculateur!DB81*Calculateur!DD81*VLOOKUP('Données projet'!$B$13,Paramètres!$A$1:$I$89,3,0)*0.475*44/12</f>
        <v>21.250808187661615</v>
      </c>
      <c r="DH81" s="23">
        <f>EXP(-LN(2)/2)*DH80+(1-EXP(-LN(2)/2))/(LN(2)/2)*DB81*DE81*VLOOKUP('Données projet'!$B$13,Paramètres!$A$1:$I$89,3,0)*0.475*44/12</f>
        <v>0.67479399049161781</v>
      </c>
      <c r="DI81" s="24">
        <f t="shared" si="69"/>
        <v>71.524178650389146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70">
        <f t="shared" si="56"/>
        <v>256.66666666666669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7.0711111111111098</v>
      </c>
      <c r="N82" s="14">
        <f>IF('Données projet'!$A$36&gt;35,N81+M82-V81,IF(A82&lt;'Données projet'!$A$36,$K$205^A82,IF(A82='Données projet'!$A$36,'Données projet'!$B$36,N81+M82-V81)))</f>
        <v>218.35444444444445</v>
      </c>
      <c r="O82" s="14">
        <f>N82*VLOOKUP('Données projet'!$B$9,Paramètres!$A$1:$I$89,3,0)*VLOOKUP('Données projet'!$B$9,Paramètres!$A$1:$I$89,5,0)</f>
        <v>197.56710133333334</v>
      </c>
      <c r="P82" s="14">
        <f t="shared" si="87"/>
        <v>49.209109972785043</v>
      </c>
      <c r="Q82" s="22">
        <f t="shared" si="54"/>
        <v>429.80190135815616</v>
      </c>
      <c r="R82" s="62">
        <f t="shared" si="55"/>
        <v>723.13523469148947</v>
      </c>
      <c r="S82" s="62">
        <f ca="1">AVERAGE(OFFSET($R$3,0,0,'Données projet'!$E$9+1,1))-AVERAGE(OFFSET($H$3,0,0,'Données projet'!$E$9+1,1))</f>
        <v>441.6145113257511</v>
      </c>
      <c r="T82" s="62">
        <f t="shared" si="88"/>
        <v>295.8399381972477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17.143227545678698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17.143227545678698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11.25925925925926</v>
      </c>
      <c r="AI82" s="14">
        <f>IF('Données projet'!$A$62&gt;35,AI81+AH82-AQ81,IF(A82&lt;'Données projet'!$A$62,$AF$205^A82,IF(A82='Données projet'!$A$62,'Données projet'!$B$62,AI81+AH82-AQ81)))</f>
        <v>581.14814814814792</v>
      </c>
      <c r="AJ82" s="14">
        <f>AI82*VLOOKUP('Données projet'!$B$10,Paramètres!$A$1:$I$89,3,0)*VLOOKUP('Données projet'!$B$10,Paramètres!$A$1:$I$89,5,0)</f>
        <v>498.62511111111098</v>
      </c>
      <c r="AK82" s="14">
        <f t="shared" si="89"/>
        <v>111.50781358186703</v>
      </c>
      <c r="AL82" s="22">
        <f t="shared" si="58"/>
        <v>1062.6481771736035</v>
      </c>
      <c r="AM82" s="62">
        <f t="shared" si="59"/>
        <v>1355.9815105069367</v>
      </c>
      <c r="AN82" s="62">
        <f ca="1">AVERAGE(OFFSET($AM$3,0,0,'Données projet'!$E$10+1,1))-AVERAGE(OFFSET($H$3,0,0,'Données projet'!$E$10+1,1))</f>
        <v>623.31285537237943</v>
      </c>
      <c r="AO82" s="62">
        <f t="shared" si="90"/>
        <v>462.33909258902241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73.908629641687924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73.908629641687924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2.8</v>
      </c>
      <c r="BD82" s="13">
        <f>IF('Données projet'!$A$88&gt;35,BD81+BC82-BL81,IF(A82&lt;'Données projet'!$A$88,$BA$205^A82,IF(A82='Données projet'!$A$88,'Données projet'!$B$88,BD81+BC82-BL81)))</f>
        <v>272.19999999999982</v>
      </c>
      <c r="BE82" s="14">
        <f>BD82*VLOOKUP('Données projet'!$B$11,Paramètres!$A$1:$I$89,3,0)*VLOOKUP('Données projet'!$B$11,Paramètres!$A$1:$I$89,5,0)</f>
        <v>216.56231999999989</v>
      </c>
      <c r="BF82" s="14">
        <f t="shared" si="91"/>
        <v>53.367039486661959</v>
      </c>
      <c r="BG82" s="22">
        <f t="shared" si="61"/>
        <v>470.12696777260271</v>
      </c>
      <c r="BH82" s="62">
        <f t="shared" si="62"/>
        <v>763.46030110593597</v>
      </c>
      <c r="BI82" s="62">
        <f ca="1">AVERAGE(OFFSET($BH$3,0,0,'Données projet'!$E$11+1,1))-AVERAGE(OFFSET($H$3,0,0,'Données projet'!$E$11+1,1))</f>
        <v>299.10536994156814</v>
      </c>
      <c r="BJ82" s="62">
        <f t="shared" si="92"/>
        <v>292.57799203101769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19.186242798537101</v>
      </c>
      <c r="BQ82" s="23">
        <f>EXP(-LN(2)/25)*BQ81+(1-EXP(-LN(2)/25))/(LN(2)/25)*Calculateur!BL82*Calculateur!BN82*VLOOKUP('Données projet'!$B$11,Paramètres!$A$1:$I$89,3,0)*0.475*44/12</f>
        <v>0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19.186242798537101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2.8421709430404007E-14</v>
      </c>
      <c r="BZ82" s="14">
        <f>BY82*VLOOKUP('Données projet'!$B$12,Paramètres!$A$1:$I$89,3,0)*VLOOKUP('Données projet'!$B$12,Paramètres!$A$1:$I$89,5,0)</f>
        <v>2.2168933355715127E-14</v>
      </c>
      <c r="CA82" s="14">
        <f t="shared" si="93"/>
        <v>3.9687356123668477E-13</v>
      </c>
      <c r="CB82" s="22">
        <f t="shared" si="64"/>
        <v>7.2983234474842979E-13</v>
      </c>
      <c r="CC82" s="62">
        <f t="shared" si="65"/>
        <v>293.33333333333405</v>
      </c>
      <c r="CD82" s="62">
        <f ca="1">AVERAGE(OFFSET($CC$3,0,0,'Données projet'!$E$12+1,1))-AVERAGE(OFFSET($H$3,0,0,'Données projet'!$E$12+1,1))</f>
        <v>197.51529454208725</v>
      </c>
      <c r="CE82" s="62">
        <f t="shared" si="94"/>
        <v>196.65362486387215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65.576862359367723</v>
      </c>
      <c r="CL82" s="23">
        <f>EXP(-LN(2)/25)*CL81+(1-EXP(-LN(2)/25))/(LN(2)/25)*Calculateur!CG82*Calculateur!CI82*VLOOKUP('Données projet'!$B$12,Paramètres!$A$1:$I$89,3,0)*0.475*44/12</f>
        <v>0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65.576862359367723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7</v>
      </c>
      <c r="CT82" s="13">
        <f>IF('Données projet'!$A$140&gt;35,CT81+CS82-DB81,IF(A82&lt;'Données projet'!$A$140,$CQ$205^A82,IF(A82='Données projet'!$A$140,'Données projet'!$B$140,CT81+CS82-DB81)))</f>
        <v>399.99999999999994</v>
      </c>
      <c r="CU82" s="18">
        <f>CT82*VLOOKUP('Données projet'!$B$13,Paramètres!$A$1:$I$89,3,0)*VLOOKUP('Données projet'!$B$13,Paramètres!$A$1:$I$89,5,0)</f>
        <v>218.39999999999998</v>
      </c>
      <c r="CV82" s="14">
        <f t="shared" si="95"/>
        <v>53.76698603199852</v>
      </c>
      <c r="CW82" s="22">
        <f t="shared" si="67"/>
        <v>474.02416733906398</v>
      </c>
      <c r="CX82" s="62">
        <f t="shared" si="68"/>
        <v>767.35750067239724</v>
      </c>
      <c r="CY82" s="62">
        <f ca="1">AVERAGE(OFFSET($CX$3,0,0,'Données projet'!$E$13+1,1))-AVERAGE(OFFSET($H$3,0,0,'Données projet'!$E$13+1,1))</f>
        <v>303.14853302260451</v>
      </c>
      <c r="CZ82" s="62">
        <f t="shared" si="96"/>
        <v>298.74602928001929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48.625978639759857</v>
      </c>
      <c r="DG82" s="23">
        <f>EXP(-LN(2)/25)*DG81+(1-EXP(-LN(2)/25))/(LN(2)/25)*Calculateur!DB82*Calculateur!DD82*VLOOKUP('Données projet'!$B$13,Paramètres!$A$1:$I$89,3,0)*0.475*44/12</f>
        <v>20.669703720238576</v>
      </c>
      <c r="DH82" s="23">
        <f>EXP(-LN(2)/2)*DH81+(1-EXP(-LN(2)/2))/(LN(2)/2)*DB82*DE82*VLOOKUP('Données projet'!$B$13,Paramètres!$A$1:$I$89,3,0)*0.475*44/12</f>
        <v>0.47715140658055366</v>
      </c>
      <c r="DI82" s="24">
        <f t="shared" si="69"/>
        <v>69.772833766578998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70">
        <f t="shared" si="56"/>
        <v>256.66666666666669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7.0711111111111098</v>
      </c>
      <c r="N83" s="14">
        <f>IF('Données projet'!$A$36&gt;35,N82+M83-V82,IF(A83&lt;'Données projet'!$A$36,$K$205^A83,IF(A83='Données projet'!$A$36,'Données projet'!$B$36,N82+M83-V82)))</f>
        <v>225.42555555555558</v>
      </c>
      <c r="O83" s="14">
        <f>N83*VLOOKUP('Données projet'!$B$9,Paramètres!$A$1:$I$89,3,0)*VLOOKUP('Données projet'!$B$9,Paramètres!$A$1:$I$89,5,0)</f>
        <v>203.96504266666668</v>
      </c>
      <c r="P83" s="14">
        <f t="shared" si="87"/>
        <v>50.614565993497123</v>
      </c>
      <c r="Q83" s="22">
        <f t="shared" si="54"/>
        <v>443.39281841645192</v>
      </c>
      <c r="R83" s="62">
        <f t="shared" si="55"/>
        <v>736.72615174978523</v>
      </c>
      <c r="S83" s="62">
        <f ca="1">AVERAGE(OFFSET($R$3,0,0,'Données projet'!$E$9+1,1))-AVERAGE(OFFSET($H$3,0,0,'Données projet'!$E$9+1,1))</f>
        <v>441.6145113257511</v>
      </c>
      <c r="T83" s="62">
        <f t="shared" si="88"/>
        <v>295.8399381972477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16.807059309844263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16.807059309844263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11.25925925925926</v>
      </c>
      <c r="AI83" s="14">
        <f>IF('Données projet'!$A$62&gt;35,AI82+AH83-AQ82,IF(A83&lt;'Données projet'!$A$62,$AF$205^A83,IF(A83='Données projet'!$A$62,'Données projet'!$B$62,AI82+AH83-AQ82)))</f>
        <v>592.40740740740716</v>
      </c>
      <c r="AJ83" s="14">
        <f>AI83*VLOOKUP('Données projet'!$B$10,Paramètres!$A$1:$I$89,3,0)*VLOOKUP('Données projet'!$B$10,Paramètres!$A$1:$I$89,5,0)</f>
        <v>508.28555555555539</v>
      </c>
      <c r="AK83" s="14">
        <f t="shared" si="89"/>
        <v>113.41457998480946</v>
      </c>
      <c r="AL83" s="22">
        <f t="shared" si="58"/>
        <v>1082.7944027328019</v>
      </c>
      <c r="AM83" s="62">
        <f t="shared" si="59"/>
        <v>1376.1277360661352</v>
      </c>
      <c r="AN83" s="62">
        <f ca="1">AVERAGE(OFFSET($AM$3,0,0,'Données projet'!$E$10+1,1))-AVERAGE(OFFSET($H$3,0,0,'Données projet'!$E$10+1,1))</f>
        <v>623.31285537237943</v>
      </c>
      <c r="AO83" s="62">
        <f t="shared" si="90"/>
        <v>462.33909258902241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72.459326494227241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72.459326494227241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275</v>
      </c>
      <c r="BB83" s="13">
        <f>VLOOKUP(A83,'Données projet'!$A$87:$I$107,9,0)</f>
        <v>2.8</v>
      </c>
      <c r="BC83" s="13">
        <f t="array" ref="BC83">INDEX(BB:BB,MIN(IF(ISNUMBER(BB83:BB279),ROW(BB83:BB279),"")))</f>
        <v>2.8</v>
      </c>
      <c r="BD83" s="13">
        <f>IF('Données projet'!$A$88&gt;35,BD82+BC83-BL82,IF(A83&lt;'Données projet'!$A$88,$BA$205^A83,IF(A83='Données projet'!$A$88,'Données projet'!$B$88,BD82+BC83-BL82)))</f>
        <v>274.99999999999983</v>
      </c>
      <c r="BE83" s="14">
        <f>BD83*VLOOKUP('Données projet'!$B$11,Paramètres!$A$1:$I$89,3,0)*VLOOKUP('Données projet'!$B$11,Paramètres!$A$1:$I$89,5,0)</f>
        <v>218.78999999999988</v>
      </c>
      <c r="BF83" s="14">
        <f t="shared" si="91"/>
        <v>53.851813843863468</v>
      </c>
      <c r="BG83" s="22">
        <f t="shared" si="61"/>
        <v>474.85115911139536</v>
      </c>
      <c r="BH83" s="62">
        <f t="shared" si="62"/>
        <v>768.18449244472868</v>
      </c>
      <c r="BI83" s="62">
        <f ca="1">AVERAGE(OFFSET($BH$3,0,0,'Données projet'!$E$11+1,1))-AVERAGE(OFFSET($H$3,0,0,'Données projet'!$E$11+1,1))</f>
        <v>299.10536994156814</v>
      </c>
      <c r="BJ83" s="62">
        <f t="shared" si="92"/>
        <v>292.57799203101769</v>
      </c>
      <c r="BK83" s="16">
        <f>IF(ISNA(VLOOKUP(A83,'Données projet'!$A$87:$I$107,3,0)),0,VLOOKUP(A83,'Données projet'!$A$87:$I$107,3,0))</f>
        <v>14</v>
      </c>
      <c r="BL83" s="23">
        <f>IF(ISNA(VLOOKUP(A83,'Données projet'!$A$87:$I$107,4,0)),0,VLOOKUP(A83,'Données projet'!$A$87:$I$107,4,0))</f>
        <v>275</v>
      </c>
      <c r="BM83" s="17">
        <f>IF(ISNA(VLOOKUP(A83,'Données projet'!$A$87:$I$107,5,0)),0%,VLOOKUP(A83,'Données projet'!$A$87:$I$107,5,0)*VLOOKUP('Données projet'!$B$11,Paramètres!$A$1:$I$89,7,0))</f>
        <v>0.42400000000000004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121.36113875902838</v>
      </c>
      <c r="BQ83" s="23">
        <f>EXP(-LN(2)/25)*BQ82+(1-EXP(-LN(2)/25))/(LN(2)/25)*Calculateur!BL83*Calculateur!BN83*VLOOKUP('Données projet'!$B$11,Paramètres!$A$1:$I$89,3,0)*0.475*44/12</f>
        <v>0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121.36113875902838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2.8421709430404007E-14</v>
      </c>
      <c r="BZ83" s="14">
        <f>BY83*VLOOKUP('Données projet'!$B$12,Paramètres!$A$1:$I$89,3,0)*VLOOKUP('Données projet'!$B$12,Paramètres!$A$1:$I$89,5,0)</f>
        <v>2.2168933355715127E-14</v>
      </c>
      <c r="CA83" s="14">
        <f t="shared" si="93"/>
        <v>3.9687356123668477E-13</v>
      </c>
      <c r="CB83" s="22">
        <f t="shared" si="64"/>
        <v>7.2983234474842979E-13</v>
      </c>
      <c r="CC83" s="62">
        <f t="shared" si="65"/>
        <v>293.33333333333405</v>
      </c>
      <c r="CD83" s="62">
        <f ca="1">AVERAGE(OFFSET($CC$3,0,0,'Données projet'!$E$12+1,1))-AVERAGE(OFFSET($H$3,0,0,'Données projet'!$E$12+1,1))</f>
        <v>197.51529454208725</v>
      </c>
      <c r="CE83" s="62">
        <f t="shared" si="94"/>
        <v>196.65362486387215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64.290940086437089</v>
      </c>
      <c r="CL83" s="23">
        <f>EXP(-LN(2)/25)*CL82+(1-EXP(-LN(2)/25))/(LN(2)/25)*Calculateur!CG83*Calculateur!CI83*VLOOKUP('Données projet'!$B$12,Paramètres!$A$1:$I$89,3,0)*0.475*44/12</f>
        <v>0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64.290940086437089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407</v>
      </c>
      <c r="CR83" s="13">
        <f>VLOOKUP(A83,'Données projet'!$A$139:$I$159,9,0)</f>
        <v>7</v>
      </c>
      <c r="CS83" s="13">
        <f t="array" ref="CS83">INDEX(CR:CR,MIN(IF(ISNUMBER(CR83:CR279),ROW(CR83:CR279),"")))</f>
        <v>7</v>
      </c>
      <c r="CT83" s="13">
        <f>IF('Données projet'!$A$140&gt;35,CT82+CS83-DB82,IF(A83&lt;'Données projet'!$A$140,$CQ$205^A83,IF(A83='Données projet'!$A$140,'Données projet'!$B$140,CT82+CS83-DB82)))</f>
        <v>406.99999999999994</v>
      </c>
      <c r="CU83" s="18">
        <f>CT83*VLOOKUP('Données projet'!$B$13,Paramètres!$A$1:$I$89,3,0)*VLOOKUP('Données projet'!$B$13,Paramètres!$A$1:$I$89,5,0)</f>
        <v>222.22199999999998</v>
      </c>
      <c r="CV83" s="14">
        <f t="shared" si="95"/>
        <v>54.597543621228866</v>
      </c>
      <c r="CW83" s="22">
        <f t="shared" si="67"/>
        <v>482.12737180697349</v>
      </c>
      <c r="CX83" s="62">
        <f t="shared" si="68"/>
        <v>775.4607051403068</v>
      </c>
      <c r="CY83" s="62">
        <f ca="1">AVERAGE(OFFSET($CX$3,0,0,'Données projet'!$E$13+1,1))-AVERAGE(OFFSET($H$3,0,0,'Données projet'!$E$13+1,1))</f>
        <v>303.14853302260451</v>
      </c>
      <c r="CZ83" s="62">
        <f t="shared" si="96"/>
        <v>298.74602928001929</v>
      </c>
      <c r="DA83" s="16">
        <f>IF(ISNA(VLOOKUP(A83,'Données projet'!$A$139:$I$159,3,0)),0,VLOOKUP(A83,'Données projet'!$A$139:$I$159,3,0))</f>
        <v>15</v>
      </c>
      <c r="DB83" s="16">
        <f>IF(ISNA(VLOOKUP(A83,'Données projet'!$A$139:$I$159,4,0)),0,VLOOKUP(A83,'Données projet'!$A$139:$I$159,4,0))</f>
        <v>407</v>
      </c>
      <c r="DC83" s="17">
        <f>IF(ISNA(VLOOKUP(A83,'Données projet'!$A$139:$I$159,5,0)),0%,VLOOKUP(A83,'Données projet'!$A$139:$I$159,5,0)*VLOOKUP('Données projet'!$B$13,Paramètres!$A$1:$I$89,7,0))</f>
        <v>0.48</v>
      </c>
      <c r="DD83" s="17">
        <f>IF(ISNA(VLOOKUP(A83,'Données projet'!$A$139:$I$159,6,0)),0%,VLOOKUP(A83,'Données projet'!$A$139:$I$159,6,0)*VLOOKUP('Données projet'!$B$13,Paramètres!$A$1:$I$89,7,0))</f>
        <v>6.6000000000000003E-2</v>
      </c>
      <c r="DE83" s="17">
        <f>IF(ISNA(VLOOKUP(A83,'Données projet'!$A$139:$I$159,7,0)),0%,VLOOKUP(A83,'Données projet'!$A$139:$I$159,7,0))</f>
        <v>0.09</v>
      </c>
      <c r="DF83" s="23">
        <f>EXP(-LN(2)/35)*DF82+(1-EXP(-LN(2)/35))/(LN(2)/35)*DB83*DC83*VLOOKUP('Données projet'!$B$13,Paramètres!$A$1:$I$89,3,0)*0.475*44/12</f>
        <v>189.17251993756162</v>
      </c>
      <c r="DG83" s="23">
        <f>EXP(-LN(2)/25)*DG82+(1-EXP(-LN(2)/25))/(LN(2)/25)*Calculateur!DB83*Calculateur!DD83*VLOOKUP('Données projet'!$B$13,Paramètres!$A$1:$I$89,3,0)*0.475*44/12</f>
        <v>39.484142102558536</v>
      </c>
      <c r="DH83" s="23">
        <f>EXP(-LN(2)/2)*DH82+(1-EXP(-LN(2)/2))/(LN(2)/2)*DB83*DE83*VLOOKUP('Données projet'!$B$13,Paramètres!$A$1:$I$89,3,0)*0.475*44/12</f>
        <v>22.982020301129175</v>
      </c>
      <c r="DI83" s="24">
        <f t="shared" si="69"/>
        <v>251.63868234124934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70">
        <f t="shared" si="56"/>
        <v>256.66666666666669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7.0711111111111098</v>
      </c>
      <c r="N84" s="14">
        <f>IF('Données projet'!$A$36&gt;35,N83+M84-V83,IF(A84&lt;'Données projet'!$A$36,$K$205^A84,IF(A84='Données projet'!$A$36,'Données projet'!$B$36,N83+M84-V83)))</f>
        <v>232.4966666666667</v>
      </c>
      <c r="O84" s="14">
        <f>N84*VLOOKUP('Données projet'!$B$9,Paramètres!$A$1:$I$89,3,0)*VLOOKUP('Données projet'!$B$9,Paramètres!$A$1:$I$89,5,0)</f>
        <v>210.36298400000004</v>
      </c>
      <c r="P84" s="14">
        <f t="shared" si="87"/>
        <v>52.014898860392101</v>
      </c>
      <c r="Q84" s="22">
        <f t="shared" si="54"/>
        <v>456.97481264851632</v>
      </c>
      <c r="R84" s="62">
        <f t="shared" si="55"/>
        <v>750.30814598184963</v>
      </c>
      <c r="S84" s="62">
        <f ca="1">AVERAGE(OFFSET($R$3,0,0,'Données projet'!$E$9+1,1))-AVERAGE(OFFSET($H$3,0,0,'Données projet'!$E$9+1,1))</f>
        <v>441.6145113257511</v>
      </c>
      <c r="T84" s="62">
        <f t="shared" si="88"/>
        <v>295.8399381972477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16.477483128072166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16.477483128072166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11.25925925925926</v>
      </c>
      <c r="AI84" s="14">
        <f>IF('Données projet'!$A$62&gt;35,AI83+AH84-AQ83,IF(A84&lt;'Données projet'!$A$62,$AF$205^A84,IF(A84='Données projet'!$A$62,'Données projet'!$B$62,AI83+AH84-AQ83)))</f>
        <v>603.6666666666664</v>
      </c>
      <c r="AJ84" s="14">
        <f>AI84*VLOOKUP('Données projet'!$B$10,Paramètres!$A$1:$I$89,3,0)*VLOOKUP('Données projet'!$B$10,Paramètres!$A$1:$I$89,5,0)</f>
        <v>517.9459999999998</v>
      </c>
      <c r="AK84" s="14">
        <f t="shared" si="89"/>
        <v>115.31713245940138</v>
      </c>
      <c r="AL84" s="22">
        <f t="shared" si="58"/>
        <v>1102.933289033457</v>
      </c>
      <c r="AM84" s="62">
        <f t="shared" si="59"/>
        <v>1396.2666223667902</v>
      </c>
      <c r="AN84" s="62">
        <f ca="1">AVERAGE(OFFSET($AM$3,0,0,'Données projet'!$E$10+1,1))-AVERAGE(OFFSET($H$3,0,0,'Données projet'!$E$10+1,1))</f>
        <v>623.31285537237943</v>
      </c>
      <c r="AO84" s="62">
        <f t="shared" si="90"/>
        <v>462.33909258902241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71.038443297500635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71.038443297500635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-1.7053025658242404E-13</v>
      </c>
      <c r="BE84" s="14">
        <f>BD84*VLOOKUP('Données projet'!$B$11,Paramètres!$A$1:$I$89,3,0)*VLOOKUP('Données projet'!$B$11,Paramètres!$A$1:$I$89,5,0)</f>
        <v>-1.3567387213697657E-13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299.10536994156814</v>
      </c>
      <c r="BJ84" s="62">
        <f t="shared" si="92"/>
        <v>292.57799203101769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118.98132085094932</v>
      </c>
      <c r="BQ84" s="23">
        <f>EXP(-LN(2)/25)*BQ83+(1-EXP(-LN(2)/25))/(LN(2)/25)*Calculateur!BL84*Calculateur!BN84*VLOOKUP('Données projet'!$B$11,Paramètres!$A$1:$I$89,3,0)*0.475*44/12</f>
        <v>0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118.98132085094932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2.8421709430404007E-14</v>
      </c>
      <c r="BZ84" s="14">
        <f>BY84*VLOOKUP('Données projet'!$B$12,Paramètres!$A$1:$I$89,3,0)*VLOOKUP('Données projet'!$B$12,Paramètres!$A$1:$I$89,5,0)</f>
        <v>2.2168933355715127E-14</v>
      </c>
      <c r="CA84" s="14">
        <f t="shared" si="93"/>
        <v>3.9687356123668477E-13</v>
      </c>
      <c r="CB84" s="22">
        <f t="shared" si="64"/>
        <v>7.2983234474842979E-13</v>
      </c>
      <c r="CC84" s="62">
        <f t="shared" si="65"/>
        <v>293.33333333333405</v>
      </c>
      <c r="CD84" s="62">
        <f ca="1">AVERAGE(OFFSET($CC$3,0,0,'Données projet'!$E$12+1,1))-AVERAGE(OFFSET($H$3,0,0,'Données projet'!$E$12+1,1))</f>
        <v>197.51529454208725</v>
      </c>
      <c r="CE84" s="62">
        <f t="shared" si="94"/>
        <v>196.65362486387215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63.030233964943491</v>
      </c>
      <c r="CL84" s="23">
        <f>EXP(-LN(2)/25)*CL83+(1-EXP(-LN(2)/25))/(LN(2)/25)*Calculateur!CG84*Calculateur!CI84*VLOOKUP('Données projet'!$B$12,Paramètres!$A$1:$I$89,3,0)*0.475*44/12</f>
        <v>0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63.030233964943491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-5.6843418860808015E-14</v>
      </c>
      <c r="CU84" s="18">
        <f>CT84*VLOOKUP('Données projet'!$B$13,Paramètres!$A$1:$I$89,3,0)*VLOOKUP('Données projet'!$B$13,Paramètres!$A$1:$I$89,5,0)</f>
        <v>-3.1036506698001178E-14</v>
      </c>
      <c r="CV84" s="14" t="e">
        <f t="shared" si="95"/>
        <v>#NUM!</v>
      </c>
      <c r="CW84" s="22" t="e">
        <f t="shared" si="67"/>
        <v>#NUM!</v>
      </c>
      <c r="CX84" s="62" t="e">
        <f t="shared" si="68"/>
        <v>#NUM!</v>
      </c>
      <c r="CY84" s="62">
        <f ca="1">AVERAGE(OFFSET($CX$3,0,0,'Données projet'!$E$13+1,1))-AVERAGE(OFFSET($H$3,0,0,'Données projet'!$E$13+1,1))</f>
        <v>303.14853302260451</v>
      </c>
      <c r="CZ84" s="62">
        <f t="shared" si="96"/>
        <v>298.74602928001929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185.46296220542999</v>
      </c>
      <c r="DG84" s="23">
        <f>EXP(-LN(2)/25)*DG83+(1-EXP(-LN(2)/25))/(LN(2)/25)*Calculateur!DB84*Calculateur!DD84*VLOOKUP('Données projet'!$B$13,Paramètres!$A$1:$I$89,3,0)*0.475*44/12</f>
        <v>38.40444616038328</v>
      </c>
      <c r="DH84" s="23">
        <f>EXP(-LN(2)/2)*DH83+(1-EXP(-LN(2)/2))/(LN(2)/2)*DB84*DE84*VLOOKUP('Données projet'!$B$13,Paramètres!$A$1:$I$89,3,0)*0.475*44/12</f>
        <v>16.250742400295341</v>
      </c>
      <c r="DI84" s="24">
        <f t="shared" si="69"/>
        <v>240.11815076610861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70">
        <f t="shared" si="56"/>
        <v>256.66666666666669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7.0711111111111098</v>
      </c>
      <c r="N85" s="14">
        <f>IF('Données projet'!$A$36&gt;35,N84+M85-V84,IF(A85&lt;'Données projet'!$A$36,$K$205^A85,IF(A85='Données projet'!$A$36,'Données projet'!$B$36,N84+M85-V84)))</f>
        <v>239.56777777777782</v>
      </c>
      <c r="O85" s="14">
        <f>N85*VLOOKUP('Données projet'!$B$9,Paramètres!$A$1:$I$89,3,0)*VLOOKUP('Données projet'!$B$9,Paramètres!$A$1:$I$89,5,0)</f>
        <v>216.76092533333335</v>
      </c>
      <c r="P85" s="14">
        <f t="shared" si="87"/>
        <v>53.410282271728782</v>
      </c>
      <c r="Q85" s="22">
        <f t="shared" si="54"/>
        <v>470.54818657881651</v>
      </c>
      <c r="R85" s="62">
        <f t="shared" si="55"/>
        <v>763.88151991214977</v>
      </c>
      <c r="S85" s="62">
        <f ca="1">AVERAGE(OFFSET($R$3,0,0,'Données projet'!$E$9+1,1))-AVERAGE(OFFSET($H$3,0,0,'Données projet'!$E$9+1,1))</f>
        <v>441.6145113257511</v>
      </c>
      <c r="T85" s="62">
        <f t="shared" si="88"/>
        <v>295.8399381972477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16.154369734202998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16.154369734202998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11.25925925925926</v>
      </c>
      <c r="AI85" s="14">
        <f>IF('Données projet'!$A$62&gt;35,AI84+AH85-AQ84,IF(A85&lt;'Données projet'!$A$62,$AF$205^A85,IF(A85='Données projet'!$A$62,'Données projet'!$B$62,AI84+AH85-AQ84)))</f>
        <v>614.92592592592564</v>
      </c>
      <c r="AJ85" s="14">
        <f>AI85*VLOOKUP('Données projet'!$B$10,Paramètres!$A$1:$I$89,3,0)*VLOOKUP('Données projet'!$B$10,Paramètres!$A$1:$I$89,5,0)</f>
        <v>527.60644444444426</v>
      </c>
      <c r="AK85" s="14">
        <f t="shared" si="89"/>
        <v>117.21555866515359</v>
      </c>
      <c r="AL85" s="22">
        <f t="shared" si="58"/>
        <v>1123.0649887492161</v>
      </c>
      <c r="AM85" s="62">
        <f t="shared" si="59"/>
        <v>1416.3983220825494</v>
      </c>
      <c r="AN85" s="62">
        <f ca="1">AVERAGE(OFFSET($AM$3,0,0,'Données projet'!$E$10+1,1))-AVERAGE(OFFSET($H$3,0,0,'Données projet'!$E$10+1,1))</f>
        <v>623.31285537237943</v>
      </c>
      <c r="AO85" s="62">
        <f t="shared" si="90"/>
        <v>462.33909258902241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69.645422753608656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69.645422753608656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-1.7053025658242404E-13</v>
      </c>
      <c r="BE85" s="14">
        <f>BD85*VLOOKUP('Données projet'!$B$11,Paramètres!$A$1:$I$89,3,0)*VLOOKUP('Données projet'!$B$11,Paramètres!$A$1:$I$89,5,0)</f>
        <v>-1.3567387213697657E-13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299.10536994156814</v>
      </c>
      <c r="BJ85" s="62">
        <f t="shared" si="92"/>
        <v>292.57799203101769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116.64816972050208</v>
      </c>
      <c r="BQ85" s="23">
        <f>EXP(-LN(2)/25)*BQ84+(1-EXP(-LN(2)/25))/(LN(2)/25)*Calculateur!BL85*Calculateur!BN85*VLOOKUP('Données projet'!$B$11,Paramètres!$A$1:$I$89,3,0)*0.475*44/12</f>
        <v>0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116.64816972050208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2.8421709430404007E-14</v>
      </c>
      <c r="BZ85" s="14">
        <f>BY85*VLOOKUP('Données projet'!$B$12,Paramètres!$A$1:$I$89,3,0)*VLOOKUP('Données projet'!$B$12,Paramètres!$A$1:$I$89,5,0)</f>
        <v>2.2168933355715127E-14</v>
      </c>
      <c r="CA85" s="14">
        <f t="shared" si="93"/>
        <v>3.9687356123668477E-13</v>
      </c>
      <c r="CB85" s="22">
        <f t="shared" si="64"/>
        <v>7.2983234474842979E-13</v>
      </c>
      <c r="CC85" s="62">
        <f t="shared" si="65"/>
        <v>293.33333333333405</v>
      </c>
      <c r="CD85" s="62">
        <f ca="1">AVERAGE(OFFSET($CC$3,0,0,'Données projet'!$E$12+1,1))-AVERAGE(OFFSET($H$3,0,0,'Données projet'!$E$12+1,1))</f>
        <v>197.51529454208725</v>
      </c>
      <c r="CE85" s="62">
        <f t="shared" si="94"/>
        <v>196.65362486387215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61.794249521537573</v>
      </c>
      <c r="CL85" s="23">
        <f>EXP(-LN(2)/25)*CL84+(1-EXP(-LN(2)/25))/(LN(2)/25)*Calculateur!CG85*Calculateur!CI85*VLOOKUP('Données projet'!$B$12,Paramètres!$A$1:$I$89,3,0)*0.475*44/12</f>
        <v>0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61.794249521537573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-5.6843418860808015E-14</v>
      </c>
      <c r="CU85" s="18">
        <f>CT85*VLOOKUP('Données projet'!$B$13,Paramètres!$A$1:$I$89,3,0)*VLOOKUP('Données projet'!$B$13,Paramètres!$A$1:$I$89,5,0)</f>
        <v>-3.1036506698001178E-14</v>
      </c>
      <c r="CV85" s="14" t="e">
        <f t="shared" si="95"/>
        <v>#NUM!</v>
      </c>
      <c r="CW85" s="22" t="e">
        <f t="shared" si="67"/>
        <v>#NUM!</v>
      </c>
      <c r="CX85" s="62" t="e">
        <f t="shared" si="68"/>
        <v>#NUM!</v>
      </c>
      <c r="CY85" s="62">
        <f ca="1">AVERAGE(OFFSET($CX$3,0,0,'Données projet'!$E$13+1,1))-AVERAGE(OFFSET($H$3,0,0,'Données projet'!$E$13+1,1))</f>
        <v>303.14853302260451</v>
      </c>
      <c r="CZ85" s="62">
        <f t="shared" si="96"/>
        <v>298.74602928001929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181.82614663781865</v>
      </c>
      <c r="DG85" s="23">
        <f>EXP(-LN(2)/25)*DG84+(1-EXP(-LN(2)/25))/(LN(2)/25)*Calculateur!DB85*Calculateur!DD85*VLOOKUP('Données projet'!$B$13,Paramètres!$A$1:$I$89,3,0)*0.475*44/12</f>
        <v>37.354274560525553</v>
      </c>
      <c r="DH85" s="23">
        <f>EXP(-LN(2)/2)*DH84+(1-EXP(-LN(2)/2))/(LN(2)/2)*DB85*DE85*VLOOKUP('Données projet'!$B$13,Paramètres!$A$1:$I$89,3,0)*0.475*44/12</f>
        <v>11.491010150564588</v>
      </c>
      <c r="DI85" s="24">
        <f t="shared" si="69"/>
        <v>230.67143134890881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70">
        <f t="shared" si="56"/>
        <v>256.66666666666669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7.0711111111111098</v>
      </c>
      <c r="N86" s="14">
        <f>IF('Données projet'!$A$36&gt;35,N85+M86-V85,IF(A86&lt;'Données projet'!$A$36,$K$205^A86,IF(A86='Données projet'!$A$36,'Données projet'!$B$36,N85+M86-V85)))</f>
        <v>246.63888888888894</v>
      </c>
      <c r="O86" s="14">
        <f>N86*VLOOKUP('Données projet'!$B$9,Paramètres!$A$1:$I$89,3,0)*VLOOKUP('Données projet'!$B$9,Paramètres!$A$1:$I$89,5,0)</f>
        <v>223.15886666666671</v>
      </c>
      <c r="P86" s="14">
        <f t="shared" si="87"/>
        <v>54.800879089050547</v>
      </c>
      <c r="Q86" s="22">
        <f t="shared" si="54"/>
        <v>484.11322385787417</v>
      </c>
      <c r="R86" s="62">
        <f t="shared" si="55"/>
        <v>777.44655719120749</v>
      </c>
      <c r="S86" s="62">
        <f ca="1">AVERAGE(OFFSET($R$3,0,0,'Données projet'!$E$9+1,1))-AVERAGE(OFFSET($H$3,0,0,'Données projet'!$E$9+1,1))</f>
        <v>441.6145113257511</v>
      </c>
      <c r="T86" s="62">
        <f t="shared" si="88"/>
        <v>295.8399381972477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15.837592396907892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15.837592396907892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11.25925925925926</v>
      </c>
      <c r="AI86" s="14">
        <f>IF('Données projet'!$A$62&gt;35,AI85+AH86-AQ85,IF(A86&lt;'Données projet'!$A$62,$AF$205^A86,IF(A86='Données projet'!$A$62,'Données projet'!$B$62,AI85+AH86-AQ85)))</f>
        <v>626.18518518518488</v>
      </c>
      <c r="AJ86" s="14">
        <f>AI86*VLOOKUP('Données projet'!$B$10,Paramètres!$A$1:$I$89,3,0)*VLOOKUP('Données projet'!$B$10,Paramètres!$A$1:$I$89,5,0)</f>
        <v>537.26688888888862</v>
      </c>
      <c r="AK86" s="14">
        <f t="shared" si="89"/>
        <v>119.10994286771781</v>
      </c>
      <c r="AL86" s="22">
        <f t="shared" si="58"/>
        <v>1143.1896486427561</v>
      </c>
      <c r="AM86" s="62">
        <f t="shared" si="59"/>
        <v>1436.5229819760893</v>
      </c>
      <c r="AN86" s="62">
        <f ca="1">AVERAGE(OFFSET($AM$3,0,0,'Données projet'!$E$10+1,1))-AVERAGE(OFFSET($H$3,0,0,'Données projet'!$E$10+1,1))</f>
        <v>623.31285537237943</v>
      </c>
      <c r="AO86" s="62">
        <f t="shared" si="90"/>
        <v>462.33909258902241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68.279718492923763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68.279718492923763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-1.7053025658242404E-13</v>
      </c>
      <c r="BE86" s="14">
        <f>BD86*VLOOKUP('Données projet'!$B$11,Paramètres!$A$1:$I$89,3,0)*VLOOKUP('Données projet'!$B$11,Paramètres!$A$1:$I$89,5,0)</f>
        <v>-1.3567387213697657E-13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299.10536994156814</v>
      </c>
      <c r="BJ86" s="62">
        <f t="shared" si="92"/>
        <v>292.57799203101769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114.36077026064125</v>
      </c>
      <c r="BQ86" s="23">
        <f>EXP(-LN(2)/25)*BQ85+(1-EXP(-LN(2)/25))/(LN(2)/25)*Calculateur!BL86*Calculateur!BN86*VLOOKUP('Données projet'!$B$11,Paramètres!$A$1:$I$89,3,0)*0.475*44/12</f>
        <v>0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114.36077026064125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2.8421709430404007E-14</v>
      </c>
      <c r="BZ86" s="14">
        <f>BY86*VLOOKUP('Données projet'!$B$12,Paramètres!$A$1:$I$89,3,0)*VLOOKUP('Données projet'!$B$12,Paramètres!$A$1:$I$89,5,0)</f>
        <v>2.2168933355715127E-14</v>
      </c>
      <c r="CA86" s="14">
        <f t="shared" si="93"/>
        <v>3.9687356123668477E-13</v>
      </c>
      <c r="CB86" s="22">
        <f t="shared" si="64"/>
        <v>7.2983234474842979E-13</v>
      </c>
      <c r="CC86" s="62">
        <f t="shared" si="65"/>
        <v>293.33333333333405</v>
      </c>
      <c r="CD86" s="62">
        <f ca="1">AVERAGE(OFFSET($CC$3,0,0,'Données projet'!$E$12+1,1))-AVERAGE(OFFSET($H$3,0,0,'Données projet'!$E$12+1,1))</f>
        <v>197.51529454208725</v>
      </c>
      <c r="CE86" s="62">
        <f t="shared" si="94"/>
        <v>196.65362486387215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60.582501979190774</v>
      </c>
      <c r="CL86" s="23">
        <f>EXP(-LN(2)/25)*CL85+(1-EXP(-LN(2)/25))/(LN(2)/25)*Calculateur!CG86*Calculateur!CI86*VLOOKUP('Données projet'!$B$12,Paramètres!$A$1:$I$89,3,0)*0.475*44/12</f>
        <v>0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60.582501979190774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-5.6843418860808015E-14</v>
      </c>
      <c r="CU86" s="18">
        <f>CT86*VLOOKUP('Données projet'!$B$13,Paramètres!$A$1:$I$89,3,0)*VLOOKUP('Données projet'!$B$13,Paramètres!$A$1:$I$89,5,0)</f>
        <v>-3.1036506698001178E-14</v>
      </c>
      <c r="CV86" s="14" t="e">
        <f t="shared" si="95"/>
        <v>#NUM!</v>
      </c>
      <c r="CW86" s="22" t="e">
        <f t="shared" si="67"/>
        <v>#NUM!</v>
      </c>
      <c r="CX86" s="62" t="e">
        <f t="shared" si="68"/>
        <v>#NUM!</v>
      </c>
      <c r="CY86" s="62">
        <f ca="1">AVERAGE(OFFSET($CX$3,0,0,'Données projet'!$E$13+1,1))-AVERAGE(OFFSET($H$3,0,0,'Données projet'!$E$13+1,1))</f>
        <v>303.14853302260451</v>
      </c>
      <c r="CZ86" s="62">
        <f t="shared" si="96"/>
        <v>298.74602928001929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178.26064680524971</v>
      </c>
      <c r="DG86" s="23">
        <f>EXP(-LN(2)/25)*DG85+(1-EXP(-LN(2)/25))/(LN(2)/25)*Calculateur!DB86*Calculateur!DD86*VLOOKUP('Données projet'!$B$13,Paramètres!$A$1:$I$89,3,0)*0.475*44/12</f>
        <v>36.332819958292056</v>
      </c>
      <c r="DH86" s="23">
        <f>EXP(-LN(2)/2)*DH85+(1-EXP(-LN(2)/2))/(LN(2)/2)*DB86*DE86*VLOOKUP('Données projet'!$B$13,Paramètres!$A$1:$I$89,3,0)*0.475*44/12</f>
        <v>8.1253712001476703</v>
      </c>
      <c r="DI86" s="24">
        <f t="shared" si="69"/>
        <v>222.71883796368942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70">
        <f t="shared" si="56"/>
        <v>256.66666666666669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>
        <f>VLOOKUP(A87,'Données projet'!$A$35:$I$55,2,0)</f>
        <v>253.71</v>
      </c>
      <c r="L87" s="13">
        <f>VLOOKUP(A87,'Données projet'!$A$35:$I$55,9,0)</f>
        <v>7.0711111111111098</v>
      </c>
      <c r="M87" s="13">
        <f t="array" ref="M87">INDEX(L:L,MIN(IF(ISNUMBER(L87:L283),ROW(L87:L283),"")))</f>
        <v>7.0711111111111098</v>
      </c>
      <c r="N87" s="14">
        <f>IF('Données projet'!$A$36&gt;35,N86+M87-V86,IF(A87&lt;'Données projet'!$A$36,$K$205^A87,IF(A87='Données projet'!$A$36,'Données projet'!$B$36,N86+M87-V86)))</f>
        <v>253.71000000000006</v>
      </c>
      <c r="O87" s="14">
        <f>N87*VLOOKUP('Données projet'!$B$9,Paramètres!$A$1:$I$89,3,0)*VLOOKUP('Données projet'!$B$9,Paramètres!$A$1:$I$89,5,0)</f>
        <v>229.55680800000007</v>
      </c>
      <c r="P87" s="14">
        <f t="shared" si="87"/>
        <v>56.186842304335308</v>
      </c>
      <c r="Q87" s="22">
        <f t="shared" si="54"/>
        <v>497.67019094671747</v>
      </c>
      <c r="R87" s="62">
        <f t="shared" si="55"/>
        <v>791.00352428005078</v>
      </c>
      <c r="S87" s="62">
        <f ca="1">AVERAGE(OFFSET($R$3,0,0,'Données projet'!$E$9+1,1))-AVERAGE(OFFSET($H$3,0,0,'Données projet'!$E$9+1,1))</f>
        <v>441.6145113257511</v>
      </c>
      <c r="T87" s="62">
        <f t="shared" si="88"/>
        <v>295.8399381972477</v>
      </c>
      <c r="U87" s="16">
        <f>IF(ISNA(VLOOKUP(A87,'Données projet'!$A$35:$I$55,3,0)),0,VLOOKUP(A87,'Données projet'!$A$35:$I$55,3,0))</f>
        <v>6</v>
      </c>
      <c r="V87" s="16">
        <f>IF(ISNA(VLOOKUP(A87,'Données projet'!$A$35:$I$55,4,0)),0,VLOOKUP(A87,'Données projet'!$A$35:$I$55,4,0))</f>
        <v>44.89</v>
      </c>
      <c r="W87" s="17">
        <f>IF(ISNA(VLOOKUP(A87,'Données projet'!$A$35:$I$55,5,0)),0%,VLOOKUP(A87,'Données projet'!$A$35:$I$55,5,0)*VLOOKUP('Données projet'!$B$9,Paramètres!$A$1:$I$89,7,0))</f>
        <v>0.17200000000000001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23.249879625328312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23.249879625328312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11.25925925925926</v>
      </c>
      <c r="AI87" s="14">
        <f>IF('Données projet'!$A$62&gt;35,AI86+AH87-AQ86,IF(A87&lt;'Données projet'!$A$62,$AF$205^A87,IF(A87='Données projet'!$A$62,'Données projet'!$B$62,AI86+AH87-AQ86)))</f>
        <v>637.44444444444412</v>
      </c>
      <c r="AJ87" s="14">
        <f>AI87*VLOOKUP('Données projet'!$B$10,Paramètres!$A$1:$I$89,3,0)*VLOOKUP('Données projet'!$B$10,Paramètres!$A$1:$I$89,5,0)</f>
        <v>546.92733333333308</v>
      </c>
      <c r="AK87" s="14">
        <f t="shared" si="89"/>
        <v>121.00036612890432</v>
      </c>
      <c r="AL87" s="22">
        <f t="shared" si="58"/>
        <v>1163.30740989673</v>
      </c>
      <c r="AM87" s="62">
        <f t="shared" si="59"/>
        <v>1456.6407432300632</v>
      </c>
      <c r="AN87" s="62">
        <f ca="1">AVERAGE(OFFSET($AM$3,0,0,'Données projet'!$E$10+1,1))-AVERAGE(OFFSET($H$3,0,0,'Données projet'!$E$10+1,1))</f>
        <v>623.31285537237943</v>
      </c>
      <c r="AO87" s="62">
        <f t="shared" si="90"/>
        <v>462.33909258902241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66.940794859793556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66.940794859793556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-1.7053025658242404E-13</v>
      </c>
      <c r="BE87" s="14">
        <f>BD87*VLOOKUP('Données projet'!$B$11,Paramètres!$A$1:$I$89,3,0)*VLOOKUP('Données projet'!$B$11,Paramètres!$A$1:$I$89,5,0)</f>
        <v>-1.3567387213697657E-13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299.10536994156814</v>
      </c>
      <c r="BJ87" s="62">
        <f t="shared" si="92"/>
        <v>292.57799203101769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112.11822530901237</v>
      </c>
      <c r="BQ87" s="23">
        <f>EXP(-LN(2)/25)*BQ86+(1-EXP(-LN(2)/25))/(LN(2)/25)*Calculateur!BL87*Calculateur!BN87*VLOOKUP('Données projet'!$B$11,Paramètres!$A$1:$I$89,3,0)*0.475*44/12</f>
        <v>0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112.11822530901237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2.8421709430404007E-14</v>
      </c>
      <c r="BZ87" s="14">
        <f>BY87*VLOOKUP('Données projet'!$B$12,Paramètres!$A$1:$I$89,3,0)*VLOOKUP('Données projet'!$B$12,Paramètres!$A$1:$I$89,5,0)</f>
        <v>2.2168933355715127E-14</v>
      </c>
      <c r="CA87" s="14">
        <f t="shared" si="93"/>
        <v>3.9687356123668477E-13</v>
      </c>
      <c r="CB87" s="22">
        <f t="shared" si="64"/>
        <v>7.2983234474842979E-13</v>
      </c>
      <c r="CC87" s="62">
        <f t="shared" si="65"/>
        <v>293.33333333333405</v>
      </c>
      <c r="CD87" s="62">
        <f ca="1">AVERAGE(OFFSET($CC$3,0,0,'Données projet'!$E$12+1,1))-AVERAGE(OFFSET($H$3,0,0,'Données projet'!$E$12+1,1))</f>
        <v>197.51529454208725</v>
      </c>
      <c r="CE87" s="62">
        <f t="shared" si="94"/>
        <v>196.65362486387215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59.394516067056372</v>
      </c>
      <c r="CL87" s="23">
        <f>EXP(-LN(2)/25)*CL86+(1-EXP(-LN(2)/25))/(LN(2)/25)*Calculateur!CG87*Calculateur!CI87*VLOOKUP('Données projet'!$B$12,Paramètres!$A$1:$I$89,3,0)*0.475*44/12</f>
        <v>0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59.394516067056372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-5.6843418860808015E-14</v>
      </c>
      <c r="CU87" s="18">
        <f>CT87*VLOOKUP('Données projet'!$B$13,Paramètres!$A$1:$I$89,3,0)*VLOOKUP('Données projet'!$B$13,Paramètres!$A$1:$I$89,5,0)</f>
        <v>-3.1036506698001178E-14</v>
      </c>
      <c r="CV87" s="14" t="e">
        <f t="shared" si="95"/>
        <v>#NUM!</v>
      </c>
      <c r="CW87" s="22" t="e">
        <f t="shared" si="67"/>
        <v>#NUM!</v>
      </c>
      <c r="CX87" s="62" t="e">
        <f t="shared" si="68"/>
        <v>#NUM!</v>
      </c>
      <c r="CY87" s="62">
        <f ca="1">AVERAGE(OFFSET($CX$3,0,0,'Données projet'!$E$13+1,1))-AVERAGE(OFFSET($H$3,0,0,'Données projet'!$E$13+1,1))</f>
        <v>303.14853302260451</v>
      </c>
      <c r="CZ87" s="62">
        <f t="shared" si="96"/>
        <v>298.74602928001929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174.76506424965729</v>
      </c>
      <c r="DG87" s="23">
        <f>EXP(-LN(2)/25)*DG86+(1-EXP(-LN(2)/25))/(LN(2)/25)*Calculateur!DB87*Calculateur!DD87*VLOOKUP('Données projet'!$B$13,Paramètres!$A$1:$I$89,3,0)*0.475*44/12</f>
        <v>35.339297085872595</v>
      </c>
      <c r="DH87" s="23">
        <f>EXP(-LN(2)/2)*DH86+(1-EXP(-LN(2)/2))/(LN(2)/2)*DB87*DE87*VLOOKUP('Données projet'!$B$13,Paramètres!$A$1:$I$89,3,0)*0.475*44/12</f>
        <v>5.7455050752822938</v>
      </c>
      <c r="DI87" s="24">
        <f t="shared" si="69"/>
        <v>215.84986641081218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70">
        <f t="shared" si="56"/>
        <v>256.66666666666669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6.7444444444444436</v>
      </c>
      <c r="N88" s="14">
        <f>IF('Données projet'!$A$36&gt;35,N87+M88-V87,IF(A88&lt;'Données projet'!$A$36,$K$205^A88,IF(A88='Données projet'!$A$36,'Données projet'!$B$36,N87+M88-V87)))</f>
        <v>215.56444444444452</v>
      </c>
      <c r="O88" s="14">
        <f>N88*VLOOKUP('Données projet'!$B$9,Paramètres!$A$1:$I$89,3,0)*VLOOKUP('Données projet'!$B$9,Paramètres!$A$1:$I$89,5,0)</f>
        <v>195.04270933333339</v>
      </c>
      <c r="P88" s="14">
        <f t="shared" si="87"/>
        <v>48.653118961962868</v>
      </c>
      <c r="Q88" s="22">
        <f t="shared" si="54"/>
        <v>424.43690094764094</v>
      </c>
      <c r="R88" s="62">
        <f t="shared" si="55"/>
        <v>717.77023428097425</v>
      </c>
      <c r="S88" s="62">
        <f ca="1">AVERAGE(OFFSET($R$3,0,0,'Données projet'!$E$9+1,1))-AVERAGE(OFFSET($H$3,0,0,'Données projet'!$E$9+1,1))</f>
        <v>441.6145113257511</v>
      </c>
      <c r="T88" s="62">
        <f t="shared" si="88"/>
        <v>295.8399381972477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22.793963666901934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22.793963666901934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11.25925925925926</v>
      </c>
      <c r="AI88" s="14">
        <f>IF('Données projet'!$A$62&gt;35,AI87+AH88-AQ87,IF(A88&lt;'Données projet'!$A$62,$AF$205^A88,IF(A88='Données projet'!$A$62,'Données projet'!$B$62,AI87+AH88-AQ87)))</f>
        <v>648.70370370370335</v>
      </c>
      <c r="AJ88" s="14">
        <f>AI88*VLOOKUP('Données projet'!$B$10,Paramètres!$A$1:$I$89,3,0)*VLOOKUP('Données projet'!$B$10,Paramètres!$A$1:$I$89,5,0)</f>
        <v>556.58777777777755</v>
      </c>
      <c r="AK88" s="14">
        <f t="shared" si="89"/>
        <v>122.88690648289415</v>
      </c>
      <c r="AL88" s="22">
        <f t="shared" si="58"/>
        <v>1183.4184084206697</v>
      </c>
      <c r="AM88" s="62">
        <f t="shared" si="59"/>
        <v>1476.751741754003</v>
      </c>
      <c r="AN88" s="62">
        <f ca="1">AVERAGE(OFFSET($AM$3,0,0,'Données projet'!$E$10+1,1))-AVERAGE(OFFSET($H$3,0,0,'Données projet'!$E$10+1,1))</f>
        <v>623.31285537237943</v>
      </c>
      <c r="AO88" s="62">
        <f t="shared" si="90"/>
        <v>462.33909258902241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65.628126702446252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65.628126702446252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-1.7053025658242404E-13</v>
      </c>
      <c r="BE88" s="14">
        <f>BD88*VLOOKUP('Données projet'!$B$11,Paramètres!$A$1:$I$89,3,0)*VLOOKUP('Données projet'!$B$11,Paramètres!$A$1:$I$89,5,0)</f>
        <v>-1.3567387213697657E-13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299.10536994156814</v>
      </c>
      <c r="BJ88" s="62">
        <f t="shared" si="92"/>
        <v>292.57799203101769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109.91965529606759</v>
      </c>
      <c r="BQ88" s="23">
        <f>EXP(-LN(2)/25)*BQ87+(1-EXP(-LN(2)/25))/(LN(2)/25)*Calculateur!BL88*Calculateur!BN88*VLOOKUP('Données projet'!$B$11,Paramètres!$A$1:$I$89,3,0)*0.475*44/12</f>
        <v>0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109.91965529606759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2.8421709430404007E-14</v>
      </c>
      <c r="BZ88" s="14">
        <f>BY88*VLOOKUP('Données projet'!$B$12,Paramètres!$A$1:$I$89,3,0)*VLOOKUP('Données projet'!$B$12,Paramètres!$A$1:$I$89,5,0)</f>
        <v>2.2168933355715127E-14</v>
      </c>
      <c r="CA88" s="14">
        <f t="shared" si="93"/>
        <v>3.9687356123668477E-13</v>
      </c>
      <c r="CB88" s="22">
        <f t="shared" si="64"/>
        <v>7.2983234474842979E-13</v>
      </c>
      <c r="CC88" s="62">
        <f t="shared" si="65"/>
        <v>293.33333333333405</v>
      </c>
      <c r="CD88" s="62">
        <f ca="1">AVERAGE(OFFSET($CC$3,0,0,'Données projet'!$E$12+1,1))-AVERAGE(OFFSET($H$3,0,0,'Données projet'!$E$12+1,1))</f>
        <v>197.51529454208725</v>
      </c>
      <c r="CE88" s="62">
        <f t="shared" si="94"/>
        <v>196.65362486387215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58.229825834059071</v>
      </c>
      <c r="CL88" s="23">
        <f>EXP(-LN(2)/25)*CL87+(1-EXP(-LN(2)/25))/(LN(2)/25)*Calculateur!CG88*Calculateur!CI88*VLOOKUP('Données projet'!$B$12,Paramètres!$A$1:$I$89,3,0)*0.475*44/12</f>
        <v>0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58.229825834059071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-5.6843418860808015E-14</v>
      </c>
      <c r="CU88" s="18">
        <f>CT88*VLOOKUP('Données projet'!$B$13,Paramètres!$A$1:$I$89,3,0)*VLOOKUP('Données projet'!$B$13,Paramètres!$A$1:$I$89,5,0)</f>
        <v>-3.1036506698001178E-14</v>
      </c>
      <c r="CV88" s="14" t="e">
        <f t="shared" si="95"/>
        <v>#NUM!</v>
      </c>
      <c r="CW88" s="22" t="e">
        <f t="shared" si="67"/>
        <v>#NUM!</v>
      </c>
      <c r="CX88" s="62" t="e">
        <f t="shared" si="68"/>
        <v>#NUM!</v>
      </c>
      <c r="CY88" s="62">
        <f ca="1">AVERAGE(OFFSET($CX$3,0,0,'Données projet'!$E$13+1,1))-AVERAGE(OFFSET($H$3,0,0,'Données projet'!$E$13+1,1))</f>
        <v>303.14853302260451</v>
      </c>
      <c r="CZ88" s="62">
        <f t="shared" si="96"/>
        <v>298.74602928001929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171.33802793588521</v>
      </c>
      <c r="DG88" s="23">
        <f>EXP(-LN(2)/25)*DG87+(1-EXP(-LN(2)/25))/(LN(2)/25)*Calculateur!DB88*Calculateur!DD88*VLOOKUP('Données projet'!$B$13,Paramètres!$A$1:$I$89,3,0)*0.475*44/12</f>
        <v>34.372942148646544</v>
      </c>
      <c r="DH88" s="23">
        <f>EXP(-LN(2)/2)*DH87+(1-EXP(-LN(2)/2))/(LN(2)/2)*DB88*DE88*VLOOKUP('Données projet'!$B$13,Paramètres!$A$1:$I$89,3,0)*0.475*44/12</f>
        <v>4.0626856000738352</v>
      </c>
      <c r="DI88" s="24">
        <f t="shared" si="69"/>
        <v>209.77365568460561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70">
        <f t="shared" si="56"/>
        <v>256.66666666666669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6.7444444444444436</v>
      </c>
      <c r="N89" s="14">
        <f>IF('Données projet'!$A$36&gt;35,N88+M89-V88,IF(A89&lt;'Données projet'!$A$36,$K$205^A89,IF(A89='Données projet'!$A$36,'Données projet'!$B$36,N88+M89-V88)))</f>
        <v>222.30888888888896</v>
      </c>
      <c r="O89" s="14">
        <f>N89*VLOOKUP('Données projet'!$B$9,Paramètres!$A$1:$I$89,3,0)*VLOOKUP('Données projet'!$B$9,Paramètres!$A$1:$I$89,5,0)</f>
        <v>201.14508266666675</v>
      </c>
      <c r="P89" s="14">
        <f t="shared" si="87"/>
        <v>49.99573855935872</v>
      </c>
      <c r="Q89" s="22">
        <f t="shared" si="54"/>
        <v>437.40359696866108</v>
      </c>
      <c r="R89" s="62">
        <f t="shared" si="55"/>
        <v>730.73693030199433</v>
      </c>
      <c r="S89" s="62">
        <f ca="1">AVERAGE(OFFSET($R$3,0,0,'Données projet'!$E$9+1,1))-AVERAGE(OFFSET($H$3,0,0,'Données projet'!$E$9+1,1))</f>
        <v>441.6145113257511</v>
      </c>
      <c r="T89" s="62">
        <f t="shared" si="88"/>
        <v>295.8399381972477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22.346987942339023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22.346987942339023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11.25925925925926</v>
      </c>
      <c r="AI89" s="14">
        <f>IF('Données projet'!$A$62&gt;35,AI88+AH89-AQ88,IF(A89&lt;'Données projet'!$A$62,$AF$205^A89,IF(A89='Données projet'!$A$62,'Données projet'!$B$62,AI88+AH89-AQ88)))</f>
        <v>659.96296296296259</v>
      </c>
      <c r="AJ89" s="14">
        <f>AI89*VLOOKUP('Données projet'!$B$10,Paramètres!$A$1:$I$89,3,0)*VLOOKUP('Données projet'!$B$10,Paramètres!$A$1:$I$89,5,0)</f>
        <v>566.24822222222201</v>
      </c>
      <c r="AK89" s="14">
        <f t="shared" si="89"/>
        <v>124.76963909987019</v>
      </c>
      <c r="AL89" s="22">
        <f t="shared" si="58"/>
        <v>1203.5227751359773</v>
      </c>
      <c r="AM89" s="62">
        <f t="shared" si="59"/>
        <v>1496.8561084693106</v>
      </c>
      <c r="AN89" s="62">
        <f ca="1">AVERAGE(OFFSET($AM$3,0,0,'Données projet'!$E$10+1,1))-AVERAGE(OFFSET($H$3,0,0,'Données projet'!$E$10+1,1))</f>
        <v>623.31285537237943</v>
      </c>
      <c r="AO89" s="62">
        <f t="shared" si="90"/>
        <v>462.33909258902241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64.341199167016015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64.341199167016015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-1.7053025658242404E-13</v>
      </c>
      <c r="BE89" s="14">
        <f>BD89*VLOOKUP('Données projet'!$B$11,Paramètres!$A$1:$I$89,3,0)*VLOOKUP('Données projet'!$B$11,Paramètres!$A$1:$I$89,5,0)</f>
        <v>-1.3567387213697657E-13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299.10536994156814</v>
      </c>
      <c r="BJ89" s="62">
        <f t="shared" si="92"/>
        <v>292.57799203101769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107.76419790008136</v>
      </c>
      <c r="BQ89" s="23">
        <f>EXP(-LN(2)/25)*BQ88+(1-EXP(-LN(2)/25))/(LN(2)/25)*Calculateur!BL89*Calculateur!BN89*VLOOKUP('Données projet'!$B$11,Paramètres!$A$1:$I$89,3,0)*0.475*44/12</f>
        <v>0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107.76419790008136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2.8421709430404007E-14</v>
      </c>
      <c r="BZ89" s="14">
        <f>BY89*VLOOKUP('Données projet'!$B$12,Paramètres!$A$1:$I$89,3,0)*VLOOKUP('Données projet'!$B$12,Paramètres!$A$1:$I$89,5,0)</f>
        <v>2.2168933355715127E-14</v>
      </c>
      <c r="CA89" s="14">
        <f t="shared" si="93"/>
        <v>3.9687356123668477E-13</v>
      </c>
      <c r="CB89" s="22">
        <f t="shared" si="64"/>
        <v>7.2983234474842979E-13</v>
      </c>
      <c r="CC89" s="62">
        <f t="shared" si="65"/>
        <v>293.33333333333405</v>
      </c>
      <c r="CD89" s="62">
        <f ca="1">AVERAGE(OFFSET($CC$3,0,0,'Données projet'!$E$12+1,1))-AVERAGE(OFFSET($H$3,0,0,'Données projet'!$E$12+1,1))</f>
        <v>197.51529454208725</v>
      </c>
      <c r="CE89" s="62">
        <f t="shared" si="94"/>
        <v>196.65362486387215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57.087974466139947</v>
      </c>
      <c r="CL89" s="23">
        <f>EXP(-LN(2)/25)*CL88+(1-EXP(-LN(2)/25))/(LN(2)/25)*Calculateur!CG89*Calculateur!CI89*VLOOKUP('Données projet'!$B$12,Paramètres!$A$1:$I$89,3,0)*0.475*44/12</f>
        <v>0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57.087974466139947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-5.6843418860808015E-14</v>
      </c>
      <c r="CU89" s="18">
        <f>CT89*VLOOKUP('Données projet'!$B$13,Paramètres!$A$1:$I$89,3,0)*VLOOKUP('Données projet'!$B$13,Paramètres!$A$1:$I$89,5,0)</f>
        <v>-3.1036506698001178E-14</v>
      </c>
      <c r="CV89" s="14" t="e">
        <f t="shared" si="95"/>
        <v>#NUM!</v>
      </c>
      <c r="CW89" s="22" t="e">
        <f t="shared" si="67"/>
        <v>#NUM!</v>
      </c>
      <c r="CX89" s="62" t="e">
        <f t="shared" si="68"/>
        <v>#NUM!</v>
      </c>
      <c r="CY89" s="62">
        <f ca="1">AVERAGE(OFFSET($CX$3,0,0,'Données projet'!$E$13+1,1))-AVERAGE(OFFSET($H$3,0,0,'Données projet'!$E$13+1,1))</f>
        <v>303.14853302260451</v>
      </c>
      <c r="CZ89" s="62">
        <f t="shared" si="96"/>
        <v>298.74602928001929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167.97819371394044</v>
      </c>
      <c r="DG89" s="23">
        <f>EXP(-LN(2)/25)*DG88+(1-EXP(-LN(2)/25))/(LN(2)/25)*Calculateur!DB89*Calculateur!DD89*VLOOKUP('Données projet'!$B$13,Paramètres!$A$1:$I$89,3,0)*0.475*44/12</f>
        <v>33.433012237997339</v>
      </c>
      <c r="DH89" s="23">
        <f>EXP(-LN(2)/2)*DH88+(1-EXP(-LN(2)/2))/(LN(2)/2)*DB89*DE89*VLOOKUP('Données projet'!$B$13,Paramètres!$A$1:$I$89,3,0)*0.475*44/12</f>
        <v>2.8727525376411469</v>
      </c>
      <c r="DI89" s="24">
        <f t="shared" si="69"/>
        <v>204.28395848957891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70">
        <f t="shared" si="56"/>
        <v>256.66666666666669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6.7444444444444436</v>
      </c>
      <c r="N90" s="14">
        <f>IF('Données projet'!$A$36&gt;35,N89+M90-V89,IF(A90&lt;'Données projet'!$A$36,$K$205^A90,IF(A90='Données projet'!$A$36,'Données projet'!$B$36,N89+M90-V89)))</f>
        <v>229.0533333333334</v>
      </c>
      <c r="O90" s="14">
        <f>N90*VLOOKUP('Données projet'!$B$9,Paramètres!$A$1:$I$89,3,0)*VLOOKUP('Données projet'!$B$9,Paramètres!$A$1:$I$89,5,0)</f>
        <v>207.24745600000006</v>
      </c>
      <c r="P90" s="14">
        <f t="shared" si="87"/>
        <v>51.33362447440711</v>
      </c>
      <c r="Q90" s="22">
        <f t="shared" si="54"/>
        <v>450.36204849292579</v>
      </c>
      <c r="R90" s="62">
        <f t="shared" si="55"/>
        <v>743.69538182625911</v>
      </c>
      <c r="S90" s="62">
        <f ca="1">AVERAGE(OFFSET($R$3,0,0,'Données projet'!$E$9+1,1))-AVERAGE(OFFSET($H$3,0,0,'Données projet'!$E$9+1,1))</f>
        <v>441.6145113257511</v>
      </c>
      <c r="T90" s="62">
        <f t="shared" si="88"/>
        <v>295.8399381972477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21.908777139106519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21.908777139106519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11.25925925925926</v>
      </c>
      <c r="AI90" s="14">
        <f>IF('Données projet'!$A$62&gt;35,AI89+AH90-AQ89,IF(A90&lt;'Données projet'!$A$62,$AF$205^A90,IF(A90='Données projet'!$A$62,'Données projet'!$B$62,AI89+AH90-AQ89)))</f>
        <v>671.22222222222183</v>
      </c>
      <c r="AJ90" s="14">
        <f>AI90*VLOOKUP('Données projet'!$B$10,Paramètres!$A$1:$I$89,3,0)*VLOOKUP('Données projet'!$B$10,Paramètres!$A$1:$I$89,5,0)</f>
        <v>575.90866666666636</v>
      </c>
      <c r="AK90" s="14">
        <f t="shared" si="89"/>
        <v>126.64863643816666</v>
      </c>
      <c r="AL90" s="22">
        <f t="shared" si="58"/>
        <v>1223.6206362409175</v>
      </c>
      <c r="AM90" s="62">
        <f t="shared" si="59"/>
        <v>1516.9539695742508</v>
      </c>
      <c r="AN90" s="62">
        <f ca="1">AVERAGE(OFFSET($AM$3,0,0,'Données projet'!$E$10+1,1))-AVERAGE(OFFSET($H$3,0,0,'Données projet'!$E$10+1,1))</f>
        <v>623.31285537237943</v>
      </c>
      <c r="AO90" s="62">
        <f t="shared" si="90"/>
        <v>462.33909258902241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63.079507495607274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63.079507495607274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-1.7053025658242404E-13</v>
      </c>
      <c r="BE90" s="14">
        <f>BD90*VLOOKUP('Données projet'!$B$11,Paramètres!$A$1:$I$89,3,0)*VLOOKUP('Données projet'!$B$11,Paramètres!$A$1:$I$89,5,0)</f>
        <v>-1.3567387213697657E-13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299.10536994156814</v>
      </c>
      <c r="BJ90" s="62">
        <f t="shared" si="92"/>
        <v>292.57799203101769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105.65100770893122</v>
      </c>
      <c r="BQ90" s="23">
        <f>EXP(-LN(2)/25)*BQ89+(1-EXP(-LN(2)/25))/(LN(2)/25)*Calculateur!BL90*Calculateur!BN90*VLOOKUP('Données projet'!$B$11,Paramètres!$A$1:$I$89,3,0)*0.475*44/12</f>
        <v>0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105.65100770893122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2.8421709430404007E-14</v>
      </c>
      <c r="BZ90" s="14">
        <f>BY90*VLOOKUP('Données projet'!$B$12,Paramètres!$A$1:$I$89,3,0)*VLOOKUP('Données projet'!$B$12,Paramètres!$A$1:$I$89,5,0)</f>
        <v>2.2168933355715127E-14</v>
      </c>
      <c r="CA90" s="14">
        <f t="shared" si="93"/>
        <v>3.9687356123668477E-13</v>
      </c>
      <c r="CB90" s="22">
        <f t="shared" si="64"/>
        <v>7.2983234474842979E-13</v>
      </c>
      <c r="CC90" s="62">
        <f t="shared" si="65"/>
        <v>293.33333333333405</v>
      </c>
      <c r="CD90" s="62">
        <f ca="1">AVERAGE(OFFSET($CC$3,0,0,'Données projet'!$E$12+1,1))-AVERAGE(OFFSET($H$3,0,0,'Données projet'!$E$12+1,1))</f>
        <v>197.51529454208725</v>
      </c>
      <c r="CE90" s="62">
        <f t="shared" si="94"/>
        <v>196.65362486387215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55.968514107085156</v>
      </c>
      <c r="CL90" s="23">
        <f>EXP(-LN(2)/25)*CL89+(1-EXP(-LN(2)/25))/(LN(2)/25)*Calculateur!CG90*Calculateur!CI90*VLOOKUP('Données projet'!$B$12,Paramètres!$A$1:$I$89,3,0)*0.475*44/12</f>
        <v>0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55.968514107085156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-5.6843418860808015E-14</v>
      </c>
      <c r="CU90" s="18">
        <f>CT90*VLOOKUP('Données projet'!$B$13,Paramètres!$A$1:$I$89,3,0)*VLOOKUP('Données projet'!$B$13,Paramètres!$A$1:$I$89,5,0)</f>
        <v>-3.1036506698001178E-14</v>
      </c>
      <c r="CV90" s="14" t="e">
        <f t="shared" si="95"/>
        <v>#NUM!</v>
      </c>
      <c r="CW90" s="22" t="e">
        <f t="shared" si="67"/>
        <v>#NUM!</v>
      </c>
      <c r="CX90" s="62" t="e">
        <f t="shared" si="68"/>
        <v>#NUM!</v>
      </c>
      <c r="CY90" s="62">
        <f ca="1">AVERAGE(OFFSET($CX$3,0,0,'Données projet'!$E$13+1,1))-AVERAGE(OFFSET($H$3,0,0,'Données projet'!$E$13+1,1))</f>
        <v>303.14853302260451</v>
      </c>
      <c r="CZ90" s="62">
        <f t="shared" si="96"/>
        <v>298.74602928001929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164.68424379179149</v>
      </c>
      <c r="DG90" s="23">
        <f>EXP(-LN(2)/25)*DG89+(1-EXP(-LN(2)/25))/(LN(2)/25)*Calculateur!DB90*Calculateur!DD90*VLOOKUP('Données projet'!$B$13,Paramètres!$A$1:$I$89,3,0)*0.475*44/12</f>
        <v>32.5187847601836</v>
      </c>
      <c r="DH90" s="23">
        <f>EXP(-LN(2)/2)*DH89+(1-EXP(-LN(2)/2))/(LN(2)/2)*DB90*DE90*VLOOKUP('Données projet'!$B$13,Paramètres!$A$1:$I$89,3,0)*0.475*44/12</f>
        <v>2.0313428000369176</v>
      </c>
      <c r="DI90" s="24">
        <f t="shared" si="69"/>
        <v>199.234371352012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70">
        <f t="shared" si="56"/>
        <v>256.66666666666669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6.7444444444444436</v>
      </c>
      <c r="N91" s="14">
        <f>IF('Données projet'!$A$36&gt;35,N90+M91-V90,IF(A91&lt;'Données projet'!$A$36,$K$205^A91,IF(A91='Données projet'!$A$36,'Données projet'!$B$36,N90+M91-V90)))</f>
        <v>235.79777777777784</v>
      </c>
      <c r="O91" s="14">
        <f>N91*VLOOKUP('Données projet'!$B$9,Paramètres!$A$1:$I$89,3,0)*VLOOKUP('Données projet'!$B$9,Paramètres!$A$1:$I$89,5,0)</f>
        <v>213.34982933333339</v>
      </c>
      <c r="P91" s="14">
        <f t="shared" si="87"/>
        <v>52.666932093046611</v>
      </c>
      <c r="Q91" s="22">
        <f t="shared" si="54"/>
        <v>463.31252615094513</v>
      </c>
      <c r="R91" s="62">
        <f t="shared" si="55"/>
        <v>756.64585948427839</v>
      </c>
      <c r="S91" s="62">
        <f ca="1">AVERAGE(OFFSET($R$3,0,0,'Données projet'!$E$9+1,1))-AVERAGE(OFFSET($H$3,0,0,'Données projet'!$E$9+1,1))</f>
        <v>441.6145113257511</v>
      </c>
      <c r="T91" s="62">
        <f t="shared" si="88"/>
        <v>295.8399381972477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21.479159382443203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21.479159382443203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11.25925925925926</v>
      </c>
      <c r="AI91" s="14">
        <f>IF('Données projet'!$A$62&gt;35,AI90+AH91-AQ90,IF(A91&lt;'Données projet'!$A$62,$AF$205^A91,IF(A91='Données projet'!$A$62,'Données projet'!$B$62,AI90+AH91-AQ90)))</f>
        <v>682.48148148148107</v>
      </c>
      <c r="AJ91" s="14">
        <f>AI91*VLOOKUP('Données projet'!$B$10,Paramètres!$A$1:$I$89,3,0)*VLOOKUP('Données projet'!$B$10,Paramètres!$A$1:$I$89,5,0)</f>
        <v>585.56911111111083</v>
      </c>
      <c r="AK91" s="14">
        <f t="shared" si="89"/>
        <v>128.52396838591963</v>
      </c>
      <c r="AL91" s="22">
        <f t="shared" si="58"/>
        <v>1243.7121134573279</v>
      </c>
      <c r="AM91" s="62">
        <f t="shared" si="59"/>
        <v>1537.0454467906611</v>
      </c>
      <c r="AN91" s="62">
        <f ca="1">AVERAGE(OFFSET($AM$3,0,0,'Données projet'!$E$10+1,1))-AVERAGE(OFFSET($H$3,0,0,'Données projet'!$E$10+1,1))</f>
        <v>623.31285537237943</v>
      </c>
      <c r="AO91" s="62">
        <f t="shared" si="90"/>
        <v>462.33909258902241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61.842556828318926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61.842556828318926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-1.7053025658242404E-13</v>
      </c>
      <c r="BE91" s="14">
        <f>BD91*VLOOKUP('Données projet'!$B$11,Paramètres!$A$1:$I$89,3,0)*VLOOKUP('Données projet'!$B$11,Paramètres!$A$1:$I$89,5,0)</f>
        <v>-1.3567387213697657E-13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299.10536994156814</v>
      </c>
      <c r="BJ91" s="62">
        <f t="shared" si="92"/>
        <v>292.57799203101769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103.57925588851079</v>
      </c>
      <c r="BQ91" s="23">
        <f>EXP(-LN(2)/25)*BQ90+(1-EXP(-LN(2)/25))/(LN(2)/25)*Calculateur!BL91*Calculateur!BN91*VLOOKUP('Données projet'!$B$11,Paramètres!$A$1:$I$89,3,0)*0.475*44/12</f>
        <v>0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103.57925588851079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2.8421709430404007E-14</v>
      </c>
      <c r="BZ91" s="14">
        <f>BY91*VLOOKUP('Données projet'!$B$12,Paramètres!$A$1:$I$89,3,0)*VLOOKUP('Données projet'!$B$12,Paramètres!$A$1:$I$89,5,0)</f>
        <v>2.2168933355715127E-14</v>
      </c>
      <c r="CA91" s="14">
        <f t="shared" si="93"/>
        <v>3.9687356123668477E-13</v>
      </c>
      <c r="CB91" s="22">
        <f t="shared" si="64"/>
        <v>7.2983234474842979E-13</v>
      </c>
      <c r="CC91" s="62">
        <f t="shared" si="65"/>
        <v>293.33333333333405</v>
      </c>
      <c r="CD91" s="62">
        <f ca="1">AVERAGE(OFFSET($CC$3,0,0,'Données projet'!$E$12+1,1))-AVERAGE(OFFSET($H$3,0,0,'Données projet'!$E$12+1,1))</f>
        <v>197.51529454208725</v>
      </c>
      <c r="CE91" s="62">
        <f t="shared" si="94"/>
        <v>196.65362486387215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54.871005682868031</v>
      </c>
      <c r="CL91" s="23">
        <f>EXP(-LN(2)/25)*CL90+(1-EXP(-LN(2)/25))/(LN(2)/25)*Calculateur!CG91*Calculateur!CI91*VLOOKUP('Données projet'!$B$12,Paramètres!$A$1:$I$89,3,0)*0.475*44/12</f>
        <v>0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54.871005682868031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-5.6843418860808015E-14</v>
      </c>
      <c r="CU91" s="18">
        <f>CT91*VLOOKUP('Données projet'!$B$13,Paramètres!$A$1:$I$89,3,0)*VLOOKUP('Données projet'!$B$13,Paramètres!$A$1:$I$89,5,0)</f>
        <v>-3.1036506698001178E-14</v>
      </c>
      <c r="CV91" s="14" t="e">
        <f t="shared" si="95"/>
        <v>#NUM!</v>
      </c>
      <c r="CW91" s="22" t="e">
        <f t="shared" si="67"/>
        <v>#NUM!</v>
      </c>
      <c r="CX91" s="62" t="e">
        <f t="shared" si="68"/>
        <v>#NUM!</v>
      </c>
      <c r="CY91" s="62">
        <f ca="1">AVERAGE(OFFSET($CX$3,0,0,'Données projet'!$E$13+1,1))-AVERAGE(OFFSET($H$3,0,0,'Données projet'!$E$13+1,1))</f>
        <v>303.14853302260451</v>
      </c>
      <c r="CZ91" s="62">
        <f t="shared" si="96"/>
        <v>298.74602928001929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161.45488621850481</v>
      </c>
      <c r="DG91" s="23">
        <f>EXP(-LN(2)/25)*DG90+(1-EXP(-LN(2)/25))/(LN(2)/25)*Calculateur!DB91*Calculateur!DD91*VLOOKUP('Données projet'!$B$13,Paramètres!$A$1:$I$89,3,0)*0.475*44/12</f>
        <v>31.62955688082781</v>
      </c>
      <c r="DH91" s="23">
        <f>EXP(-LN(2)/2)*DH90+(1-EXP(-LN(2)/2))/(LN(2)/2)*DB91*DE91*VLOOKUP('Données projet'!$B$13,Paramètres!$A$1:$I$89,3,0)*0.475*44/12</f>
        <v>1.4363762688205735</v>
      </c>
      <c r="DI91" s="24">
        <f t="shared" si="69"/>
        <v>194.52081936815318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70">
        <f t="shared" si="56"/>
        <v>256.66666666666669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6.7444444444444436</v>
      </c>
      <c r="N92" s="14">
        <f>IF('Données projet'!$A$36&gt;35,N91+M92-V91,IF(A92&lt;'Données projet'!$A$36,$K$205^A92,IF(A92='Données projet'!$A$36,'Données projet'!$B$36,N91+M92-V91)))</f>
        <v>242.54222222222228</v>
      </c>
      <c r="O92" s="14">
        <f>N92*VLOOKUP('Données projet'!$B$9,Paramètres!$A$1:$I$89,3,0)*VLOOKUP('Données projet'!$B$9,Paramètres!$A$1:$I$89,5,0)</f>
        <v>219.45220266666669</v>
      </c>
      <c r="P92" s="14">
        <f t="shared" si="87"/>
        <v>53.995807406743118</v>
      </c>
      <c r="Q92" s="22">
        <f t="shared" si="54"/>
        <v>476.25528421118867</v>
      </c>
      <c r="R92" s="62">
        <f t="shared" si="55"/>
        <v>769.58861754452198</v>
      </c>
      <c r="S92" s="62">
        <f ca="1">AVERAGE(OFFSET($R$3,0,0,'Données projet'!$E$9+1,1))-AVERAGE(OFFSET($H$3,0,0,'Données projet'!$E$9+1,1))</f>
        <v>441.6145113257511</v>
      </c>
      <c r="T92" s="62">
        <f t="shared" si="88"/>
        <v>295.8399381972477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21.0579661679471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21.0579661679471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11.25925925925926</v>
      </c>
      <c r="AI92" s="14">
        <f>IF('Données projet'!$A$62&gt;35,AI91+AH92-AQ91,IF(A92&lt;'Données projet'!$A$62,$AF$205^A92,IF(A92='Données projet'!$A$62,'Données projet'!$B$62,AI91+AH92-AQ91)))</f>
        <v>693.74074074074031</v>
      </c>
      <c r="AJ92" s="14">
        <f>AI92*VLOOKUP('Données projet'!$B$10,Paramètres!$A$1:$I$89,3,0)*VLOOKUP('Données projet'!$B$10,Paramètres!$A$1:$I$89,5,0)</f>
        <v>595.22955555555529</v>
      </c>
      <c r="AK92" s="14">
        <f t="shared" si="89"/>
        <v>130.39570239310595</v>
      </c>
      <c r="AL92" s="22">
        <f t="shared" si="58"/>
        <v>1263.7973242605849</v>
      </c>
      <c r="AM92" s="62">
        <f t="shared" si="59"/>
        <v>1557.1306575939182</v>
      </c>
      <c r="AN92" s="62">
        <f ca="1">AVERAGE(OFFSET($AM$3,0,0,'Données projet'!$E$10+1,1))-AVERAGE(OFFSET($H$3,0,0,'Données projet'!$E$10+1,1))</f>
        <v>623.31285537237943</v>
      </c>
      <c r="AO92" s="62">
        <f t="shared" si="90"/>
        <v>462.33909258902241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60.629862009150692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60.629862009150692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-1.7053025658242404E-13</v>
      </c>
      <c r="BE92" s="14">
        <f>BD92*VLOOKUP('Données projet'!$B$11,Paramètres!$A$1:$I$89,3,0)*VLOOKUP('Données projet'!$B$11,Paramètres!$A$1:$I$89,5,0)</f>
        <v>-1.3567387213697657E-13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299.10536994156814</v>
      </c>
      <c r="BJ92" s="62">
        <f t="shared" si="92"/>
        <v>292.57799203101769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101.54812985764497</v>
      </c>
      <c r="BQ92" s="23">
        <f>EXP(-LN(2)/25)*BQ91+(1-EXP(-LN(2)/25))/(LN(2)/25)*Calculateur!BL92*Calculateur!BN92*VLOOKUP('Données projet'!$B$11,Paramètres!$A$1:$I$89,3,0)*0.475*44/12</f>
        <v>0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101.54812985764497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2.8421709430404007E-14</v>
      </c>
      <c r="BZ92" s="14">
        <f>BY92*VLOOKUP('Données projet'!$B$12,Paramètres!$A$1:$I$89,3,0)*VLOOKUP('Données projet'!$B$12,Paramètres!$A$1:$I$89,5,0)</f>
        <v>2.2168933355715127E-14</v>
      </c>
      <c r="CA92" s="14">
        <f t="shared" si="93"/>
        <v>3.9687356123668477E-13</v>
      </c>
      <c r="CB92" s="22">
        <f t="shared" si="64"/>
        <v>7.2983234474842979E-13</v>
      </c>
      <c r="CC92" s="62">
        <f t="shared" si="65"/>
        <v>293.33333333333405</v>
      </c>
      <c r="CD92" s="62">
        <f ca="1">AVERAGE(OFFSET($CC$3,0,0,'Données projet'!$E$12+1,1))-AVERAGE(OFFSET($H$3,0,0,'Données projet'!$E$12+1,1))</f>
        <v>197.51529454208725</v>
      </c>
      <c r="CE92" s="62">
        <f t="shared" si="94"/>
        <v>196.65362486387215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53.79501872943576</v>
      </c>
      <c r="CL92" s="23">
        <f>EXP(-LN(2)/25)*CL91+(1-EXP(-LN(2)/25))/(LN(2)/25)*Calculateur!CG92*Calculateur!CI92*VLOOKUP('Données projet'!$B$12,Paramètres!$A$1:$I$89,3,0)*0.475*44/12</f>
        <v>0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53.79501872943576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-5.6843418860808015E-14</v>
      </c>
      <c r="CU92" s="18">
        <f>CT92*VLOOKUP('Données projet'!$B$13,Paramètres!$A$1:$I$89,3,0)*VLOOKUP('Données projet'!$B$13,Paramètres!$A$1:$I$89,5,0)</f>
        <v>-3.1036506698001178E-14</v>
      </c>
      <c r="CV92" s="14" t="e">
        <f t="shared" si="95"/>
        <v>#NUM!</v>
      </c>
      <c r="CW92" s="22" t="e">
        <f t="shared" si="67"/>
        <v>#NUM!</v>
      </c>
      <c r="CX92" s="62" t="e">
        <f t="shared" si="68"/>
        <v>#NUM!</v>
      </c>
      <c r="CY92" s="62">
        <f ca="1">AVERAGE(OFFSET($CX$3,0,0,'Données projet'!$E$13+1,1))-AVERAGE(OFFSET($H$3,0,0,'Données projet'!$E$13+1,1))</f>
        <v>303.14853302260451</v>
      </c>
      <c r="CZ92" s="62">
        <f t="shared" si="96"/>
        <v>298.74602928001929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158.28885437751666</v>
      </c>
      <c r="DG92" s="23">
        <f>EXP(-LN(2)/25)*DG91+(1-EXP(-LN(2)/25))/(LN(2)/25)*Calculateur!DB92*Calculateur!DD92*VLOOKUP('Données projet'!$B$13,Paramètres!$A$1:$I$89,3,0)*0.475*44/12</f>
        <v>30.764644984595467</v>
      </c>
      <c r="DH92" s="23">
        <f>EXP(-LN(2)/2)*DH91+(1-EXP(-LN(2)/2))/(LN(2)/2)*DB92*DE92*VLOOKUP('Données projet'!$B$13,Paramètres!$A$1:$I$89,3,0)*0.475*44/12</f>
        <v>1.0156714000184588</v>
      </c>
      <c r="DI92" s="24">
        <f t="shared" si="69"/>
        <v>190.06917076213057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70">
        <f t="shared" si="56"/>
        <v>256.66666666666669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6.7444444444444436</v>
      </c>
      <c r="N93" s="14">
        <f>IF('Données projet'!$A$36&gt;35,N92+M93-V92,IF(A93&lt;'Données projet'!$A$36,$K$205^A93,IF(A93='Données projet'!$A$36,'Données projet'!$B$36,N92+M93-V92)))</f>
        <v>249.28666666666672</v>
      </c>
      <c r="O93" s="14">
        <f>N93*VLOOKUP('Données projet'!$B$9,Paramètres!$A$1:$I$89,3,0)*VLOOKUP('Données projet'!$B$9,Paramètres!$A$1:$I$89,5,0)</f>
        <v>225.55457600000005</v>
      </c>
      <c r="P93" s="14">
        <f t="shared" si="87"/>
        <v>55.320387825711109</v>
      </c>
      <c r="Q93" s="22">
        <f t="shared" si="54"/>
        <v>489.190561996447</v>
      </c>
      <c r="R93" s="62">
        <f t="shared" si="55"/>
        <v>782.52389532978032</v>
      </c>
      <c r="S93" s="62">
        <f ca="1">AVERAGE(OFFSET($R$3,0,0,'Données projet'!$E$9+1,1))-AVERAGE(OFFSET($H$3,0,0,'Données projet'!$E$9+1,1))</f>
        <v>441.6145113257511</v>
      </c>
      <c r="T93" s="62">
        <f t="shared" si="88"/>
        <v>295.8399381972477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20.645032295484771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20.645032295484771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705</v>
      </c>
      <c r="AG93" s="13">
        <f>VLOOKUP(A93,'Données projet'!$A$61:$I$81,9,0)</f>
        <v>11.25925925925926</v>
      </c>
      <c r="AH93" s="13">
        <f t="array" ref="AH93">INDEX(AG:AG,MIN(IF(ISNUMBER(AG93:AG289),ROW(AG93:AG289),"")))</f>
        <v>11.25925925925926</v>
      </c>
      <c r="AI93" s="14">
        <f>IF('Données projet'!$A$62&gt;35,AI92+AH93-AQ92,IF(A93&lt;'Données projet'!$A$62,$AF$205^A93,IF(A93='Données projet'!$A$62,'Données projet'!$B$62,AI92+AH93-AQ92)))</f>
        <v>704.99999999999955</v>
      </c>
      <c r="AJ93" s="14">
        <f>AI93*VLOOKUP('Données projet'!$B$10,Paramètres!$A$1:$I$89,3,0)*VLOOKUP('Données projet'!$B$10,Paramètres!$A$1:$I$89,5,0)</f>
        <v>604.88999999999965</v>
      </c>
      <c r="AK93" s="14">
        <f t="shared" si="89"/>
        <v>132.26390359476616</v>
      </c>
      <c r="AL93" s="22">
        <f t="shared" si="58"/>
        <v>1283.876382094217</v>
      </c>
      <c r="AM93" s="62">
        <f t="shared" si="59"/>
        <v>1577.2097154275502</v>
      </c>
      <c r="AN93" s="62">
        <f ca="1">AVERAGE(OFFSET($AM$3,0,0,'Données projet'!$E$10+1,1))-AVERAGE(OFFSET($H$3,0,0,'Données projet'!$E$10+1,1))</f>
        <v>623.31285537237943</v>
      </c>
      <c r="AO93" s="62">
        <f t="shared" si="90"/>
        <v>462.33909258902241</v>
      </c>
      <c r="AP93" s="16">
        <f>IF(ISNA(VLOOKUP(A93,'Données projet'!$A$61:$I$81,3,0)),0,VLOOKUP(A93,'Données projet'!$A$61:$I$81,3,0))</f>
        <v>10</v>
      </c>
      <c r="AQ93" s="16">
        <f>IF(ISNA(VLOOKUP(A93,'Données projet'!$A$61:$I$81,4,0)),0,VLOOKUP(A93,'Données projet'!$A$61:$I$81,4,0))</f>
        <v>705</v>
      </c>
      <c r="AR93" s="17">
        <f>IF(ISNA(VLOOKUP(A93,'Données projet'!$A$61:$I$81,5,0)),0%,VLOOKUP(A93,'Données projet'!$A$61:$I$81,5,0)*VLOOKUP('Données projet'!$B$10,Paramètres!$A$1:$I$89,7,0))</f>
        <v>0.42400000000000004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342.96465001500661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342.96465001500661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-1.7053025658242404E-13</v>
      </c>
      <c r="BE93" s="14">
        <f>BD93*VLOOKUP('Données projet'!$B$11,Paramètres!$A$1:$I$89,3,0)*VLOOKUP('Données projet'!$B$11,Paramètres!$A$1:$I$89,5,0)</f>
        <v>-1.3567387213697657E-13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299.10536994156814</v>
      </c>
      <c r="BJ93" s="62">
        <f t="shared" si="92"/>
        <v>292.57799203101769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99.556832969379869</v>
      </c>
      <c r="BQ93" s="23">
        <f>EXP(-LN(2)/25)*BQ92+(1-EXP(-LN(2)/25))/(LN(2)/25)*Calculateur!BL93*Calculateur!BN93*VLOOKUP('Données projet'!$B$11,Paramètres!$A$1:$I$89,3,0)*0.475*44/12</f>
        <v>0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99.556832969379869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2.8421709430404007E-14</v>
      </c>
      <c r="BZ93" s="14">
        <f>BY93*VLOOKUP('Données projet'!$B$12,Paramètres!$A$1:$I$89,3,0)*VLOOKUP('Données projet'!$B$12,Paramètres!$A$1:$I$89,5,0)</f>
        <v>2.2168933355715127E-14</v>
      </c>
      <c r="CA93" s="14">
        <f t="shared" si="93"/>
        <v>3.9687356123668477E-13</v>
      </c>
      <c r="CB93" s="22">
        <f t="shared" si="64"/>
        <v>7.2983234474842979E-13</v>
      </c>
      <c r="CC93" s="62">
        <f t="shared" si="65"/>
        <v>293.33333333333405</v>
      </c>
      <c r="CD93" s="62">
        <f ca="1">AVERAGE(OFFSET($CC$3,0,0,'Données projet'!$E$12+1,1))-AVERAGE(OFFSET($H$3,0,0,'Données projet'!$E$12+1,1))</f>
        <v>197.51529454208725</v>
      </c>
      <c r="CE93" s="62">
        <f t="shared" si="94"/>
        <v>196.65362486387215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52.740131223873064</v>
      </c>
      <c r="CL93" s="23">
        <f>EXP(-LN(2)/25)*CL92+(1-EXP(-LN(2)/25))/(LN(2)/25)*Calculateur!CG93*Calculateur!CI93*VLOOKUP('Données projet'!$B$12,Paramètres!$A$1:$I$89,3,0)*0.475*44/12</f>
        <v>0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52.740131223873064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-5.6843418860808015E-14</v>
      </c>
      <c r="CU93" s="18">
        <f>CT93*VLOOKUP('Données projet'!$B$13,Paramètres!$A$1:$I$89,3,0)*VLOOKUP('Données projet'!$B$13,Paramètres!$A$1:$I$89,5,0)</f>
        <v>-3.1036506698001178E-14</v>
      </c>
      <c r="CV93" s="14" t="e">
        <f t="shared" si="95"/>
        <v>#NUM!</v>
      </c>
      <c r="CW93" s="22" t="e">
        <f t="shared" si="67"/>
        <v>#NUM!</v>
      </c>
      <c r="CX93" s="62" t="e">
        <f t="shared" si="68"/>
        <v>#NUM!</v>
      </c>
      <c r="CY93" s="62">
        <f ca="1">AVERAGE(OFFSET($CX$3,0,0,'Données projet'!$E$13+1,1))-AVERAGE(OFFSET($H$3,0,0,'Données projet'!$E$13+1,1))</f>
        <v>303.14853302260451</v>
      </c>
      <c r="CZ93" s="62">
        <f t="shared" si="96"/>
        <v>298.74602928001929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155.18490648984152</v>
      </c>
      <c r="DG93" s="23">
        <f>EXP(-LN(2)/25)*DG92+(1-EXP(-LN(2)/25))/(LN(2)/25)*Calculateur!DB93*Calculateur!DD93*VLOOKUP('Données projet'!$B$13,Paramètres!$A$1:$I$89,3,0)*0.475*44/12</f>
        <v>29.923384149649337</v>
      </c>
      <c r="DH93" s="23">
        <f>EXP(-LN(2)/2)*DH92+(1-EXP(-LN(2)/2))/(LN(2)/2)*DB93*DE93*VLOOKUP('Données projet'!$B$13,Paramètres!$A$1:$I$89,3,0)*0.475*44/12</f>
        <v>0.71818813441028673</v>
      </c>
      <c r="DI93" s="24">
        <f t="shared" si="69"/>
        <v>185.82647877390116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70">
        <f t="shared" si="56"/>
        <v>256.66666666666669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6.7444444444444436</v>
      </c>
      <c r="N94" s="14">
        <f>IF('Données projet'!$A$36&gt;35,N93+M94-V93,IF(A94&lt;'Données projet'!$A$36,$K$205^A94,IF(A94='Données projet'!$A$36,'Données projet'!$B$36,N93+M94-V93)))</f>
        <v>256.03111111111116</v>
      </c>
      <c r="O94" s="14">
        <f>N94*VLOOKUP('Données projet'!$B$9,Paramètres!$A$1:$I$89,3,0)*VLOOKUP('Données projet'!$B$9,Paramètres!$A$1:$I$89,5,0)</f>
        <v>231.65694933333339</v>
      </c>
      <c r="P94" s="14">
        <f t="shared" si="87"/>
        <v>56.640802901652734</v>
      </c>
      <c r="Q94" s="22">
        <f t="shared" si="54"/>
        <v>502.11858514260081</v>
      </c>
      <c r="R94" s="62">
        <f t="shared" si="55"/>
        <v>795.45191847593412</v>
      </c>
      <c r="S94" s="62">
        <f ca="1">AVERAGE(OFFSET($R$3,0,0,'Données projet'!$E$9+1,1))-AVERAGE(OFFSET($H$3,0,0,'Données projet'!$E$9+1,1))</f>
        <v>441.6145113257511</v>
      </c>
      <c r="T94" s="62">
        <f t="shared" si="88"/>
        <v>295.8399381972477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20.240195804396635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20.240195804396635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-4.5474735088646412E-13</v>
      </c>
      <c r="AJ94" s="14">
        <f>AI94*VLOOKUP('Données projet'!$B$10,Paramètres!$A$1:$I$89,3,0)*VLOOKUP('Données projet'!$B$10,Paramètres!$A$1:$I$89,5,0)</f>
        <v>-3.9017322706058626E-13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623.31285537237943</v>
      </c>
      <c r="AO94" s="62">
        <f t="shared" si="90"/>
        <v>462.33909258902241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336.23932241599329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336.23932241599329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-1.7053025658242404E-13</v>
      </c>
      <c r="BE94" s="14">
        <f>BD94*VLOOKUP('Données projet'!$B$11,Paramètres!$A$1:$I$89,3,0)*VLOOKUP('Données projet'!$B$11,Paramètres!$A$1:$I$89,5,0)</f>
        <v>-1.3567387213697657E-13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299.10536994156814</v>
      </c>
      <c r="BJ94" s="62">
        <f t="shared" si="92"/>
        <v>292.57799203101769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97.604584198522474</v>
      </c>
      <c r="BQ94" s="23">
        <f>EXP(-LN(2)/25)*BQ93+(1-EXP(-LN(2)/25))/(LN(2)/25)*Calculateur!BL94*Calculateur!BN94*VLOOKUP('Données projet'!$B$11,Paramètres!$A$1:$I$89,3,0)*0.475*44/12</f>
        <v>0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97.604584198522474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2.8421709430404007E-14</v>
      </c>
      <c r="BZ94" s="14">
        <f>BY94*VLOOKUP('Données projet'!$B$12,Paramètres!$A$1:$I$89,3,0)*VLOOKUP('Données projet'!$B$12,Paramètres!$A$1:$I$89,5,0)</f>
        <v>2.2168933355715127E-14</v>
      </c>
      <c r="CA94" s="14">
        <f t="shared" si="93"/>
        <v>3.9687356123668477E-13</v>
      </c>
      <c r="CB94" s="22">
        <f t="shared" si="64"/>
        <v>7.2983234474842979E-13</v>
      </c>
      <c r="CC94" s="62">
        <f t="shared" si="65"/>
        <v>293.33333333333405</v>
      </c>
      <c r="CD94" s="62">
        <f ca="1">AVERAGE(OFFSET($CC$3,0,0,'Données projet'!$E$12+1,1))-AVERAGE(OFFSET($H$3,0,0,'Données projet'!$E$12+1,1))</f>
        <v>197.51529454208725</v>
      </c>
      <c r="CE94" s="62">
        <f t="shared" si="94"/>
        <v>196.65362486387215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51.7059294188766</v>
      </c>
      <c r="CL94" s="23">
        <f>EXP(-LN(2)/25)*CL93+(1-EXP(-LN(2)/25))/(LN(2)/25)*Calculateur!CG94*Calculateur!CI94*VLOOKUP('Données projet'!$B$12,Paramètres!$A$1:$I$89,3,0)*0.475*44/12</f>
        <v>0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51.7059294188766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-5.6843418860808015E-14</v>
      </c>
      <c r="CU94" s="18">
        <f>CT94*VLOOKUP('Données projet'!$B$13,Paramètres!$A$1:$I$89,3,0)*VLOOKUP('Données projet'!$B$13,Paramètres!$A$1:$I$89,5,0)</f>
        <v>-3.1036506698001178E-14</v>
      </c>
      <c r="CV94" s="14" t="e">
        <f t="shared" si="95"/>
        <v>#NUM!</v>
      </c>
      <c r="CW94" s="22" t="e">
        <f t="shared" si="67"/>
        <v>#NUM!</v>
      </c>
      <c r="CX94" s="62" t="e">
        <f t="shared" si="68"/>
        <v>#NUM!</v>
      </c>
      <c r="CY94" s="62">
        <f ca="1">AVERAGE(OFFSET($CX$3,0,0,'Données projet'!$E$13+1,1))-AVERAGE(OFFSET($H$3,0,0,'Données projet'!$E$13+1,1))</f>
        <v>303.14853302260451</v>
      </c>
      <c r="CZ94" s="62">
        <f t="shared" si="96"/>
        <v>298.74602928001929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152.14182512702243</v>
      </c>
      <c r="DG94" s="23">
        <f>EXP(-LN(2)/25)*DG93+(1-EXP(-LN(2)/25))/(LN(2)/25)*Calculateur!DB94*Calculateur!DD94*VLOOKUP('Données projet'!$B$13,Paramètres!$A$1:$I$89,3,0)*0.475*44/12</f>
        <v>29.105127636474794</v>
      </c>
      <c r="DH94" s="23">
        <f>EXP(-LN(2)/2)*DH93+(1-EXP(-LN(2)/2))/(LN(2)/2)*DB94*DE94*VLOOKUP('Données projet'!$B$13,Paramètres!$A$1:$I$89,3,0)*0.475*44/12</f>
        <v>0.5078357000092294</v>
      </c>
      <c r="DI94" s="24">
        <f t="shared" si="69"/>
        <v>181.75478846350646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70">
        <f t="shared" si="56"/>
        <v>256.66666666666669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6.7444444444444436</v>
      </c>
      <c r="N95" s="14">
        <f>IF('Données projet'!$A$36&gt;35,N94+M95-V94,IF(A95&lt;'Données projet'!$A$36,$K$205^A95,IF(A95='Données projet'!$A$36,'Données projet'!$B$36,N94+M95-V94)))</f>
        <v>262.77555555555563</v>
      </c>
      <c r="O95" s="14">
        <f>N95*VLOOKUP('Données projet'!$B$9,Paramètres!$A$1:$I$89,3,0)*VLOOKUP('Données projet'!$B$9,Paramètres!$A$1:$I$89,5,0)</f>
        <v>237.75932266666675</v>
      </c>
      <c r="P95" s="14">
        <f t="shared" si="87"/>
        <v>57.957174972200797</v>
      </c>
      <c r="Q95" s="22">
        <f t="shared" si="54"/>
        <v>515.03956672102765</v>
      </c>
      <c r="R95" s="62">
        <f t="shared" si="55"/>
        <v>808.37290005436103</v>
      </c>
      <c r="S95" s="62">
        <f ca="1">AVERAGE(OFFSET($R$3,0,0,'Données projet'!$E$9+1,1))-AVERAGE(OFFSET($H$3,0,0,'Données projet'!$E$9+1,1))</f>
        <v>441.6145113257511</v>
      </c>
      <c r="T95" s="62">
        <f t="shared" si="88"/>
        <v>295.8399381972477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19.843297909972861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19.843297909972861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-4.5474735088646412E-13</v>
      </c>
      <c r="AJ95" s="14">
        <f>AI95*VLOOKUP('Données projet'!$B$10,Paramètres!$A$1:$I$89,3,0)*VLOOKUP('Données projet'!$B$10,Paramètres!$A$1:$I$89,5,0)</f>
        <v>-3.9017322706058626E-13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623.31285537237943</v>
      </c>
      <c r="AO95" s="62">
        <f t="shared" si="90"/>
        <v>462.33909258902241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329.6458743891518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329.6458743891518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-1.7053025658242404E-13</v>
      </c>
      <c r="BE95" s="14">
        <f>BD95*VLOOKUP('Données projet'!$B$11,Paramètres!$A$1:$I$89,3,0)*VLOOKUP('Données projet'!$B$11,Paramètres!$A$1:$I$89,5,0)</f>
        <v>-1.3567387213697657E-13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299.10536994156814</v>
      </c>
      <c r="BJ95" s="62">
        <f t="shared" si="92"/>
        <v>292.57799203101769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95.690617835307421</v>
      </c>
      <c r="BQ95" s="23">
        <f>EXP(-LN(2)/25)*BQ94+(1-EXP(-LN(2)/25))/(LN(2)/25)*Calculateur!BL95*Calculateur!BN95*VLOOKUP('Données projet'!$B$11,Paramètres!$A$1:$I$89,3,0)*0.475*44/12</f>
        <v>0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95.690617835307421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2.8421709430404007E-14</v>
      </c>
      <c r="BZ95" s="14">
        <f>BY95*VLOOKUP('Données projet'!$B$12,Paramètres!$A$1:$I$89,3,0)*VLOOKUP('Données projet'!$B$12,Paramètres!$A$1:$I$89,5,0)</f>
        <v>2.2168933355715127E-14</v>
      </c>
      <c r="CA95" s="14">
        <f t="shared" si="93"/>
        <v>3.9687356123668477E-13</v>
      </c>
      <c r="CB95" s="22">
        <f t="shared" si="64"/>
        <v>7.2983234474842979E-13</v>
      </c>
      <c r="CC95" s="62">
        <f t="shared" si="65"/>
        <v>293.33333333333405</v>
      </c>
      <c r="CD95" s="62">
        <f ca="1">AVERAGE(OFFSET($CC$3,0,0,'Données projet'!$E$12+1,1))-AVERAGE(OFFSET($H$3,0,0,'Données projet'!$E$12+1,1))</f>
        <v>197.51529454208725</v>
      </c>
      <c r="CE95" s="62">
        <f t="shared" si="94"/>
        <v>196.65362486387215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50.692007680475307</v>
      </c>
      <c r="CL95" s="23">
        <f>EXP(-LN(2)/25)*CL94+(1-EXP(-LN(2)/25))/(LN(2)/25)*Calculateur!CG95*Calculateur!CI95*VLOOKUP('Données projet'!$B$12,Paramètres!$A$1:$I$89,3,0)*0.475*44/12</f>
        <v>0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50.692007680475307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-5.6843418860808015E-14</v>
      </c>
      <c r="CU95" s="18">
        <f>CT95*VLOOKUP('Données projet'!$B$13,Paramètres!$A$1:$I$89,3,0)*VLOOKUP('Données projet'!$B$13,Paramètres!$A$1:$I$89,5,0)</f>
        <v>-3.1036506698001178E-14</v>
      </c>
      <c r="CV95" s="14" t="e">
        <f t="shared" si="95"/>
        <v>#NUM!</v>
      </c>
      <c r="CW95" s="22" t="e">
        <f t="shared" si="67"/>
        <v>#NUM!</v>
      </c>
      <c r="CX95" s="62" t="e">
        <f t="shared" si="68"/>
        <v>#NUM!</v>
      </c>
      <c r="CY95" s="62">
        <f ca="1">AVERAGE(OFFSET($CX$3,0,0,'Données projet'!$E$13+1,1))-AVERAGE(OFFSET($H$3,0,0,'Données projet'!$E$13+1,1))</f>
        <v>303.14853302260451</v>
      </c>
      <c r="CZ95" s="62">
        <f t="shared" si="96"/>
        <v>298.74602928001929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149.15841673363187</v>
      </c>
      <c r="DG95" s="23">
        <f>EXP(-LN(2)/25)*DG94+(1-EXP(-LN(2)/25))/(LN(2)/25)*Calculateur!DB95*Calculateur!DD95*VLOOKUP('Données projet'!$B$13,Paramètres!$A$1:$I$89,3,0)*0.475*44/12</f>
        <v>28.309246390683249</v>
      </c>
      <c r="DH95" s="23">
        <f>EXP(-LN(2)/2)*DH94+(1-EXP(-LN(2)/2))/(LN(2)/2)*DB95*DE95*VLOOKUP('Données projet'!$B$13,Paramètres!$A$1:$I$89,3,0)*0.475*44/12</f>
        <v>0.35909406720514336</v>
      </c>
      <c r="DI95" s="24">
        <f t="shared" si="69"/>
        <v>177.82675719152027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70">
        <f t="shared" si="56"/>
        <v>256.66666666666669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>
        <f>VLOOKUP(A96,'Données projet'!$A$35:$I$55,2,0)</f>
        <v>269.52</v>
      </c>
      <c r="L96" s="13">
        <f>VLOOKUP(A96,'Données projet'!$A$35:$I$55,9,0)</f>
        <v>6.7444444444444436</v>
      </c>
      <c r="M96" s="13">
        <f t="array" ref="M96">INDEX(L:L,MIN(IF(ISNUMBER(L96:L292),ROW(L96:L292),"")))</f>
        <v>6.7444444444444436</v>
      </c>
      <c r="N96" s="14">
        <f>IF('Données projet'!$A$36&gt;35,N95+M96-V95,IF(A96&lt;'Données projet'!$A$36,$K$205^A96,IF(A96='Données projet'!$A$36,'Données projet'!$B$36,N95+M96-V95)))</f>
        <v>269.5200000000001</v>
      </c>
      <c r="O96" s="14">
        <f>N96*VLOOKUP('Données projet'!$B$9,Paramètres!$A$1:$I$89,3,0)*VLOOKUP('Données projet'!$B$9,Paramètres!$A$1:$I$89,5,0)</f>
        <v>243.86169600000008</v>
      </c>
      <c r="P96" s="14">
        <f t="shared" si="87"/>
        <v>59.269619737338338</v>
      </c>
      <c r="Q96" s="22">
        <f t="shared" si="54"/>
        <v>527.95370824253109</v>
      </c>
      <c r="R96" s="62">
        <f t="shared" si="55"/>
        <v>821.28704157586435</v>
      </c>
      <c r="S96" s="62">
        <f ca="1">AVERAGE(OFFSET($R$3,0,0,'Données projet'!$E$9+1,1))-AVERAGE(OFFSET($H$3,0,0,'Données projet'!$E$9+1,1))</f>
        <v>441.6145113257511</v>
      </c>
      <c r="T96" s="62">
        <f t="shared" si="88"/>
        <v>295.8399381972477</v>
      </c>
      <c r="U96" s="16">
        <f>IF(ISNA(VLOOKUP(A96,'Données projet'!$A$35:$I$55,3,0)),0,VLOOKUP(A96,'Données projet'!$A$35:$I$55,3,0))</f>
        <v>7</v>
      </c>
      <c r="V96" s="16">
        <f>IF(ISNA(VLOOKUP(A96,'Données projet'!$A$35:$I$55,4,0)),0,VLOOKUP(A96,'Données projet'!$A$35:$I$55,4,0))</f>
        <v>38.57</v>
      </c>
      <c r="W96" s="17">
        <f>IF(ISNA(VLOOKUP(A96,'Données projet'!$A$35:$I$55,5,0)),0%,VLOOKUP(A96,'Données projet'!$A$35:$I$55,5,0)*VLOOKUP('Données projet'!$B$9,Paramètres!$A$1:$I$89,7,0))</f>
        <v>0.17200000000000001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26.089746112787878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26.089746112787878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-4.5474735088646412E-13</v>
      </c>
      <c r="AJ96" s="14">
        <f>AI96*VLOOKUP('Données projet'!$B$10,Paramètres!$A$1:$I$89,3,0)*VLOOKUP('Données projet'!$B$10,Paramètres!$A$1:$I$89,5,0)</f>
        <v>-3.9017322706058626E-13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623.31285537237943</v>
      </c>
      <c r="AO96" s="62">
        <f t="shared" si="90"/>
        <v>462.33909258902241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323.18171985651048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323.18171985651048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-1.7053025658242404E-13</v>
      </c>
      <c r="BE96" s="14">
        <f>BD96*VLOOKUP('Données projet'!$B$11,Paramètres!$A$1:$I$89,3,0)*VLOOKUP('Données projet'!$B$11,Paramètres!$A$1:$I$89,5,0)</f>
        <v>-1.3567387213697657E-13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299.10536994156814</v>
      </c>
      <c r="BJ96" s="62">
        <f t="shared" si="92"/>
        <v>292.57799203101769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93.814183185070803</v>
      </c>
      <c r="BQ96" s="23">
        <f>EXP(-LN(2)/25)*BQ95+(1-EXP(-LN(2)/25))/(LN(2)/25)*Calculateur!BL96*Calculateur!BN96*VLOOKUP('Données projet'!$B$11,Paramètres!$A$1:$I$89,3,0)*0.475*44/12</f>
        <v>0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93.814183185070803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2.8421709430404007E-14</v>
      </c>
      <c r="BZ96" s="14">
        <f>BY96*VLOOKUP('Données projet'!$B$12,Paramètres!$A$1:$I$89,3,0)*VLOOKUP('Données projet'!$B$12,Paramètres!$A$1:$I$89,5,0)</f>
        <v>2.2168933355715127E-14</v>
      </c>
      <c r="CA96" s="14">
        <f t="shared" si="93"/>
        <v>3.9687356123668477E-13</v>
      </c>
      <c r="CB96" s="22">
        <f t="shared" si="64"/>
        <v>7.2983234474842979E-13</v>
      </c>
      <c r="CC96" s="62">
        <f t="shared" si="65"/>
        <v>293.33333333333405</v>
      </c>
      <c r="CD96" s="62">
        <f ca="1">AVERAGE(OFFSET($CC$3,0,0,'Données projet'!$E$12+1,1))-AVERAGE(OFFSET($H$3,0,0,'Données projet'!$E$12+1,1))</f>
        <v>197.51529454208725</v>
      </c>
      <c r="CE96" s="62">
        <f t="shared" si="94"/>
        <v>196.65362486387215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49.697968328932866</v>
      </c>
      <c r="CL96" s="23">
        <f>EXP(-LN(2)/25)*CL95+(1-EXP(-LN(2)/25))/(LN(2)/25)*Calculateur!CG96*Calculateur!CI96*VLOOKUP('Données projet'!$B$12,Paramètres!$A$1:$I$89,3,0)*0.475*44/12</f>
        <v>0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49.697968328932866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-5.6843418860808015E-14</v>
      </c>
      <c r="CU96" s="18">
        <f>CT96*VLOOKUP('Données projet'!$B$13,Paramètres!$A$1:$I$89,3,0)*VLOOKUP('Données projet'!$B$13,Paramètres!$A$1:$I$89,5,0)</f>
        <v>-3.1036506698001178E-14</v>
      </c>
      <c r="CV96" s="14" t="e">
        <f t="shared" si="95"/>
        <v>#NUM!</v>
      </c>
      <c r="CW96" s="22" t="e">
        <f t="shared" si="67"/>
        <v>#NUM!</v>
      </c>
      <c r="CX96" s="62" t="e">
        <f t="shared" si="68"/>
        <v>#NUM!</v>
      </c>
      <c r="CY96" s="62">
        <f ca="1">AVERAGE(OFFSET($CX$3,0,0,'Données projet'!$E$13+1,1))-AVERAGE(OFFSET($H$3,0,0,'Données projet'!$E$13+1,1))</f>
        <v>303.14853302260451</v>
      </c>
      <c r="CZ96" s="62">
        <f t="shared" si="96"/>
        <v>298.74602928001929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146.23351115913627</v>
      </c>
      <c r="DG96" s="23">
        <f>EXP(-LN(2)/25)*DG95+(1-EXP(-LN(2)/25))/(LN(2)/25)*Calculateur!DB96*Calculateur!DD96*VLOOKUP('Données projet'!$B$13,Paramètres!$A$1:$I$89,3,0)*0.475*44/12</f>
        <v>27.535128559411451</v>
      </c>
      <c r="DH96" s="23">
        <f>EXP(-LN(2)/2)*DH95+(1-EXP(-LN(2)/2))/(LN(2)/2)*DB96*DE96*VLOOKUP('Données projet'!$B$13,Paramètres!$A$1:$I$89,3,0)*0.475*44/12</f>
        <v>0.2539178500046147</v>
      </c>
      <c r="DI96" s="24">
        <f t="shared" si="69"/>
        <v>174.02255756855234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70">
        <f t="shared" si="56"/>
        <v>256.66666666666669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6.7350000000000021</v>
      </c>
      <c r="N97" s="14">
        <f>IF('Données projet'!$A$36&gt;35,N96+M97-V96,IF(A97&lt;'Données projet'!$A$36,$K$205^A97,IF(A97='Données projet'!$A$36,'Données projet'!$B$36,N96+M97-V96)))</f>
        <v>237.68500000000012</v>
      </c>
      <c r="O97" s="14">
        <f>N97*VLOOKUP('Données projet'!$B$9,Paramètres!$A$1:$I$89,3,0)*VLOOKUP('Données projet'!$B$9,Paramètres!$A$1:$I$89,5,0)</f>
        <v>215.05738800000012</v>
      </c>
      <c r="P97" s="14">
        <f t="shared" si="87"/>
        <v>53.039216904058748</v>
      </c>
      <c r="Q97" s="22">
        <f t="shared" si="54"/>
        <v>466.93492020790245</v>
      </c>
      <c r="R97" s="62">
        <f t="shared" si="55"/>
        <v>760.26825354123571</v>
      </c>
      <c r="S97" s="62">
        <f ca="1">AVERAGE(OFFSET($R$3,0,0,'Données projet'!$E$9+1,1))-AVERAGE(OFFSET($H$3,0,0,'Données projet'!$E$9+1,1))</f>
        <v>441.6145113257511</v>
      </c>
      <c r="T97" s="62">
        <f t="shared" si="88"/>
        <v>295.8399381972477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25.578142104689942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25.578142104689942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-4.5474735088646412E-13</v>
      </c>
      <c r="AJ97" s="14">
        <f>AI97*VLOOKUP('Données projet'!$B$10,Paramètres!$A$1:$I$89,3,0)*VLOOKUP('Données projet'!$B$10,Paramètres!$A$1:$I$89,5,0)</f>
        <v>-3.9017322706058626E-13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623.31285537237943</v>
      </c>
      <c r="AO97" s="62">
        <f t="shared" si="90"/>
        <v>462.33909258902241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316.8443234515093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316.8443234515093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-1.7053025658242404E-13</v>
      </c>
      <c r="BE97" s="14">
        <f>BD97*VLOOKUP('Données projet'!$B$11,Paramètres!$A$1:$I$89,3,0)*VLOOKUP('Données projet'!$B$11,Paramètres!$A$1:$I$89,5,0)</f>
        <v>-1.3567387213697657E-13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299.10536994156814</v>
      </c>
      <c r="BJ97" s="62">
        <f t="shared" si="92"/>
        <v>292.57799203101769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91.974544273813208</v>
      </c>
      <c r="BQ97" s="23">
        <f>EXP(-LN(2)/25)*BQ96+(1-EXP(-LN(2)/25))/(LN(2)/25)*Calculateur!BL97*Calculateur!BN97*VLOOKUP('Données projet'!$B$11,Paramètres!$A$1:$I$89,3,0)*0.475*44/12</f>
        <v>0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91.974544273813208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2.8421709430404007E-14</v>
      </c>
      <c r="BZ97" s="14">
        <f>BY97*VLOOKUP('Données projet'!$B$12,Paramètres!$A$1:$I$89,3,0)*VLOOKUP('Données projet'!$B$12,Paramètres!$A$1:$I$89,5,0)</f>
        <v>2.2168933355715127E-14</v>
      </c>
      <c r="CA97" s="14">
        <f t="shared" si="93"/>
        <v>3.9687356123668477E-13</v>
      </c>
      <c r="CB97" s="22">
        <f t="shared" si="64"/>
        <v>7.2983234474842979E-13</v>
      </c>
      <c r="CC97" s="62">
        <f t="shared" si="65"/>
        <v>293.33333333333405</v>
      </c>
      <c r="CD97" s="62">
        <f ca="1">AVERAGE(OFFSET($CC$3,0,0,'Données projet'!$E$12+1,1))-AVERAGE(OFFSET($H$3,0,0,'Données projet'!$E$12+1,1))</f>
        <v>197.51529454208725</v>
      </c>
      <c r="CE97" s="62">
        <f t="shared" si="94"/>
        <v>196.65362486387215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48.723421482770036</v>
      </c>
      <c r="CL97" s="23">
        <f>EXP(-LN(2)/25)*CL96+(1-EXP(-LN(2)/25))/(LN(2)/25)*Calculateur!CG97*Calculateur!CI97*VLOOKUP('Données projet'!$B$12,Paramètres!$A$1:$I$89,3,0)*0.475*44/12</f>
        <v>0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48.723421482770036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-5.6843418860808015E-14</v>
      </c>
      <c r="CU97" s="18">
        <f>CT97*VLOOKUP('Données projet'!$B$13,Paramètres!$A$1:$I$89,3,0)*VLOOKUP('Données projet'!$B$13,Paramètres!$A$1:$I$89,5,0)</f>
        <v>-3.1036506698001178E-14</v>
      </c>
      <c r="CV97" s="14" t="e">
        <f t="shared" si="95"/>
        <v>#NUM!</v>
      </c>
      <c r="CW97" s="22" t="e">
        <f t="shared" si="67"/>
        <v>#NUM!</v>
      </c>
      <c r="CX97" s="62" t="e">
        <f t="shared" si="68"/>
        <v>#NUM!</v>
      </c>
      <c r="CY97" s="62">
        <f ca="1">AVERAGE(OFFSET($CX$3,0,0,'Données projet'!$E$13+1,1))-AVERAGE(OFFSET($H$3,0,0,'Données projet'!$E$13+1,1))</f>
        <v>303.14853302260451</v>
      </c>
      <c r="CZ97" s="62">
        <f t="shared" si="96"/>
        <v>298.74602928001929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143.36596119894028</v>
      </c>
      <c r="DG97" s="23">
        <f>EXP(-LN(2)/25)*DG96+(1-EXP(-LN(2)/25))/(LN(2)/25)*Calculateur!DB97*Calculateur!DD97*VLOOKUP('Données projet'!$B$13,Paramètres!$A$1:$I$89,3,0)*0.475*44/12</f>
        <v>26.782179020944866</v>
      </c>
      <c r="DH97" s="23">
        <f>EXP(-LN(2)/2)*DH96+(1-EXP(-LN(2)/2))/(LN(2)/2)*DB97*DE97*VLOOKUP('Données projet'!$B$13,Paramètres!$A$1:$I$89,3,0)*0.475*44/12</f>
        <v>0.17954703360257168</v>
      </c>
      <c r="DI97" s="24">
        <f t="shared" si="69"/>
        <v>170.32768725348771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70">
        <f t="shared" si="56"/>
        <v>256.66666666666669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6.7350000000000021</v>
      </c>
      <c r="N98" s="14">
        <f>IF('Données projet'!$A$36&gt;35,N97+M98-V97,IF(A98&lt;'Données projet'!$A$36,$K$205^A98,IF(A98='Données projet'!$A$36,'Données projet'!$B$36,N97+M98-V97)))</f>
        <v>244.42000000000013</v>
      </c>
      <c r="O98" s="14">
        <f>N98*VLOOKUP('Données projet'!$B$9,Paramètres!$A$1:$I$89,3,0)*VLOOKUP('Données projet'!$B$9,Paramètres!$A$1:$I$89,5,0)</f>
        <v>221.15121600000009</v>
      </c>
      <c r="P98" s="14">
        <f t="shared" si="87"/>
        <v>54.365020776705762</v>
      </c>
      <c r="Q98" s="22">
        <f t="shared" si="54"/>
        <v>479.85744571942934</v>
      </c>
      <c r="R98" s="62">
        <f t="shared" si="55"/>
        <v>773.19077905276265</v>
      </c>
      <c r="S98" s="62">
        <f ca="1">AVERAGE(OFFSET($R$3,0,0,'Données projet'!$E$9+1,1))-AVERAGE(OFFSET($H$3,0,0,'Données projet'!$E$9+1,1))</f>
        <v>441.6145113257511</v>
      </c>
      <c r="T98" s="62">
        <f t="shared" si="88"/>
        <v>295.8399381972477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25.076570339143174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25.076570339143174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-4.5474735088646412E-13</v>
      </c>
      <c r="AJ98" s="14">
        <f>AI98*VLOOKUP('Données projet'!$B$10,Paramètres!$A$1:$I$89,3,0)*VLOOKUP('Données projet'!$B$10,Paramètres!$A$1:$I$89,5,0)</f>
        <v>-3.9017322706058626E-13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623.31285537237943</v>
      </c>
      <c r="AO98" s="62">
        <f t="shared" si="90"/>
        <v>462.33909258902241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310.63119952458004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310.63119952458004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-1.7053025658242404E-13</v>
      </c>
      <c r="BE98" s="14">
        <f>BD98*VLOOKUP('Données projet'!$B$11,Paramètres!$A$1:$I$89,3,0)*VLOOKUP('Données projet'!$B$11,Paramètres!$A$1:$I$89,5,0)</f>
        <v>-1.3567387213697657E-13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299.10536994156814</v>
      </c>
      <c r="BJ98" s="62">
        <f t="shared" si="92"/>
        <v>292.57799203101769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90.170979559536434</v>
      </c>
      <c r="BQ98" s="23">
        <f>EXP(-LN(2)/25)*BQ97+(1-EXP(-LN(2)/25))/(LN(2)/25)*Calculateur!BL98*Calculateur!BN98*VLOOKUP('Données projet'!$B$11,Paramètres!$A$1:$I$89,3,0)*0.475*44/12</f>
        <v>0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90.170979559536434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2.8421709430404007E-14</v>
      </c>
      <c r="BZ98" s="14">
        <f>BY98*VLOOKUP('Données projet'!$B$12,Paramètres!$A$1:$I$89,3,0)*VLOOKUP('Données projet'!$B$12,Paramètres!$A$1:$I$89,5,0)</f>
        <v>2.2168933355715127E-14</v>
      </c>
      <c r="CA98" s="14">
        <f t="shared" si="93"/>
        <v>3.9687356123668477E-13</v>
      </c>
      <c r="CB98" s="22">
        <f t="shared" si="64"/>
        <v>7.2983234474842979E-13</v>
      </c>
      <c r="CC98" s="62">
        <f t="shared" si="65"/>
        <v>293.33333333333405</v>
      </c>
      <c r="CD98" s="62">
        <f ca="1">AVERAGE(OFFSET($CC$3,0,0,'Données projet'!$E$12+1,1))-AVERAGE(OFFSET($H$3,0,0,'Données projet'!$E$12+1,1))</f>
        <v>197.51529454208725</v>
      </c>
      <c r="CE98" s="62">
        <f t="shared" si="94"/>
        <v>196.65362486387215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47.767984905845573</v>
      </c>
      <c r="CL98" s="23">
        <f>EXP(-LN(2)/25)*CL97+(1-EXP(-LN(2)/25))/(LN(2)/25)*Calculateur!CG98*Calculateur!CI98*VLOOKUP('Données projet'!$B$12,Paramètres!$A$1:$I$89,3,0)*0.475*44/12</f>
        <v>0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47.767984905845573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-5.6843418860808015E-14</v>
      </c>
      <c r="CU98" s="18">
        <f>CT98*VLOOKUP('Données projet'!$B$13,Paramètres!$A$1:$I$89,3,0)*VLOOKUP('Données projet'!$B$13,Paramètres!$A$1:$I$89,5,0)</f>
        <v>-3.1036506698001178E-14</v>
      </c>
      <c r="CV98" s="14" t="e">
        <f t="shared" si="95"/>
        <v>#NUM!</v>
      </c>
      <c r="CW98" s="22" t="e">
        <f t="shared" si="67"/>
        <v>#NUM!</v>
      </c>
      <c r="CX98" s="62" t="e">
        <f t="shared" si="68"/>
        <v>#NUM!</v>
      </c>
      <c r="CY98" s="62">
        <f ca="1">AVERAGE(OFFSET($CX$3,0,0,'Données projet'!$E$13+1,1))-AVERAGE(OFFSET($H$3,0,0,'Données projet'!$E$13+1,1))</f>
        <v>303.14853302260451</v>
      </c>
      <c r="CZ98" s="62">
        <f t="shared" si="96"/>
        <v>298.74602928001929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140.55464214443097</v>
      </c>
      <c r="DG98" s="23">
        <f>EXP(-LN(2)/25)*DG97+(1-EXP(-LN(2)/25))/(LN(2)/25)*Calculateur!DB98*Calculateur!DD98*VLOOKUP('Données projet'!$B$13,Paramètres!$A$1:$I$89,3,0)*0.475*44/12</f>
        <v>26.049818927203546</v>
      </c>
      <c r="DH98" s="23">
        <f>EXP(-LN(2)/2)*DH97+(1-EXP(-LN(2)/2))/(LN(2)/2)*DB98*DE98*VLOOKUP('Données projet'!$B$13,Paramètres!$A$1:$I$89,3,0)*0.475*44/12</f>
        <v>0.12695892500230735</v>
      </c>
      <c r="DI98" s="24">
        <f t="shared" si="69"/>
        <v>166.73141999663682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70">
        <f t="shared" si="56"/>
        <v>256.66666666666669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6.7350000000000021</v>
      </c>
      <c r="N99" s="14">
        <f>IF('Données projet'!$A$36&gt;35,N98+M99-V98,IF(A99&lt;'Données projet'!$A$36,$K$205^A99,IF(A99='Données projet'!$A$36,'Données projet'!$B$36,N98+M99-V98)))</f>
        <v>251.15500000000014</v>
      </c>
      <c r="O99" s="14">
        <f>N99*VLOOKUP('Données projet'!$B$9,Paramètres!$A$1:$I$89,3,0)*VLOOKUP('Données projet'!$B$9,Paramètres!$A$1:$I$89,5,0)</f>
        <v>227.24504400000012</v>
      </c>
      <c r="P99" s="14">
        <f t="shared" si="87"/>
        <v>55.686578503486572</v>
      </c>
      <c r="Q99" s="22">
        <f t="shared" ref="Q99:Q130" si="107">(O99+P99)*0.475*44/12</f>
        <v>492.77257586023921</v>
      </c>
      <c r="R99" s="62">
        <f t="shared" si="55"/>
        <v>786.10590919357253</v>
      </c>
      <c r="S99" s="62">
        <f ca="1">AVERAGE(OFFSET($R$3,0,0,'Données projet'!$E$9+1,1))-AVERAGE(OFFSET($H$3,0,0,'Données projet'!$E$9+1,1))</f>
        <v>441.6145113257511</v>
      </c>
      <c r="T99" s="62">
        <f t="shared" si="88"/>
        <v>295.8399381972477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24.58483408999021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24.58483408999021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-4.5474735088646412E-13</v>
      </c>
      <c r="AJ99" s="14">
        <f>AI99*VLOOKUP('Données projet'!$B$10,Paramètres!$A$1:$I$89,3,0)*VLOOKUP('Données projet'!$B$10,Paramètres!$A$1:$I$89,5,0)</f>
        <v>-3.9017322706058626E-13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623.31285537237943</v>
      </c>
      <c r="AO99" s="62">
        <f t="shared" si="90"/>
        <v>462.33909258902241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304.53991116822647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304.53991116822647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-1.7053025658242404E-13</v>
      </c>
      <c r="BE99" s="14">
        <f>BD99*VLOOKUP('Données projet'!$B$11,Paramètres!$A$1:$I$89,3,0)*VLOOKUP('Données projet'!$B$11,Paramètres!$A$1:$I$89,5,0)</f>
        <v>-1.3567387213697657E-13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299.10536994156814</v>
      </c>
      <c r="BJ99" s="62">
        <f t="shared" si="92"/>
        <v>292.57799203101769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88.402781649240765</v>
      </c>
      <c r="BQ99" s="23">
        <f>EXP(-LN(2)/25)*BQ98+(1-EXP(-LN(2)/25))/(LN(2)/25)*Calculateur!BL99*Calculateur!BN99*VLOOKUP('Données projet'!$B$11,Paramètres!$A$1:$I$89,3,0)*0.475*44/12</f>
        <v>0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88.402781649240765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2.8421709430404007E-14</v>
      </c>
      <c r="BZ99" s="14">
        <f>BY99*VLOOKUP('Données projet'!$B$12,Paramètres!$A$1:$I$89,3,0)*VLOOKUP('Données projet'!$B$12,Paramètres!$A$1:$I$89,5,0)</f>
        <v>2.2168933355715127E-14</v>
      </c>
      <c r="CA99" s="14">
        <f t="shared" si="93"/>
        <v>3.9687356123668477E-13</v>
      </c>
      <c r="CB99" s="22">
        <f t="shared" si="64"/>
        <v>7.2983234474842979E-13</v>
      </c>
      <c r="CC99" s="62">
        <f t="shared" si="65"/>
        <v>293.33333333333405</v>
      </c>
      <c r="CD99" s="62">
        <f ca="1">AVERAGE(OFFSET($CC$3,0,0,'Données projet'!$E$12+1,1))-AVERAGE(OFFSET($H$3,0,0,'Données projet'!$E$12+1,1))</f>
        <v>197.51529454208725</v>
      </c>
      <c r="CE99" s="62">
        <f t="shared" si="94"/>
        <v>196.65362486387215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46.831283857435835</v>
      </c>
      <c r="CL99" s="23">
        <f>EXP(-LN(2)/25)*CL98+(1-EXP(-LN(2)/25))/(LN(2)/25)*Calculateur!CG99*Calculateur!CI99*VLOOKUP('Données projet'!$B$12,Paramètres!$A$1:$I$89,3,0)*0.475*44/12</f>
        <v>0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46.831283857435835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-5.6843418860808015E-14</v>
      </c>
      <c r="CU99" s="18">
        <f>CT99*VLOOKUP('Données projet'!$B$13,Paramètres!$A$1:$I$89,3,0)*VLOOKUP('Données projet'!$B$13,Paramètres!$A$1:$I$89,5,0)</f>
        <v>-3.1036506698001178E-14</v>
      </c>
      <c r="CV99" s="14" t="e">
        <f t="shared" si="95"/>
        <v>#NUM!</v>
      </c>
      <c r="CW99" s="22" t="e">
        <f t="shared" si="67"/>
        <v>#NUM!</v>
      </c>
      <c r="CX99" s="62" t="e">
        <f t="shared" si="68"/>
        <v>#NUM!</v>
      </c>
      <c r="CY99" s="62">
        <f ca="1">AVERAGE(OFFSET($CX$3,0,0,'Données projet'!$E$13+1,1))-AVERAGE(OFFSET($H$3,0,0,'Données projet'!$E$13+1,1))</f>
        <v>303.14853302260451</v>
      </c>
      <c r="CZ99" s="62">
        <f t="shared" si="96"/>
        <v>298.74602928001929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137.79845134184527</v>
      </c>
      <c r="DG99" s="23">
        <f>EXP(-LN(2)/25)*DG98+(1-EXP(-LN(2)/25))/(LN(2)/25)*Calculateur!DB99*Calculateur!DD99*VLOOKUP('Données projet'!$B$13,Paramètres!$A$1:$I$89,3,0)*0.475*44/12</f>
        <v>25.337485258738724</v>
      </c>
      <c r="DH99" s="23">
        <f>EXP(-LN(2)/2)*DH98+(1-EXP(-LN(2)/2))/(LN(2)/2)*DB99*DE99*VLOOKUP('Données projet'!$B$13,Paramètres!$A$1:$I$89,3,0)*0.475*44/12</f>
        <v>8.9773516801285841E-2</v>
      </c>
      <c r="DI99" s="24">
        <f t="shared" si="69"/>
        <v>163.22571011738526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70">
        <f t="shared" si="56"/>
        <v>256.66666666666669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6.7350000000000021</v>
      </c>
      <c r="N100" s="14">
        <f>IF('Données projet'!$A$36&gt;35,N99+M100-V99,IF(A100&lt;'Données projet'!$A$36,$K$205^A100,IF(A100='Données projet'!$A$36,'Données projet'!$B$36,N99+M100-V99)))</f>
        <v>257.89000000000016</v>
      </c>
      <c r="O100" s="14">
        <f>N100*VLOOKUP('Données projet'!$B$9,Paramètres!$A$1:$I$89,3,0)*VLOOKUP('Données projet'!$B$9,Paramètres!$A$1:$I$89,5,0)</f>
        <v>233.33887200000015</v>
      </c>
      <c r="P100" s="14">
        <f t="shared" si="87"/>
        <v>57.004017036032465</v>
      </c>
      <c r="Q100" s="22">
        <f t="shared" si="107"/>
        <v>505.68053173775678</v>
      </c>
      <c r="R100" s="62">
        <f t="shared" si="55"/>
        <v>799.01386507109009</v>
      </c>
      <c r="S100" s="62">
        <f ca="1">AVERAGE(OFFSET($R$3,0,0,'Données projet'!$E$9+1,1))-AVERAGE(OFFSET($H$3,0,0,'Données projet'!$E$9+1,1))</f>
        <v>441.6145113257511</v>
      </c>
      <c r="T100" s="62">
        <f t="shared" si="88"/>
        <v>295.8399381972477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24.102740488753636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24.102740488753636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-4.5474735088646412E-13</v>
      </c>
      <c r="AJ100" s="14">
        <f>AI100*VLOOKUP('Données projet'!$B$10,Paramètres!$A$1:$I$89,3,0)*VLOOKUP('Données projet'!$B$10,Paramètres!$A$1:$I$89,5,0)</f>
        <v>-3.9017322706058626E-13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623.31285537237943</v>
      </c>
      <c r="AO100" s="62">
        <f t="shared" si="90"/>
        <v>462.33909258902241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298.56806926122198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298.56806926122198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-1.7053025658242404E-13</v>
      </c>
      <c r="BE100" s="14">
        <f>BD100*VLOOKUP('Données projet'!$B$11,Paramètres!$A$1:$I$89,3,0)*VLOOKUP('Données projet'!$B$11,Paramètres!$A$1:$I$89,5,0)</f>
        <v>-1.3567387213697657E-13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299.10536994156814</v>
      </c>
      <c r="BJ100" s="62">
        <f t="shared" si="92"/>
        <v>292.57799203101769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86.669257021471765</v>
      </c>
      <c r="BQ100" s="23">
        <f>EXP(-LN(2)/25)*BQ99+(1-EXP(-LN(2)/25))/(LN(2)/25)*Calculateur!BL100*Calculateur!BN100*VLOOKUP('Données projet'!$B$11,Paramètres!$A$1:$I$89,3,0)*0.475*44/12</f>
        <v>0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86.669257021471765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2.8421709430404007E-14</v>
      </c>
      <c r="BZ100" s="14">
        <f>BY100*VLOOKUP('Données projet'!$B$12,Paramètres!$A$1:$I$89,3,0)*VLOOKUP('Données projet'!$B$12,Paramètres!$A$1:$I$89,5,0)</f>
        <v>2.2168933355715127E-14</v>
      </c>
      <c r="CA100" s="14">
        <f t="shared" si="93"/>
        <v>3.9687356123668477E-13</v>
      </c>
      <c r="CB100" s="22">
        <f t="shared" si="64"/>
        <v>7.2983234474842979E-13</v>
      </c>
      <c r="CC100" s="62">
        <f t="shared" si="65"/>
        <v>293.33333333333405</v>
      </c>
      <c r="CD100" s="62">
        <f ca="1">AVERAGE(OFFSET($CC$3,0,0,'Données projet'!$E$12+1,1))-AVERAGE(OFFSET($H$3,0,0,'Données projet'!$E$12+1,1))</f>
        <v>197.51529454208725</v>
      </c>
      <c r="CE100" s="62">
        <f t="shared" si="94"/>
        <v>196.65362486387215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45.912950945254188</v>
      </c>
      <c r="CL100" s="23">
        <f>EXP(-LN(2)/25)*CL99+(1-EXP(-LN(2)/25))/(LN(2)/25)*Calculateur!CG100*Calculateur!CI100*VLOOKUP('Données projet'!$B$12,Paramètres!$A$1:$I$89,3,0)*0.475*44/12</f>
        <v>0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45.912950945254188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-5.6843418860808015E-14</v>
      </c>
      <c r="CU100" s="18">
        <f>CT100*VLOOKUP('Données projet'!$B$13,Paramètres!$A$1:$I$89,3,0)*VLOOKUP('Données projet'!$B$13,Paramètres!$A$1:$I$89,5,0)</f>
        <v>-3.1036506698001178E-14</v>
      </c>
      <c r="CV100" s="14" t="e">
        <f t="shared" si="95"/>
        <v>#NUM!</v>
      </c>
      <c r="CW100" s="22" t="e">
        <f t="shared" si="67"/>
        <v>#NUM!</v>
      </c>
      <c r="CX100" s="62" t="e">
        <f t="shared" si="68"/>
        <v>#NUM!</v>
      </c>
      <c r="CY100" s="62">
        <f ca="1">AVERAGE(OFFSET($CX$3,0,0,'Données projet'!$E$13+1,1))-AVERAGE(OFFSET($H$3,0,0,'Données projet'!$E$13+1,1))</f>
        <v>303.14853302260451</v>
      </c>
      <c r="CZ100" s="62">
        <f t="shared" si="96"/>
        <v>298.74602928001929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135.09630775978786</v>
      </c>
      <c r="DG100" s="23">
        <f>EXP(-LN(2)/25)*DG99+(1-EXP(-LN(2)/25))/(LN(2)/25)*Calculateur!DB100*Calculateur!DD100*VLOOKUP('Données projet'!$B$13,Paramètres!$A$1:$I$89,3,0)*0.475*44/12</f>
        <v>24.644630391898072</v>
      </c>
      <c r="DH100" s="23">
        <f>EXP(-LN(2)/2)*DH99+(1-EXP(-LN(2)/2))/(LN(2)/2)*DB100*DE100*VLOOKUP('Données projet'!$B$13,Paramètres!$A$1:$I$89,3,0)*0.475*44/12</f>
        <v>6.3479462501153675E-2</v>
      </c>
      <c r="DI100" s="24">
        <f t="shared" si="69"/>
        <v>159.80441761418709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70">
        <f t="shared" si="56"/>
        <v>256.66666666666669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6.7350000000000021</v>
      </c>
      <c r="N101" s="14">
        <f>IF('Données projet'!$A$36&gt;35,N100+M101-V100,IF(A101&lt;'Données projet'!$A$36,$K$205^A101,IF(A101='Données projet'!$A$36,'Données projet'!$B$36,N100+M101-V100)))</f>
        <v>264.62500000000017</v>
      </c>
      <c r="O101" s="14">
        <f>N101*VLOOKUP('Données projet'!$B$9,Paramètres!$A$1:$I$89,3,0)*VLOOKUP('Données projet'!$B$9,Paramètres!$A$1:$I$89,5,0)</f>
        <v>239.43270000000015</v>
      </c>
      <c r="P101" s="14">
        <f t="shared" si="87"/>
        <v>58.317456317423762</v>
      </c>
      <c r="Q101" s="22">
        <f t="shared" si="107"/>
        <v>518.58152225284664</v>
      </c>
      <c r="R101" s="62">
        <f t="shared" si="55"/>
        <v>811.91485558618001</v>
      </c>
      <c r="S101" s="62">
        <f ca="1">AVERAGE(OFFSET($R$3,0,0,'Données projet'!$E$9+1,1))-AVERAGE(OFFSET($H$3,0,0,'Données projet'!$E$9+1,1))</f>
        <v>441.6145113257511</v>
      </c>
      <c r="T101" s="62">
        <f t="shared" si="88"/>
        <v>295.8399381972477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23.63010044898925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23.63010044898925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-4.5474735088646412E-13</v>
      </c>
      <c r="AJ101" s="14">
        <f>AI101*VLOOKUP('Données projet'!$B$10,Paramètres!$A$1:$I$89,3,0)*VLOOKUP('Données projet'!$B$10,Paramètres!$A$1:$I$89,5,0)</f>
        <v>-3.9017322706058626E-13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623.31285537237943</v>
      </c>
      <c r="AO101" s="62">
        <f t="shared" si="90"/>
        <v>462.33909258902241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292.71333153154995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292.71333153154995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-1.7053025658242404E-13</v>
      </c>
      <c r="BE101" s="14">
        <f>BD101*VLOOKUP('Données projet'!$B$11,Paramètres!$A$1:$I$89,3,0)*VLOOKUP('Données projet'!$B$11,Paramètres!$A$1:$I$89,5,0)</f>
        <v>-1.3567387213697657E-13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299.10536994156814</v>
      </c>
      <c r="BJ101" s="62">
        <f t="shared" si="92"/>
        <v>292.57799203101769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84.969725754307703</v>
      </c>
      <c r="BQ101" s="23">
        <f>EXP(-LN(2)/25)*BQ100+(1-EXP(-LN(2)/25))/(LN(2)/25)*Calculateur!BL101*Calculateur!BN101*VLOOKUP('Données projet'!$B$11,Paramètres!$A$1:$I$89,3,0)*0.475*44/12</f>
        <v>0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84.969725754307703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2.8421709430404007E-14</v>
      </c>
      <c r="BZ101" s="14">
        <f>BY101*VLOOKUP('Données projet'!$B$12,Paramètres!$A$1:$I$89,3,0)*VLOOKUP('Données projet'!$B$12,Paramètres!$A$1:$I$89,5,0)</f>
        <v>2.2168933355715127E-14</v>
      </c>
      <c r="CA101" s="14">
        <f t="shared" si="93"/>
        <v>3.9687356123668477E-13</v>
      </c>
      <c r="CB101" s="22">
        <f t="shared" si="64"/>
        <v>7.2983234474842979E-13</v>
      </c>
      <c r="CC101" s="62">
        <f t="shared" si="65"/>
        <v>293.33333333333405</v>
      </c>
      <c r="CD101" s="62">
        <f ca="1">AVERAGE(OFFSET($CC$3,0,0,'Données projet'!$E$12+1,1))-AVERAGE(OFFSET($H$3,0,0,'Données projet'!$E$12+1,1))</f>
        <v>197.51529454208725</v>
      </c>
      <c r="CE101" s="62">
        <f t="shared" si="94"/>
        <v>196.65362486387215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45.012625981352649</v>
      </c>
      <c r="CL101" s="23">
        <f>EXP(-LN(2)/25)*CL100+(1-EXP(-LN(2)/25))/(LN(2)/25)*Calculateur!CG101*Calculateur!CI101*VLOOKUP('Données projet'!$B$12,Paramètres!$A$1:$I$89,3,0)*0.475*44/12</f>
        <v>0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45.012625981352649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-5.6843418860808015E-14</v>
      </c>
      <c r="CU101" s="18">
        <f>CT101*VLOOKUP('Données projet'!$B$13,Paramètres!$A$1:$I$89,3,0)*VLOOKUP('Données projet'!$B$13,Paramètres!$A$1:$I$89,5,0)</f>
        <v>-3.1036506698001178E-14</v>
      </c>
      <c r="CV101" s="14" t="e">
        <f t="shared" si="95"/>
        <v>#NUM!</v>
      </c>
      <c r="CW101" s="22" t="e">
        <f t="shared" si="67"/>
        <v>#NUM!</v>
      </c>
      <c r="CX101" s="62" t="e">
        <f t="shared" si="68"/>
        <v>#NUM!</v>
      </c>
      <c r="CY101" s="62">
        <f ca="1">AVERAGE(OFFSET($CX$3,0,0,'Données projet'!$E$13+1,1))-AVERAGE(OFFSET($H$3,0,0,'Données projet'!$E$13+1,1))</f>
        <v>303.14853302260451</v>
      </c>
      <c r="CZ101" s="62">
        <f t="shared" si="96"/>
        <v>298.74602928001929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132.44715156522977</v>
      </c>
      <c r="DG101" s="23">
        <f>EXP(-LN(2)/25)*DG100+(1-EXP(-LN(2)/25))/(LN(2)/25)*Calculateur!DB101*Calculateur!DD101*VLOOKUP('Données projet'!$B$13,Paramètres!$A$1:$I$89,3,0)*0.475*44/12</f>
        <v>23.970721677826834</v>
      </c>
      <c r="DH101" s="23">
        <f>EXP(-LN(2)/2)*DH100+(1-EXP(-LN(2)/2))/(LN(2)/2)*DB101*DE101*VLOOKUP('Données projet'!$B$13,Paramètres!$A$1:$I$89,3,0)*0.475*44/12</f>
        <v>4.488675840064292E-2</v>
      </c>
      <c r="DI101" s="24">
        <f t="shared" si="69"/>
        <v>156.46276000145727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70">
        <f t="shared" si="56"/>
        <v>256.66666666666669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6.7350000000000021</v>
      </c>
      <c r="N102" s="14">
        <f>IF('Données projet'!$A$36&gt;35,N101+M102-V101,IF(A102&lt;'Données projet'!$A$36,$K$205^A102,IF(A102='Données projet'!$A$36,'Données projet'!$B$36,N101+M102-V101)))</f>
        <v>271.36000000000018</v>
      </c>
      <c r="O102" s="14">
        <f>N102*VLOOKUP('Données projet'!$B$9,Paramètres!$A$1:$I$89,3,0)*VLOOKUP('Données projet'!$B$9,Paramètres!$A$1:$I$89,5,0)</f>
        <v>245.52652800000016</v>
      </c>
      <c r="P102" s="14">
        <f t="shared" si="87"/>
        <v>59.627009837498669</v>
      </c>
      <c r="Q102" s="22">
        <f t="shared" si="107"/>
        <v>531.47574506697708</v>
      </c>
      <c r="R102" s="62">
        <f t="shared" si="55"/>
        <v>824.80907840031045</v>
      </c>
      <c r="S102" s="62">
        <f ca="1">AVERAGE(OFFSET($R$3,0,0,'Données projet'!$E$9+1,1))-AVERAGE(OFFSET($H$3,0,0,'Données projet'!$E$9+1,1))</f>
        <v>441.6145113257511</v>
      </c>
      <c r="T102" s="62">
        <f t="shared" si="88"/>
        <v>295.8399381972477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23.166728592122684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23.166728592122684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-4.5474735088646412E-13</v>
      </c>
      <c r="AJ102" s="14">
        <f>AI102*VLOOKUP('Données projet'!$B$10,Paramètres!$A$1:$I$89,3,0)*VLOOKUP('Données projet'!$B$10,Paramètres!$A$1:$I$89,5,0)</f>
        <v>-3.9017322706058626E-13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623.31285537237943</v>
      </c>
      <c r="AO102" s="62">
        <f t="shared" si="90"/>
        <v>462.33909258902241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286.97340163771941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286.97340163771941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-1.7053025658242404E-13</v>
      </c>
      <c r="BE102" s="14">
        <f>BD102*VLOOKUP('Données projet'!$B$11,Paramètres!$A$1:$I$89,3,0)*VLOOKUP('Données projet'!$B$11,Paramètres!$A$1:$I$89,5,0)</f>
        <v>-1.3567387213697657E-13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299.10536994156814</v>
      </c>
      <c r="BJ102" s="62">
        <f t="shared" si="92"/>
        <v>292.57799203101769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83.303521258681002</v>
      </c>
      <c r="BQ102" s="23">
        <f>EXP(-LN(2)/25)*BQ101+(1-EXP(-LN(2)/25))/(LN(2)/25)*Calculateur!BL102*Calculateur!BN102*VLOOKUP('Données projet'!$B$11,Paramètres!$A$1:$I$89,3,0)*0.475*44/12</f>
        <v>0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83.303521258681002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2.8421709430404007E-14</v>
      </c>
      <c r="BZ102" s="14">
        <f>BY102*VLOOKUP('Données projet'!$B$12,Paramètres!$A$1:$I$89,3,0)*VLOOKUP('Données projet'!$B$12,Paramètres!$A$1:$I$89,5,0)</f>
        <v>2.2168933355715127E-14</v>
      </c>
      <c r="CA102" s="14">
        <f t="shared" si="93"/>
        <v>3.9687356123668477E-13</v>
      </c>
      <c r="CB102" s="22">
        <f t="shared" si="64"/>
        <v>7.2983234474842979E-13</v>
      </c>
      <c r="CC102" s="62">
        <f t="shared" si="65"/>
        <v>293.33333333333405</v>
      </c>
      <c r="CD102" s="62">
        <f ca="1">AVERAGE(OFFSET($CC$3,0,0,'Données projet'!$E$12+1,1))-AVERAGE(OFFSET($H$3,0,0,'Données projet'!$E$12+1,1))</f>
        <v>197.51529454208725</v>
      </c>
      <c r="CE102" s="62">
        <f t="shared" si="94"/>
        <v>196.65362486387215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44.12995584084922</v>
      </c>
      <c r="CL102" s="23">
        <f>EXP(-LN(2)/25)*CL101+(1-EXP(-LN(2)/25))/(LN(2)/25)*Calculateur!CG102*Calculateur!CI102*VLOOKUP('Données projet'!$B$12,Paramètres!$A$1:$I$89,3,0)*0.475*44/12</f>
        <v>0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44.12995584084922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-5.6843418860808015E-14</v>
      </c>
      <c r="CU102" s="18">
        <f>CT102*VLOOKUP('Données projet'!$B$13,Paramètres!$A$1:$I$89,3,0)*VLOOKUP('Données projet'!$B$13,Paramètres!$A$1:$I$89,5,0)</f>
        <v>-3.1036506698001178E-14</v>
      </c>
      <c r="CV102" s="14" t="e">
        <f t="shared" si="95"/>
        <v>#NUM!</v>
      </c>
      <c r="CW102" s="22" t="e">
        <f t="shared" si="67"/>
        <v>#NUM!</v>
      </c>
      <c r="CX102" s="62" t="e">
        <f t="shared" si="68"/>
        <v>#NUM!</v>
      </c>
      <c r="CY102" s="62">
        <f ca="1">AVERAGE(OFFSET($CX$3,0,0,'Données projet'!$E$13+1,1))-AVERAGE(OFFSET($H$3,0,0,'Données projet'!$E$13+1,1))</f>
        <v>303.14853302260451</v>
      </c>
      <c r="CZ102" s="62">
        <f t="shared" si="96"/>
        <v>298.74602928001929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129.84994370782124</v>
      </c>
      <c r="DG102" s="23">
        <f>EXP(-LN(2)/25)*DG101+(1-EXP(-LN(2)/25))/(LN(2)/25)*Calculateur!DB102*Calculateur!DD102*VLOOKUP('Données projet'!$B$13,Paramètres!$A$1:$I$89,3,0)*0.475*44/12</f>
        <v>23.315241032981191</v>
      </c>
      <c r="DH102" s="23">
        <f>EXP(-LN(2)/2)*DH101+(1-EXP(-LN(2)/2))/(LN(2)/2)*DB102*DE102*VLOOKUP('Données projet'!$B$13,Paramètres!$A$1:$I$89,3,0)*0.475*44/12</f>
        <v>3.1739731250576837E-2</v>
      </c>
      <c r="DI102" s="24">
        <f t="shared" si="69"/>
        <v>153.19692447205301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70">
        <f t="shared" si="56"/>
        <v>256.66666666666669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6.7350000000000021</v>
      </c>
      <c r="N103" s="14">
        <f>IF('Données projet'!$A$36&gt;35,N102+M103-V102,IF(A103&lt;'Données projet'!$A$36,$K$205^A103,IF(A103='Données projet'!$A$36,'Données projet'!$B$36,N102+M103-V102)))</f>
        <v>278.0950000000002</v>
      </c>
      <c r="O103" s="14">
        <f>N103*VLOOKUP('Données projet'!$B$9,Paramètres!$A$1:$I$89,3,0)*VLOOKUP('Données projet'!$B$9,Paramètres!$A$1:$I$89,5,0)</f>
        <v>251.62035600000019</v>
      </c>
      <c r="P103" s="14">
        <f t="shared" si="87"/>
        <v>60.932785131479683</v>
      </c>
      <c r="Q103" s="22">
        <f t="shared" si="107"/>
        <v>544.36338747066077</v>
      </c>
      <c r="R103" s="62">
        <f t="shared" si="55"/>
        <v>837.69672080399414</v>
      </c>
      <c r="S103" s="62">
        <f ca="1">AVERAGE(OFFSET($R$3,0,0,'Données projet'!$E$9+1,1))-AVERAGE(OFFSET($H$3,0,0,'Données projet'!$E$9+1,1))</f>
        <v>441.6145113257511</v>
      </c>
      <c r="T103" s="62">
        <f t="shared" si="88"/>
        <v>295.8399381972477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22.712443174740347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22.712443174740347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-4.5474735088646412E-13</v>
      </c>
      <c r="AJ103" s="14">
        <f>AI103*VLOOKUP('Données projet'!$B$10,Paramètres!$A$1:$I$89,3,0)*VLOOKUP('Données projet'!$B$10,Paramètres!$A$1:$I$89,5,0)</f>
        <v>-3.9017322706058626E-13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623.31285537237943</v>
      </c>
      <c r="AO103" s="62">
        <f t="shared" si="90"/>
        <v>462.33909258902241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281.34602826809532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281.34602826809532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-1.7053025658242404E-13</v>
      </c>
      <c r="BE103" s="14">
        <f>BD103*VLOOKUP('Données projet'!$B$11,Paramètres!$A$1:$I$89,3,0)*VLOOKUP('Données projet'!$B$11,Paramètres!$A$1:$I$89,5,0)</f>
        <v>-1.3567387213697657E-13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299.10536994156814</v>
      </c>
      <c r="BJ103" s="62">
        <f t="shared" si="92"/>
        <v>292.57799203101769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81.669990016929148</v>
      </c>
      <c r="BQ103" s="23">
        <f>EXP(-LN(2)/25)*BQ102+(1-EXP(-LN(2)/25))/(LN(2)/25)*Calculateur!BL103*Calculateur!BN103*VLOOKUP('Données projet'!$B$11,Paramètres!$A$1:$I$89,3,0)*0.475*44/12</f>
        <v>0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81.669990016929148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2.8421709430404007E-14</v>
      </c>
      <c r="BZ103" s="14">
        <f>BY103*VLOOKUP('Données projet'!$B$12,Paramètres!$A$1:$I$89,3,0)*VLOOKUP('Données projet'!$B$12,Paramètres!$A$1:$I$89,5,0)</f>
        <v>2.2168933355715127E-14</v>
      </c>
      <c r="CA103" s="14">
        <f t="shared" si="93"/>
        <v>3.9687356123668477E-13</v>
      </c>
      <c r="CB103" s="22">
        <f t="shared" si="64"/>
        <v>7.2983234474842979E-13</v>
      </c>
      <c r="CC103" s="62">
        <f t="shared" si="65"/>
        <v>293.33333333333405</v>
      </c>
      <c r="CD103" s="62">
        <f ca="1">AVERAGE(OFFSET($CC$3,0,0,'Données projet'!$E$12+1,1))-AVERAGE(OFFSET($H$3,0,0,'Données projet'!$E$12+1,1))</f>
        <v>197.51529454208725</v>
      </c>
      <c r="CE103" s="62">
        <f t="shared" si="94"/>
        <v>196.65362486387215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43.264594323425435</v>
      </c>
      <c r="CL103" s="23">
        <f>EXP(-LN(2)/25)*CL102+(1-EXP(-LN(2)/25))/(LN(2)/25)*Calculateur!CG103*Calculateur!CI103*VLOOKUP('Données projet'!$B$12,Paramètres!$A$1:$I$89,3,0)*0.475*44/12</f>
        <v>0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43.264594323425435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-5.6843418860808015E-14</v>
      </c>
      <c r="CU103" s="18">
        <f>CT103*VLOOKUP('Données projet'!$B$13,Paramètres!$A$1:$I$89,3,0)*VLOOKUP('Données projet'!$B$13,Paramètres!$A$1:$I$89,5,0)</f>
        <v>-3.1036506698001178E-14</v>
      </c>
      <c r="CV103" s="14" t="e">
        <f t="shared" si="95"/>
        <v>#NUM!</v>
      </c>
      <c r="CW103" s="22" t="e">
        <f t="shared" si="67"/>
        <v>#NUM!</v>
      </c>
      <c r="CX103" s="62" t="e">
        <f t="shared" si="68"/>
        <v>#NUM!</v>
      </c>
      <c r="CY103" s="62">
        <f ca="1">AVERAGE(OFFSET($CX$3,0,0,'Données projet'!$E$13+1,1))-AVERAGE(OFFSET($H$3,0,0,'Données projet'!$E$13+1,1))</f>
        <v>303.14853302260451</v>
      </c>
      <c r="CZ103" s="62">
        <f t="shared" si="96"/>
        <v>298.74602928001929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127.30366551235612</v>
      </c>
      <c r="DG103" s="23">
        <f>EXP(-LN(2)/25)*DG102+(1-EXP(-LN(2)/25))/(LN(2)/25)*Calculateur!DB103*Calculateur!DD103*VLOOKUP('Données projet'!$B$13,Paramètres!$A$1:$I$89,3,0)*0.475*44/12</f>
        <v>22.677684540839081</v>
      </c>
      <c r="DH103" s="23">
        <f>EXP(-LN(2)/2)*DH102+(1-EXP(-LN(2)/2))/(LN(2)/2)*DB103*DE103*VLOOKUP('Données projet'!$B$13,Paramètres!$A$1:$I$89,3,0)*0.475*44/12</f>
        <v>2.244337920032146E-2</v>
      </c>
      <c r="DI103" s="24">
        <f t="shared" si="69"/>
        <v>150.00379343239553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70">
        <f t="shared" si="56"/>
        <v>256.66666666666669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6.7350000000000021</v>
      </c>
      <c r="N104" s="14">
        <f>IF('Données projet'!$A$36&gt;35,N103+M104-V103,IF(A104&lt;'Données projet'!$A$36,$K$205^A104,IF(A104='Données projet'!$A$36,'Données projet'!$B$36,N103+M104-V103)))</f>
        <v>284.83000000000021</v>
      </c>
      <c r="O104" s="14">
        <f>N104*VLOOKUP('Données projet'!$B$9,Paramètres!$A$1:$I$89,3,0)*VLOOKUP('Données projet'!$B$9,Paramètres!$A$1:$I$89,5,0)</f>
        <v>257.71418400000022</v>
      </c>
      <c r="P104" s="14">
        <f t="shared" si="87"/>
        <v>62.234884228936473</v>
      </c>
      <c r="Q104" s="22">
        <f t="shared" si="107"/>
        <v>557.24462716539813</v>
      </c>
      <c r="R104" s="62">
        <f t="shared" si="55"/>
        <v>850.5779604987315</v>
      </c>
      <c r="S104" s="62">
        <f ca="1">AVERAGE(OFFSET($R$3,0,0,'Données projet'!$E$9+1,1))-AVERAGE(OFFSET($H$3,0,0,'Données projet'!$E$9+1,1))</f>
        <v>441.6145113257511</v>
      </c>
      <c r="T104" s="62">
        <f t="shared" si="88"/>
        <v>295.8399381972477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22.267066017306135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22.267066017306135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-4.5474735088646412E-13</v>
      </c>
      <c r="AJ104" s="14">
        <f>AI104*VLOOKUP('Données projet'!$B$10,Paramètres!$A$1:$I$89,3,0)*VLOOKUP('Données projet'!$B$10,Paramètres!$A$1:$I$89,5,0)</f>
        <v>-3.9017322706058626E-13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623.31285537237943</v>
      </c>
      <c r="AO104" s="62">
        <f t="shared" si="90"/>
        <v>462.33909258902241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275.82900425789074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275.82900425789074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-1.7053025658242404E-13</v>
      </c>
      <c r="BE104" s="14">
        <f>BD104*VLOOKUP('Données projet'!$B$11,Paramètres!$A$1:$I$89,3,0)*VLOOKUP('Données projet'!$B$11,Paramètres!$A$1:$I$89,5,0)</f>
        <v>-1.3567387213697657E-13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299.10536994156814</v>
      </c>
      <c r="BJ104" s="62">
        <f t="shared" si="92"/>
        <v>292.57799203101769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80.068491326472383</v>
      </c>
      <c r="BQ104" s="23">
        <f>EXP(-LN(2)/25)*BQ103+(1-EXP(-LN(2)/25))/(LN(2)/25)*Calculateur!BL104*Calculateur!BN104*VLOOKUP('Données projet'!$B$11,Paramètres!$A$1:$I$89,3,0)*0.475*44/12</f>
        <v>0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80.068491326472383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2.8421709430404007E-14</v>
      </c>
      <c r="BZ104" s="14">
        <f>BY104*VLOOKUP('Données projet'!$B$12,Paramètres!$A$1:$I$89,3,0)*VLOOKUP('Données projet'!$B$12,Paramètres!$A$1:$I$89,5,0)</f>
        <v>2.2168933355715127E-14</v>
      </c>
      <c r="CA104" s="14">
        <f t="shared" si="93"/>
        <v>3.9687356123668477E-13</v>
      </c>
      <c r="CB104" s="22">
        <f t="shared" si="64"/>
        <v>7.2983234474842979E-13</v>
      </c>
      <c r="CC104" s="62">
        <f t="shared" si="65"/>
        <v>293.33333333333405</v>
      </c>
      <c r="CD104" s="62">
        <f ca="1">AVERAGE(OFFSET($CC$3,0,0,'Données projet'!$E$12+1,1))-AVERAGE(OFFSET($H$3,0,0,'Données projet'!$E$12+1,1))</f>
        <v>197.51529454208725</v>
      </c>
      <c r="CE104" s="62">
        <f t="shared" si="94"/>
        <v>196.65362486387215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42.416202017539923</v>
      </c>
      <c r="CL104" s="23">
        <f>EXP(-LN(2)/25)*CL103+(1-EXP(-LN(2)/25))/(LN(2)/25)*Calculateur!CG104*Calculateur!CI104*VLOOKUP('Données projet'!$B$12,Paramètres!$A$1:$I$89,3,0)*0.475*44/12</f>
        <v>0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42.416202017539923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-5.6843418860808015E-14</v>
      </c>
      <c r="CU104" s="18">
        <f>CT104*VLOOKUP('Données projet'!$B$13,Paramètres!$A$1:$I$89,3,0)*VLOOKUP('Données projet'!$B$13,Paramètres!$A$1:$I$89,5,0)</f>
        <v>-3.1036506698001178E-14</v>
      </c>
      <c r="CV104" s="14" t="e">
        <f t="shared" si="95"/>
        <v>#NUM!</v>
      </c>
      <c r="CW104" s="22" t="e">
        <f t="shared" si="67"/>
        <v>#NUM!</v>
      </c>
      <c r="CX104" s="62" t="e">
        <f t="shared" si="68"/>
        <v>#NUM!</v>
      </c>
      <c r="CY104" s="62">
        <f ca="1">AVERAGE(OFFSET($CX$3,0,0,'Données projet'!$E$13+1,1))-AVERAGE(OFFSET($H$3,0,0,'Données projet'!$E$13+1,1))</f>
        <v>303.14853302260451</v>
      </c>
      <c r="CZ104" s="62">
        <f t="shared" si="96"/>
        <v>298.74602928001929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124.80731827922772</v>
      </c>
      <c r="DG104" s="23">
        <f>EXP(-LN(2)/25)*DG103+(1-EXP(-LN(2)/25))/(LN(2)/25)*Calculateur!DB104*Calculateur!DD104*VLOOKUP('Données projet'!$B$13,Paramètres!$A$1:$I$89,3,0)*0.475*44/12</f>
        <v>22.057562064502235</v>
      </c>
      <c r="DH104" s="23">
        <f>EXP(-LN(2)/2)*DH103+(1-EXP(-LN(2)/2))/(LN(2)/2)*DB104*DE104*VLOOKUP('Données projet'!$B$13,Paramètres!$A$1:$I$89,3,0)*0.475*44/12</f>
        <v>1.5869865625288419E-2</v>
      </c>
      <c r="DI104" s="24">
        <f t="shared" si="69"/>
        <v>146.88075020935526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70">
        <f t="shared" si="56"/>
        <v>256.66666666666669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6.7350000000000021</v>
      </c>
      <c r="N105" s="14">
        <f>IF('Données projet'!$A$36&gt;35,N104+M105-V104,IF(A105&lt;'Données projet'!$A$36,$K$205^A105,IF(A105='Données projet'!$A$36,'Données projet'!$B$36,N104+M105-V104)))</f>
        <v>291.56500000000023</v>
      </c>
      <c r="O105" s="14">
        <f>N105*VLOOKUP('Données projet'!$B$9,Paramètres!$A$1:$I$89,3,0)*VLOOKUP('Données projet'!$B$9,Paramètres!$A$1:$I$89,5,0)</f>
        <v>263.80801200000019</v>
      </c>
      <c r="P105" s="14">
        <f t="shared" si="87"/>
        <v>63.533404059088696</v>
      </c>
      <c r="Q105" s="22">
        <f t="shared" si="107"/>
        <v>570.11963296957981</v>
      </c>
      <c r="R105" s="62">
        <f t="shared" si="55"/>
        <v>863.45296630291318</v>
      </c>
      <c r="S105" s="62">
        <f ca="1">AVERAGE(OFFSET($R$3,0,0,'Données projet'!$E$9+1,1))-AVERAGE(OFFSET($H$3,0,0,'Données projet'!$E$9+1,1))</f>
        <v>441.6145113257511</v>
      </c>
      <c r="T105" s="62">
        <f t="shared" si="88"/>
        <v>295.8399381972477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21.830422434275963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21.830422434275963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-4.5474735088646412E-13</v>
      </c>
      <c r="AJ105" s="14">
        <f>AI105*VLOOKUP('Données projet'!$B$10,Paramètres!$A$1:$I$89,3,0)*VLOOKUP('Données projet'!$B$10,Paramètres!$A$1:$I$89,5,0)</f>
        <v>-3.9017322706058626E-13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623.31285537237943</v>
      </c>
      <c r="AO105" s="62">
        <f t="shared" si="90"/>
        <v>462.33909258902241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270.42016572347387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270.42016572347387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-1.7053025658242404E-13</v>
      </c>
      <c r="BE105" s="14">
        <f>BD105*VLOOKUP('Données projet'!$B$11,Paramètres!$A$1:$I$89,3,0)*VLOOKUP('Données projet'!$B$11,Paramètres!$A$1:$I$89,5,0)</f>
        <v>-1.3567387213697657E-13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299.10536994156814</v>
      </c>
      <c r="BJ105" s="62">
        <f t="shared" si="92"/>
        <v>292.57799203101769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78.498397048517717</v>
      </c>
      <c r="BQ105" s="23">
        <f>EXP(-LN(2)/25)*BQ104+(1-EXP(-LN(2)/25))/(LN(2)/25)*Calculateur!BL105*Calculateur!BN105*VLOOKUP('Données projet'!$B$11,Paramètres!$A$1:$I$89,3,0)*0.475*44/12</f>
        <v>0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78.498397048517717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2.8421709430404007E-14</v>
      </c>
      <c r="BZ105" s="14">
        <f>BY105*VLOOKUP('Données projet'!$B$12,Paramètres!$A$1:$I$89,3,0)*VLOOKUP('Données projet'!$B$12,Paramètres!$A$1:$I$89,5,0)</f>
        <v>2.2168933355715127E-14</v>
      </c>
      <c r="CA105" s="14">
        <f t="shared" si="93"/>
        <v>3.9687356123668477E-13</v>
      </c>
      <c r="CB105" s="22">
        <f t="shared" si="64"/>
        <v>7.2983234474842979E-13</v>
      </c>
      <c r="CC105" s="62">
        <f t="shared" si="65"/>
        <v>293.33333333333405</v>
      </c>
      <c r="CD105" s="62">
        <f ca="1">AVERAGE(OFFSET($CC$3,0,0,'Données projet'!$E$12+1,1))-AVERAGE(OFFSET($H$3,0,0,'Données projet'!$E$12+1,1))</f>
        <v>197.51529454208725</v>
      </c>
      <c r="CE105" s="62">
        <f t="shared" si="94"/>
        <v>196.65362486387215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41.584446167304613</v>
      </c>
      <c r="CL105" s="23">
        <f>EXP(-LN(2)/25)*CL104+(1-EXP(-LN(2)/25))/(LN(2)/25)*Calculateur!CG105*Calculateur!CI105*VLOOKUP('Données projet'!$B$12,Paramètres!$A$1:$I$89,3,0)*0.475*44/12</f>
        <v>0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41.584446167304613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-5.6843418860808015E-14</v>
      </c>
      <c r="CU105" s="18">
        <f>CT105*VLOOKUP('Données projet'!$B$13,Paramètres!$A$1:$I$89,3,0)*VLOOKUP('Données projet'!$B$13,Paramètres!$A$1:$I$89,5,0)</f>
        <v>-3.1036506698001178E-14</v>
      </c>
      <c r="CV105" s="14" t="e">
        <f t="shared" si="95"/>
        <v>#NUM!</v>
      </c>
      <c r="CW105" s="22" t="e">
        <f t="shared" si="67"/>
        <v>#NUM!</v>
      </c>
      <c r="CX105" s="62" t="e">
        <f t="shared" si="68"/>
        <v>#NUM!</v>
      </c>
      <c r="CY105" s="62">
        <f ca="1">AVERAGE(OFFSET($CX$3,0,0,'Données projet'!$E$13+1,1))-AVERAGE(OFFSET($H$3,0,0,'Données projet'!$E$13+1,1))</f>
        <v>303.14853302260451</v>
      </c>
      <c r="CZ105" s="62">
        <f t="shared" si="96"/>
        <v>298.74602928001929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122.3599228927195</v>
      </c>
      <c r="DG105" s="23">
        <f>EXP(-LN(2)/25)*DG104+(1-EXP(-LN(2)/25))/(LN(2)/25)*Calculateur!DB105*Calculateur!DD105*VLOOKUP('Données projet'!$B$13,Paramètres!$A$1:$I$89,3,0)*0.475*44/12</f>
        <v>21.454396869891646</v>
      </c>
      <c r="DH105" s="23">
        <f>EXP(-LN(2)/2)*DH104+(1-EXP(-LN(2)/2))/(LN(2)/2)*DB105*DE105*VLOOKUP('Données projet'!$B$13,Paramètres!$A$1:$I$89,3,0)*0.475*44/12</f>
        <v>1.122168960016073E-2</v>
      </c>
      <c r="DI105" s="24">
        <f t="shared" si="69"/>
        <v>143.8255414522113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70">
        <f t="shared" si="56"/>
        <v>256.66666666666669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>
        <f>VLOOKUP(A106,'Données projet'!$A$35:$I$55,2,0)</f>
        <v>298.3</v>
      </c>
      <c r="L106" s="13">
        <f>VLOOKUP(A106,'Données projet'!$A$35:$I$55,9,0)</f>
        <v>6.7350000000000021</v>
      </c>
      <c r="M106" s="13">
        <f t="array" ref="M106">INDEX(L:L,MIN(IF(ISNUMBER(L106:L302),ROW(L106:L302),"")))</f>
        <v>6.7350000000000021</v>
      </c>
      <c r="N106" s="14">
        <f>IF('Données projet'!$A$36&gt;35,N105+M106-V105,IF(A106&lt;'Données projet'!$A$36,$K$205^A106,IF(A106='Données projet'!$A$36,'Données projet'!$B$36,N105+M106-V105)))</f>
        <v>298.30000000000024</v>
      </c>
      <c r="O106" s="14">
        <f>N106*VLOOKUP('Données projet'!$B$9,Paramètres!$A$1:$I$89,3,0)*VLOOKUP('Données projet'!$B$9,Paramètres!$A$1:$I$89,5,0)</f>
        <v>269.90184000000022</v>
      </c>
      <c r="P106" s="14">
        <f t="shared" si="87"/>
        <v>64.82843681760346</v>
      </c>
      <c r="Q106" s="22">
        <f t="shared" si="107"/>
        <v>582.98856545732633</v>
      </c>
      <c r="R106" s="62">
        <f t="shared" si="55"/>
        <v>876.32189879065959</v>
      </c>
      <c r="S106" s="62">
        <f ca="1">AVERAGE(OFFSET($R$3,0,0,'Données projet'!$E$9+1,1))-AVERAGE(OFFSET($H$3,0,0,'Données projet'!$E$9+1,1))</f>
        <v>441.6145113257511</v>
      </c>
      <c r="T106" s="62">
        <f t="shared" si="88"/>
        <v>295.8399381972477</v>
      </c>
      <c r="U106" s="16">
        <f>IF(ISNA(VLOOKUP(A106,'Données projet'!$A$35:$I$55,3,0)),0,VLOOKUP(A106,'Données projet'!$A$35:$I$55,3,0))</f>
        <v>8</v>
      </c>
      <c r="V106" s="16">
        <f>IF(ISNA(VLOOKUP(A106,'Données projet'!$A$35:$I$55,4,0)),0,VLOOKUP(A106,'Données projet'!$A$35:$I$55,4,0))</f>
        <v>50.51</v>
      </c>
      <c r="W106" s="17">
        <f>IF(ISNA(VLOOKUP(A106,'Données projet'!$A$35:$I$55,5,0)),0%,VLOOKUP(A106,'Données projet'!$A$35:$I$55,5,0)*VLOOKUP('Données projet'!$B$9,Paramètres!$A$1:$I$89,7,0))</f>
        <v>0.215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32.264484534722278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32.264484534722278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-4.5474735088646412E-13</v>
      </c>
      <c r="AJ106" s="14">
        <f>AI106*VLOOKUP('Données projet'!$B$10,Paramètres!$A$1:$I$89,3,0)*VLOOKUP('Données projet'!$B$10,Paramètres!$A$1:$I$89,5,0)</f>
        <v>-3.9017322706058626E-13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623.31285537237943</v>
      </c>
      <c r="AO106" s="62">
        <f t="shared" si="90"/>
        <v>462.33909258902241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265.11739121365116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265.11739121365116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-1.7053025658242404E-13</v>
      </c>
      <c r="BE106" s="14">
        <f>BD106*VLOOKUP('Données projet'!$B$11,Paramètres!$A$1:$I$89,3,0)*VLOOKUP('Données projet'!$B$11,Paramètres!$A$1:$I$89,5,0)</f>
        <v>-1.3567387213697657E-13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299.10536994156814</v>
      </c>
      <c r="BJ106" s="62">
        <f t="shared" si="92"/>
        <v>292.57799203101769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76.959091361690795</v>
      </c>
      <c r="BQ106" s="23">
        <f>EXP(-LN(2)/25)*BQ105+(1-EXP(-LN(2)/25))/(LN(2)/25)*Calculateur!BL106*Calculateur!BN106*VLOOKUP('Données projet'!$B$11,Paramètres!$A$1:$I$89,3,0)*0.475*44/12</f>
        <v>0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76.959091361690795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2.8421709430404007E-14</v>
      </c>
      <c r="BZ106" s="14">
        <f>BY106*VLOOKUP('Données projet'!$B$12,Paramètres!$A$1:$I$89,3,0)*VLOOKUP('Données projet'!$B$12,Paramètres!$A$1:$I$89,5,0)</f>
        <v>2.2168933355715127E-14</v>
      </c>
      <c r="CA106" s="14">
        <f t="shared" si="93"/>
        <v>3.9687356123668477E-13</v>
      </c>
      <c r="CB106" s="22">
        <f t="shared" si="64"/>
        <v>7.2983234474842979E-13</v>
      </c>
      <c r="CC106" s="62">
        <f t="shared" si="65"/>
        <v>293.33333333333405</v>
      </c>
      <c r="CD106" s="62">
        <f ca="1">AVERAGE(OFFSET($CC$3,0,0,'Données projet'!$E$12+1,1))-AVERAGE(OFFSET($H$3,0,0,'Données projet'!$E$12+1,1))</f>
        <v>197.51529454208725</v>
      </c>
      <c r="CE106" s="62">
        <f t="shared" si="94"/>
        <v>196.65362486387215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40.769000541971444</v>
      </c>
      <c r="CL106" s="23">
        <f>EXP(-LN(2)/25)*CL105+(1-EXP(-LN(2)/25))/(LN(2)/25)*Calculateur!CG106*Calculateur!CI106*VLOOKUP('Données projet'!$B$12,Paramètres!$A$1:$I$89,3,0)*0.475*44/12</f>
        <v>0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40.769000541971444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-5.6843418860808015E-14</v>
      </c>
      <c r="CU106" s="18">
        <f>CT106*VLOOKUP('Données projet'!$B$13,Paramètres!$A$1:$I$89,3,0)*VLOOKUP('Données projet'!$B$13,Paramètres!$A$1:$I$89,5,0)</f>
        <v>-3.1036506698001178E-14</v>
      </c>
      <c r="CV106" s="14" t="e">
        <f t="shared" si="95"/>
        <v>#NUM!</v>
      </c>
      <c r="CW106" s="22" t="e">
        <f t="shared" si="67"/>
        <v>#NUM!</v>
      </c>
      <c r="CX106" s="62" t="e">
        <f t="shared" si="68"/>
        <v>#NUM!</v>
      </c>
      <c r="CY106" s="62">
        <f ca="1">AVERAGE(OFFSET($CX$3,0,0,'Données projet'!$E$13+1,1))-AVERAGE(OFFSET($H$3,0,0,'Données projet'!$E$13+1,1))</f>
        <v>303.14853302260451</v>
      </c>
      <c r="CZ106" s="62">
        <f t="shared" si="96"/>
        <v>298.74602928001929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119.96051943697691</v>
      </c>
      <c r="DG106" s="23">
        <f>EXP(-LN(2)/25)*DG105+(1-EXP(-LN(2)/25))/(LN(2)/25)*Calculateur!DB106*Calculateur!DD106*VLOOKUP('Données projet'!$B$13,Paramètres!$A$1:$I$89,3,0)*0.475*44/12</f>
        <v>20.867725259246761</v>
      </c>
      <c r="DH106" s="23">
        <f>EXP(-LN(2)/2)*DH105+(1-EXP(-LN(2)/2))/(LN(2)/2)*DB106*DE106*VLOOKUP('Données projet'!$B$13,Paramètres!$A$1:$I$89,3,0)*0.475*44/12</f>
        <v>7.9349328126442093E-3</v>
      </c>
      <c r="DI106" s="24">
        <f t="shared" si="69"/>
        <v>140.83617962903631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70">
        <f t="shared" si="56"/>
        <v>256.66666666666669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6.5199999999999987</v>
      </c>
      <c r="N107" s="14">
        <f>IF('Données projet'!$A$36&gt;35,N106+M107-V106,IF(A107&lt;'Données projet'!$A$36,$K$205^A107,IF(A107='Données projet'!$A$36,'Données projet'!$B$36,N106+M107-V106)))</f>
        <v>254.31000000000023</v>
      </c>
      <c r="O107" s="14">
        <f>N107*VLOOKUP('Données projet'!$B$9,Paramètres!$A$1:$I$89,3,0)*VLOOKUP('Données projet'!$B$9,Paramètres!$A$1:$I$89,5,0)</f>
        <v>230.09968800000021</v>
      </c>
      <c r="P107" s="14">
        <f t="shared" si="87"/>
        <v>56.304235863804251</v>
      </c>
      <c r="Q107" s="22">
        <f t="shared" si="107"/>
        <v>498.82016739612618</v>
      </c>
      <c r="R107" s="62">
        <f t="shared" si="55"/>
        <v>792.15350072945944</v>
      </c>
      <c r="S107" s="62">
        <f ca="1">AVERAGE(OFFSET($R$3,0,0,'Données projet'!$E$9+1,1))-AVERAGE(OFFSET($H$3,0,0,'Données projet'!$E$9+1,1))</f>
        <v>441.6145113257511</v>
      </c>
      <c r="T107" s="62">
        <f t="shared" si="88"/>
        <v>295.8399381972477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31.63179767238876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31.63179767238876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-4.5474735088646412E-13</v>
      </c>
      <c r="AJ107" s="14">
        <f>AI107*VLOOKUP('Données projet'!$B$10,Paramètres!$A$1:$I$89,3,0)*VLOOKUP('Données projet'!$B$10,Paramètres!$A$1:$I$89,5,0)</f>
        <v>-3.9017322706058626E-13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623.31285537237943</v>
      </c>
      <c r="AO107" s="62">
        <f t="shared" si="90"/>
        <v>462.33909258902241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259.91860087759301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259.91860087759301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-1.7053025658242404E-13</v>
      </c>
      <c r="BE107" s="14">
        <f>BD107*VLOOKUP('Données projet'!$B$11,Paramètres!$A$1:$I$89,3,0)*VLOOKUP('Données projet'!$B$11,Paramètres!$A$1:$I$89,5,0)</f>
        <v>-1.3567387213697657E-13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299.10536994156814</v>
      </c>
      <c r="BJ107" s="62">
        <f t="shared" si="92"/>
        <v>292.57799203101769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75.449970520498795</v>
      </c>
      <c r="BQ107" s="23">
        <f>EXP(-LN(2)/25)*BQ106+(1-EXP(-LN(2)/25))/(LN(2)/25)*Calculateur!BL107*Calculateur!BN107*VLOOKUP('Données projet'!$B$11,Paramètres!$A$1:$I$89,3,0)*0.475*44/12</f>
        <v>0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75.449970520498795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2.8421709430404007E-14</v>
      </c>
      <c r="BZ107" s="14">
        <f>BY107*VLOOKUP('Données projet'!$B$12,Paramètres!$A$1:$I$89,3,0)*VLOOKUP('Données projet'!$B$12,Paramètres!$A$1:$I$89,5,0)</f>
        <v>2.2168933355715127E-14</v>
      </c>
      <c r="CA107" s="14">
        <f t="shared" si="93"/>
        <v>3.9687356123668477E-13</v>
      </c>
      <c r="CB107" s="22">
        <f t="shared" si="64"/>
        <v>7.2983234474842979E-13</v>
      </c>
      <c r="CC107" s="62">
        <f t="shared" si="65"/>
        <v>293.33333333333405</v>
      </c>
      <c r="CD107" s="62">
        <f ca="1">AVERAGE(OFFSET($CC$3,0,0,'Données projet'!$E$12+1,1))-AVERAGE(OFFSET($H$3,0,0,'Données projet'!$E$12+1,1))</f>
        <v>197.51529454208725</v>
      </c>
      <c r="CE107" s="62">
        <f t="shared" si="94"/>
        <v>196.65362486387215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39.969545307978336</v>
      </c>
      <c r="CL107" s="23">
        <f>EXP(-LN(2)/25)*CL106+(1-EXP(-LN(2)/25))/(LN(2)/25)*Calculateur!CG107*Calculateur!CI107*VLOOKUP('Données projet'!$B$12,Paramètres!$A$1:$I$89,3,0)*0.475*44/12</f>
        <v>0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39.969545307978336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-5.6843418860808015E-14</v>
      </c>
      <c r="CU107" s="18">
        <f>CT107*VLOOKUP('Données projet'!$B$13,Paramètres!$A$1:$I$89,3,0)*VLOOKUP('Données projet'!$B$13,Paramètres!$A$1:$I$89,5,0)</f>
        <v>-3.1036506698001178E-14</v>
      </c>
      <c r="CV107" s="14" t="e">
        <f t="shared" si="95"/>
        <v>#NUM!</v>
      </c>
      <c r="CW107" s="22" t="e">
        <f t="shared" si="67"/>
        <v>#NUM!</v>
      </c>
      <c r="CX107" s="62" t="e">
        <f t="shared" si="68"/>
        <v>#NUM!</v>
      </c>
      <c r="CY107" s="62">
        <f ca="1">AVERAGE(OFFSET($CX$3,0,0,'Données projet'!$E$13+1,1))-AVERAGE(OFFSET($H$3,0,0,'Données projet'!$E$13+1,1))</f>
        <v>303.14853302260451</v>
      </c>
      <c r="CZ107" s="62">
        <f t="shared" si="96"/>
        <v>298.74602928001929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117.60816681950985</v>
      </c>
      <c r="DG107" s="23">
        <f>EXP(-LN(2)/25)*DG106+(1-EXP(-LN(2)/25))/(LN(2)/25)*Calculateur!DB107*Calculateur!DD107*VLOOKUP('Données projet'!$B$13,Paramètres!$A$1:$I$89,3,0)*0.475*44/12</f>
        <v>20.297096214646682</v>
      </c>
      <c r="DH107" s="23">
        <f>EXP(-LN(2)/2)*DH106+(1-EXP(-LN(2)/2))/(LN(2)/2)*DB107*DE107*VLOOKUP('Données projet'!$B$13,Paramètres!$A$1:$I$89,3,0)*0.475*44/12</f>
        <v>5.6108448000803651E-3</v>
      </c>
      <c r="DI107" s="24">
        <f t="shared" si="69"/>
        <v>137.91087387895661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70">
        <f t="shared" si="56"/>
        <v>256.66666666666669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6.5199999999999987</v>
      </c>
      <c r="N108" s="14">
        <f>IF('Données projet'!$A$36&gt;35,N107+M108-V107,IF(A108&lt;'Données projet'!$A$36,$K$205^A108,IF(A108='Données projet'!$A$36,'Données projet'!$B$36,N107+M108-V107)))</f>
        <v>260.83000000000021</v>
      </c>
      <c r="O108" s="14">
        <f>N108*VLOOKUP('Données projet'!$B$9,Paramètres!$A$1:$I$89,3,0)*VLOOKUP('Données projet'!$B$9,Paramètres!$A$1:$I$89,5,0)</f>
        <v>235.99898400000018</v>
      </c>
      <c r="P108" s="14">
        <f t="shared" si="87"/>
        <v>57.577851946511636</v>
      </c>
      <c r="Q108" s="22">
        <f t="shared" si="107"/>
        <v>511.31298927350804</v>
      </c>
      <c r="R108" s="62">
        <f t="shared" si="55"/>
        <v>804.6463226068413</v>
      </c>
      <c r="S108" s="62">
        <f ca="1">AVERAGE(OFFSET($R$3,0,0,'Données projet'!$E$9+1,1))-AVERAGE(OFFSET($H$3,0,0,'Données projet'!$E$9+1,1))</f>
        <v>441.6145113257511</v>
      </c>
      <c r="T108" s="62">
        <f t="shared" si="88"/>
        <v>295.8399381972477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31.011517413524722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31.011517413524722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-4.5474735088646412E-13</v>
      </c>
      <c r="AJ108" s="14">
        <f>AI108*VLOOKUP('Données projet'!$B$10,Paramètres!$A$1:$I$89,3,0)*VLOOKUP('Données projet'!$B$10,Paramètres!$A$1:$I$89,5,0)</f>
        <v>-3.9017322706058626E-13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623.31285537237943</v>
      </c>
      <c r="AO108" s="62">
        <f t="shared" si="90"/>
        <v>462.33909258902241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254.82175564907595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254.82175564907595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-1.7053025658242404E-13</v>
      </c>
      <c r="BE108" s="14">
        <f>BD108*VLOOKUP('Données projet'!$B$11,Paramètres!$A$1:$I$89,3,0)*VLOOKUP('Données projet'!$B$11,Paramètres!$A$1:$I$89,5,0)</f>
        <v>-1.3567387213697657E-13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299.10536994156814</v>
      </c>
      <c r="BJ108" s="62">
        <f t="shared" si="92"/>
        <v>292.57799203101769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73.970442618529745</v>
      </c>
      <c r="BQ108" s="23">
        <f>EXP(-LN(2)/25)*BQ107+(1-EXP(-LN(2)/25))/(LN(2)/25)*Calculateur!BL108*Calculateur!BN108*VLOOKUP('Données projet'!$B$11,Paramètres!$A$1:$I$89,3,0)*0.475*44/12</f>
        <v>0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73.970442618529745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2.8421709430404007E-14</v>
      </c>
      <c r="BZ108" s="14">
        <f>BY108*VLOOKUP('Données projet'!$B$12,Paramètres!$A$1:$I$89,3,0)*VLOOKUP('Données projet'!$B$12,Paramètres!$A$1:$I$89,5,0)</f>
        <v>2.2168933355715127E-14</v>
      </c>
      <c r="CA108" s="14">
        <f t="shared" si="93"/>
        <v>3.9687356123668477E-13</v>
      </c>
      <c r="CB108" s="22">
        <f t="shared" si="64"/>
        <v>7.2983234474842979E-13</v>
      </c>
      <c r="CC108" s="62">
        <f t="shared" si="65"/>
        <v>293.33333333333405</v>
      </c>
      <c r="CD108" s="62">
        <f ca="1">AVERAGE(OFFSET($CC$3,0,0,'Données projet'!$E$12+1,1))-AVERAGE(OFFSET($H$3,0,0,'Données projet'!$E$12+1,1))</f>
        <v>197.51529454208725</v>
      </c>
      <c r="CE108" s="62">
        <f t="shared" si="94"/>
        <v>196.65362486387215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39.185766903504295</v>
      </c>
      <c r="CL108" s="23">
        <f>EXP(-LN(2)/25)*CL107+(1-EXP(-LN(2)/25))/(LN(2)/25)*Calculateur!CG108*Calculateur!CI108*VLOOKUP('Données projet'!$B$12,Paramètres!$A$1:$I$89,3,0)*0.475*44/12</f>
        <v>0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39.185766903504295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-5.6843418860808015E-14</v>
      </c>
      <c r="CU108" s="18">
        <f>CT108*VLOOKUP('Données projet'!$B$13,Paramètres!$A$1:$I$89,3,0)*VLOOKUP('Données projet'!$B$13,Paramètres!$A$1:$I$89,5,0)</f>
        <v>-3.1036506698001178E-14</v>
      </c>
      <c r="CV108" s="14" t="e">
        <f t="shared" si="95"/>
        <v>#NUM!</v>
      </c>
      <c r="CW108" s="22" t="e">
        <f t="shared" si="67"/>
        <v>#NUM!</v>
      </c>
      <c r="CX108" s="62" t="e">
        <f t="shared" si="68"/>
        <v>#NUM!</v>
      </c>
      <c r="CY108" s="62">
        <f ca="1">AVERAGE(OFFSET($CX$3,0,0,'Données projet'!$E$13+1,1))-AVERAGE(OFFSET($H$3,0,0,'Données projet'!$E$13+1,1))</f>
        <v>303.14853302260451</v>
      </c>
      <c r="CZ108" s="62">
        <f t="shared" si="96"/>
        <v>298.74602928001929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115.30194240207788</v>
      </c>
      <c r="DG108" s="23">
        <f>EXP(-LN(2)/25)*DG107+(1-EXP(-LN(2)/25))/(LN(2)/25)*Calculateur!DB108*Calculateur!DD108*VLOOKUP('Données projet'!$B$13,Paramètres!$A$1:$I$89,3,0)*0.475*44/12</f>
        <v>19.742071051279268</v>
      </c>
      <c r="DH108" s="23">
        <f>EXP(-LN(2)/2)*DH107+(1-EXP(-LN(2)/2))/(LN(2)/2)*DB108*DE108*VLOOKUP('Données projet'!$B$13,Paramètres!$A$1:$I$89,3,0)*0.475*44/12</f>
        <v>3.9674664063221047E-3</v>
      </c>
      <c r="DI108" s="24">
        <f t="shared" si="69"/>
        <v>135.04798091976346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70">
        <f t="shared" si="56"/>
        <v>256.66666666666669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6.5199999999999987</v>
      </c>
      <c r="N109" s="14">
        <f>IF('Données projet'!$A$36&gt;35,N108+M109-V108,IF(A109&lt;'Données projet'!$A$36,$K$205^A109,IF(A109='Données projet'!$A$36,'Données projet'!$B$36,N108+M109-V108)))</f>
        <v>267.35000000000019</v>
      </c>
      <c r="O109" s="14">
        <f>N109*VLOOKUP('Données projet'!$B$9,Paramètres!$A$1:$I$89,3,0)*VLOOKUP('Données projet'!$B$9,Paramètres!$A$1:$I$89,5,0)</f>
        <v>241.89828000000017</v>
      </c>
      <c r="P109" s="14">
        <f t="shared" si="87"/>
        <v>58.847767211474299</v>
      </c>
      <c r="Q109" s="22">
        <f t="shared" si="107"/>
        <v>523.79936555998472</v>
      </c>
      <c r="R109" s="62">
        <f t="shared" si="55"/>
        <v>817.13269889331809</v>
      </c>
      <c r="S109" s="62">
        <f ca="1">AVERAGE(OFFSET($R$3,0,0,'Données projet'!$E$9+1,1))-AVERAGE(OFFSET($H$3,0,0,'Données projet'!$E$9+1,1))</f>
        <v>441.6145113257511</v>
      </c>
      <c r="T109" s="62">
        <f t="shared" si="88"/>
        <v>295.8399381972477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30.403400472203408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30.403400472203408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-4.5474735088646412E-13</v>
      </c>
      <c r="AJ109" s="14">
        <f>AI109*VLOOKUP('Données projet'!$B$10,Paramètres!$A$1:$I$89,3,0)*VLOOKUP('Données projet'!$B$10,Paramètres!$A$1:$I$89,5,0)</f>
        <v>-3.9017322706058626E-13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623.31285537237943</v>
      </c>
      <c r="AO109" s="62">
        <f t="shared" si="90"/>
        <v>462.33909258902241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249.8248564467215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249.8248564467215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-1.7053025658242404E-13</v>
      </c>
      <c r="BE109" s="14">
        <f>BD109*VLOOKUP('Données projet'!$B$11,Paramètres!$A$1:$I$89,3,0)*VLOOKUP('Données projet'!$B$11,Paramètres!$A$1:$I$89,5,0)</f>
        <v>-1.3567387213697657E-13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299.10536994156814</v>
      </c>
      <c r="BJ109" s="62">
        <f t="shared" si="92"/>
        <v>292.57799203101769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72.519927356295383</v>
      </c>
      <c r="BQ109" s="23">
        <f>EXP(-LN(2)/25)*BQ108+(1-EXP(-LN(2)/25))/(LN(2)/25)*Calculateur!BL109*Calculateur!BN109*VLOOKUP('Données projet'!$B$11,Paramètres!$A$1:$I$89,3,0)*0.475*44/12</f>
        <v>0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72.519927356295383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2.8421709430404007E-14</v>
      </c>
      <c r="BZ109" s="14">
        <f>BY109*VLOOKUP('Données projet'!$B$12,Paramètres!$A$1:$I$89,3,0)*VLOOKUP('Données projet'!$B$12,Paramètres!$A$1:$I$89,5,0)</f>
        <v>2.2168933355715127E-14</v>
      </c>
      <c r="CA109" s="14">
        <f t="shared" si="93"/>
        <v>3.9687356123668477E-13</v>
      </c>
      <c r="CB109" s="22">
        <f t="shared" si="64"/>
        <v>7.2983234474842979E-13</v>
      </c>
      <c r="CC109" s="62">
        <f t="shared" si="65"/>
        <v>293.33333333333405</v>
      </c>
      <c r="CD109" s="62">
        <f ca="1">AVERAGE(OFFSET($CC$3,0,0,'Données projet'!$E$12+1,1))-AVERAGE(OFFSET($H$3,0,0,'Données projet'!$E$12+1,1))</f>
        <v>197.51529454208725</v>
      </c>
      <c r="CE109" s="62">
        <f t="shared" si="94"/>
        <v>196.65362486387215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38.417357915484359</v>
      </c>
      <c r="CL109" s="23">
        <f>EXP(-LN(2)/25)*CL108+(1-EXP(-LN(2)/25))/(LN(2)/25)*Calculateur!CG109*Calculateur!CI109*VLOOKUP('Données projet'!$B$12,Paramètres!$A$1:$I$89,3,0)*0.475*44/12</f>
        <v>0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38.417357915484359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-5.6843418860808015E-14</v>
      </c>
      <c r="CU109" s="18">
        <f>CT109*VLOOKUP('Données projet'!$B$13,Paramètres!$A$1:$I$89,3,0)*VLOOKUP('Données projet'!$B$13,Paramètres!$A$1:$I$89,5,0)</f>
        <v>-3.1036506698001178E-14</v>
      </c>
      <c r="CV109" s="14" t="e">
        <f t="shared" si="95"/>
        <v>#NUM!</v>
      </c>
      <c r="CW109" s="22" t="e">
        <f t="shared" si="67"/>
        <v>#NUM!</v>
      </c>
      <c r="CX109" s="62" t="e">
        <f t="shared" si="68"/>
        <v>#NUM!</v>
      </c>
      <c r="CY109" s="62">
        <f ca="1">AVERAGE(OFFSET($CX$3,0,0,'Données projet'!$E$13+1,1))-AVERAGE(OFFSET($H$3,0,0,'Données projet'!$E$13+1,1))</f>
        <v>303.14853302260451</v>
      </c>
      <c r="CZ109" s="62">
        <f t="shared" si="96"/>
        <v>298.74602928001929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113.04094163881376</v>
      </c>
      <c r="DG109" s="23">
        <f>EXP(-LN(2)/25)*DG108+(1-EXP(-LN(2)/25))/(LN(2)/25)*Calculateur!DB109*Calculateur!DD109*VLOOKUP('Données projet'!$B$13,Paramètres!$A$1:$I$89,3,0)*0.475*44/12</f>
        <v>19.20222308019164</v>
      </c>
      <c r="DH109" s="23">
        <f>EXP(-LN(2)/2)*DH108+(1-EXP(-LN(2)/2))/(LN(2)/2)*DB109*DE109*VLOOKUP('Données projet'!$B$13,Paramètres!$A$1:$I$89,3,0)*0.475*44/12</f>
        <v>2.8054224000401825E-3</v>
      </c>
      <c r="DI109" s="24">
        <f t="shared" si="69"/>
        <v>132.24597014140542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70">
        <f t="shared" si="56"/>
        <v>256.66666666666669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6.5199999999999987</v>
      </c>
      <c r="N110" s="14">
        <f>IF('Données projet'!$A$36&gt;35,N109+M110-V109,IF(A110&lt;'Données projet'!$A$36,$K$205^A110,IF(A110='Données projet'!$A$36,'Données projet'!$B$36,N109+M110-V109)))</f>
        <v>273.87000000000018</v>
      </c>
      <c r="O110" s="14">
        <f>N110*VLOOKUP('Données projet'!$B$9,Paramètres!$A$1:$I$89,3,0)*VLOOKUP('Données projet'!$B$9,Paramètres!$A$1:$I$89,5,0)</f>
        <v>247.79757600000016</v>
      </c>
      <c r="P110" s="14">
        <f t="shared" si="87"/>
        <v>60.114082295241161</v>
      </c>
      <c r="Q110" s="22">
        <f t="shared" si="107"/>
        <v>536.2794715308786</v>
      </c>
      <c r="R110" s="62">
        <f t="shared" si="55"/>
        <v>829.61280486421197</v>
      </c>
      <c r="S110" s="62">
        <f ca="1">AVERAGE(OFFSET($R$3,0,0,'Données projet'!$E$9+1,1))-AVERAGE(OFFSET($H$3,0,0,'Données projet'!$E$9+1,1))</f>
        <v>441.6145113257511</v>
      </c>
      <c r="T110" s="62">
        <f t="shared" si="88"/>
        <v>295.8399381972477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29.807208333186697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29.807208333186697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-4.5474735088646412E-13</v>
      </c>
      <c r="AJ110" s="14">
        <f>AI110*VLOOKUP('Données projet'!$B$10,Paramètres!$A$1:$I$89,3,0)*VLOOKUP('Données projet'!$B$10,Paramètres!$A$1:$I$89,5,0)</f>
        <v>-3.9017322706058626E-13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623.31285537237943</v>
      </c>
      <c r="AO110" s="62">
        <f t="shared" si="90"/>
        <v>462.33909258902241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244.92594338991762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244.92594338991762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-1.7053025658242404E-13</v>
      </c>
      <c r="BE110" s="14">
        <f>BD110*VLOOKUP('Données projet'!$B$11,Paramètres!$A$1:$I$89,3,0)*VLOOKUP('Données projet'!$B$11,Paramètres!$A$1:$I$89,5,0)</f>
        <v>-1.3567387213697657E-13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299.10536994156814</v>
      </c>
      <c r="BJ110" s="62">
        <f t="shared" si="92"/>
        <v>292.57799203101769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71.097855813626495</v>
      </c>
      <c r="BQ110" s="23">
        <f>EXP(-LN(2)/25)*BQ109+(1-EXP(-LN(2)/25))/(LN(2)/25)*Calculateur!BL110*Calculateur!BN110*VLOOKUP('Données projet'!$B$11,Paramètres!$A$1:$I$89,3,0)*0.475*44/12</f>
        <v>0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71.097855813626495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2.8421709430404007E-14</v>
      </c>
      <c r="BZ110" s="14">
        <f>BY110*VLOOKUP('Données projet'!$B$12,Paramètres!$A$1:$I$89,3,0)*VLOOKUP('Données projet'!$B$12,Paramètres!$A$1:$I$89,5,0)</f>
        <v>2.2168933355715127E-14</v>
      </c>
      <c r="CA110" s="14">
        <f t="shared" si="93"/>
        <v>3.9687356123668477E-13</v>
      </c>
      <c r="CB110" s="22">
        <f t="shared" si="64"/>
        <v>7.2983234474842979E-13</v>
      </c>
      <c r="CC110" s="62">
        <f t="shared" si="65"/>
        <v>293.33333333333405</v>
      </c>
      <c r="CD110" s="62">
        <f ca="1">AVERAGE(OFFSET($CC$3,0,0,'Données projet'!$E$12+1,1))-AVERAGE(OFFSET($H$3,0,0,'Données projet'!$E$12+1,1))</f>
        <v>197.51529454208725</v>
      </c>
      <c r="CE110" s="62">
        <f t="shared" si="94"/>
        <v>196.65362486387215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37.664016959036296</v>
      </c>
      <c r="CL110" s="23">
        <f>EXP(-LN(2)/25)*CL109+(1-EXP(-LN(2)/25))/(LN(2)/25)*Calculateur!CG110*Calculateur!CI110*VLOOKUP('Données projet'!$B$12,Paramètres!$A$1:$I$89,3,0)*0.475*44/12</f>
        <v>0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37.664016959036296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-5.6843418860808015E-14</v>
      </c>
      <c r="CU110" s="18">
        <f>CT110*VLOOKUP('Données projet'!$B$13,Paramètres!$A$1:$I$89,3,0)*VLOOKUP('Données projet'!$B$13,Paramètres!$A$1:$I$89,5,0)</f>
        <v>-3.1036506698001178E-14</v>
      </c>
      <c r="CV110" s="14" t="e">
        <f t="shared" si="95"/>
        <v>#NUM!</v>
      </c>
      <c r="CW110" s="22" t="e">
        <f t="shared" si="67"/>
        <v>#NUM!</v>
      </c>
      <c r="CX110" s="62" t="e">
        <f t="shared" si="68"/>
        <v>#NUM!</v>
      </c>
      <c r="CY110" s="62">
        <f ca="1">AVERAGE(OFFSET($CX$3,0,0,'Données projet'!$E$13+1,1))-AVERAGE(OFFSET($H$3,0,0,'Données projet'!$E$13+1,1))</f>
        <v>303.14853302260451</v>
      </c>
      <c r="CZ110" s="62">
        <f t="shared" si="96"/>
        <v>298.74602928001929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110.82427772144295</v>
      </c>
      <c r="DG110" s="23">
        <f>EXP(-LN(2)/25)*DG109+(1-EXP(-LN(2)/25))/(LN(2)/25)*Calculateur!DB110*Calculateur!DD110*VLOOKUP('Données projet'!$B$13,Paramètres!$A$1:$I$89,3,0)*0.475*44/12</f>
        <v>18.677137280262777</v>
      </c>
      <c r="DH110" s="23">
        <f>EXP(-LN(2)/2)*DH109+(1-EXP(-LN(2)/2))/(LN(2)/2)*DB110*DE110*VLOOKUP('Données projet'!$B$13,Paramètres!$A$1:$I$89,3,0)*0.475*44/12</f>
        <v>1.9837332031610523E-3</v>
      </c>
      <c r="DI110" s="24">
        <f t="shared" si="69"/>
        <v>129.5033987349089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70">
        <f t="shared" si="56"/>
        <v>256.66666666666669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6.5199999999999987</v>
      </c>
      <c r="N111" s="14">
        <f>IF('Données projet'!$A$36&gt;35,N110+M111-V110,IF(A111&lt;'Données projet'!$A$36,$K$205^A111,IF(A111='Données projet'!$A$36,'Données projet'!$B$36,N110+M111-V110)))</f>
        <v>280.39000000000016</v>
      </c>
      <c r="O111" s="14">
        <f>N111*VLOOKUP('Données projet'!$B$9,Paramètres!$A$1:$I$89,3,0)*VLOOKUP('Données projet'!$B$9,Paramètres!$A$1:$I$89,5,0)</f>
        <v>253.69687200000013</v>
      </c>
      <c r="P111" s="14">
        <f t="shared" si="87"/>
        <v>61.376892769371267</v>
      </c>
      <c r="Q111" s="22">
        <f t="shared" si="107"/>
        <v>548.75347363998856</v>
      </c>
      <c r="R111" s="62">
        <f t="shared" si="55"/>
        <v>842.08680697332193</v>
      </c>
      <c r="S111" s="62">
        <f ca="1">AVERAGE(OFFSET($R$3,0,0,'Données projet'!$E$9+1,1))-AVERAGE(OFFSET($H$3,0,0,'Données projet'!$E$9+1,1))</f>
        <v>441.6145113257511</v>
      </c>
      <c r="T111" s="62">
        <f t="shared" si="88"/>
        <v>295.8399381972477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29.222707158374803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29.222707158374803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-4.5474735088646412E-13</v>
      </c>
      <c r="AJ111" s="14">
        <f>AI111*VLOOKUP('Données projet'!$B$10,Paramètres!$A$1:$I$89,3,0)*VLOOKUP('Données projet'!$B$10,Paramètres!$A$1:$I$89,5,0)</f>
        <v>-3.9017322706058626E-13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623.31285537237943</v>
      </c>
      <c r="AO111" s="62">
        <f t="shared" si="90"/>
        <v>462.33909258902241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240.12309503011576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240.12309503011576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-1.7053025658242404E-13</v>
      </c>
      <c r="BE111" s="14">
        <f>BD111*VLOOKUP('Données projet'!$B$11,Paramètres!$A$1:$I$89,3,0)*VLOOKUP('Données projet'!$B$11,Paramètres!$A$1:$I$89,5,0)</f>
        <v>-1.3567387213697657E-13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299.10536994156814</v>
      </c>
      <c r="BJ111" s="62">
        <f t="shared" si="92"/>
        <v>292.57799203101769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69.703670226531344</v>
      </c>
      <c r="BQ111" s="23">
        <f>EXP(-LN(2)/25)*BQ110+(1-EXP(-LN(2)/25))/(LN(2)/25)*Calculateur!BL111*Calculateur!BN111*VLOOKUP('Données projet'!$B$11,Paramètres!$A$1:$I$89,3,0)*0.475*44/12</f>
        <v>0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69.703670226531344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2.8421709430404007E-14</v>
      </c>
      <c r="BZ111" s="14">
        <f>BY111*VLOOKUP('Données projet'!$B$12,Paramètres!$A$1:$I$89,3,0)*VLOOKUP('Données projet'!$B$12,Paramètres!$A$1:$I$89,5,0)</f>
        <v>2.2168933355715127E-14</v>
      </c>
      <c r="CA111" s="14">
        <f t="shared" si="93"/>
        <v>3.9687356123668477E-13</v>
      </c>
      <c r="CB111" s="22">
        <f t="shared" si="64"/>
        <v>7.2983234474842979E-13</v>
      </c>
      <c r="CC111" s="62">
        <f t="shared" si="65"/>
        <v>293.33333333333405</v>
      </c>
      <c r="CD111" s="62">
        <f ca="1">AVERAGE(OFFSET($CC$3,0,0,'Données projet'!$E$12+1,1))-AVERAGE(OFFSET($H$3,0,0,'Données projet'!$E$12+1,1))</f>
        <v>197.51529454208725</v>
      </c>
      <c r="CE111" s="62">
        <f t="shared" si="94"/>
        <v>196.65362486387215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36.925448559251564</v>
      </c>
      <c r="CL111" s="23">
        <f>EXP(-LN(2)/25)*CL110+(1-EXP(-LN(2)/25))/(LN(2)/25)*Calculateur!CG111*Calculateur!CI111*VLOOKUP('Données projet'!$B$12,Paramètres!$A$1:$I$89,3,0)*0.475*44/12</f>
        <v>0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36.925448559251564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-5.6843418860808015E-14</v>
      </c>
      <c r="CU111" s="18">
        <f>CT111*VLOOKUP('Données projet'!$B$13,Paramètres!$A$1:$I$89,3,0)*VLOOKUP('Données projet'!$B$13,Paramètres!$A$1:$I$89,5,0)</f>
        <v>-3.1036506698001178E-14</v>
      </c>
      <c r="CV111" s="14" t="e">
        <f t="shared" si="95"/>
        <v>#NUM!</v>
      </c>
      <c r="CW111" s="22" t="e">
        <f t="shared" si="67"/>
        <v>#NUM!</v>
      </c>
      <c r="CX111" s="62" t="e">
        <f t="shared" si="68"/>
        <v>#NUM!</v>
      </c>
      <c r="CY111" s="62">
        <f ca="1">AVERAGE(OFFSET($CX$3,0,0,'Données projet'!$E$13+1,1))-AVERAGE(OFFSET($H$3,0,0,'Données projet'!$E$13+1,1))</f>
        <v>303.14853302260451</v>
      </c>
      <c r="CZ111" s="62">
        <f t="shared" si="96"/>
        <v>298.74602928001929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108.65108123146031</v>
      </c>
      <c r="DG111" s="23">
        <f>EXP(-LN(2)/25)*DG110+(1-EXP(-LN(2)/25))/(LN(2)/25)*Calculateur!DB111*Calculateur!DD111*VLOOKUP('Données projet'!$B$13,Paramètres!$A$1:$I$89,3,0)*0.475*44/12</f>
        <v>18.166409979146028</v>
      </c>
      <c r="DH111" s="23">
        <f>EXP(-LN(2)/2)*DH110+(1-EXP(-LN(2)/2))/(LN(2)/2)*DB111*DE111*VLOOKUP('Données projet'!$B$13,Paramètres!$A$1:$I$89,3,0)*0.475*44/12</f>
        <v>1.4027112000200913E-3</v>
      </c>
      <c r="DI111" s="24">
        <f t="shared" si="69"/>
        <v>126.81889392180635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70">
        <f t="shared" si="56"/>
        <v>256.66666666666669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6.5199999999999987</v>
      </c>
      <c r="N112" s="14">
        <f>IF('Données projet'!$A$36&gt;35,N111+M112-V111,IF(A112&lt;'Données projet'!$A$36,$K$205^A112,IF(A112='Données projet'!$A$36,'Données projet'!$B$36,N111+M112-V111)))</f>
        <v>286.91000000000014</v>
      </c>
      <c r="O112" s="14">
        <f>N112*VLOOKUP('Données projet'!$B$9,Paramètres!$A$1:$I$89,3,0)*VLOOKUP('Données projet'!$B$9,Paramètres!$A$1:$I$89,5,0)</f>
        <v>259.59616800000009</v>
      </c>
      <c r="P112" s="14">
        <f t="shared" si="87"/>
        <v>62.636289507113787</v>
      </c>
      <c r="Q112" s="22">
        <f t="shared" si="107"/>
        <v>561.22153015822335</v>
      </c>
      <c r="R112" s="62">
        <f t="shared" si="55"/>
        <v>854.55486349155672</v>
      </c>
      <c r="S112" s="62">
        <f ca="1">AVERAGE(OFFSET($R$3,0,0,'Données projet'!$E$9+1,1))-AVERAGE(OFFSET($H$3,0,0,'Données projet'!$E$9+1,1))</f>
        <v>441.6145113257511</v>
      </c>
      <c r="T112" s="62">
        <f t="shared" si="88"/>
        <v>295.8399381972477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28.649667695090457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28.649667695090457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-4.5474735088646412E-13</v>
      </c>
      <c r="AJ112" s="14">
        <f>AI112*VLOOKUP('Données projet'!$B$10,Paramètres!$A$1:$I$89,3,0)*VLOOKUP('Données projet'!$B$10,Paramètres!$A$1:$I$89,5,0)</f>
        <v>-3.9017322706058626E-13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623.31285537237943</v>
      </c>
      <c r="AO112" s="62">
        <f t="shared" si="90"/>
        <v>462.33909258902241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235.41442759720138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235.41442759720138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-1.7053025658242404E-13</v>
      </c>
      <c r="BE112" s="14">
        <f>BD112*VLOOKUP('Données projet'!$B$11,Paramètres!$A$1:$I$89,3,0)*VLOOKUP('Données projet'!$B$11,Paramètres!$A$1:$I$89,5,0)</f>
        <v>-1.3567387213697657E-13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299.10536994156814</v>
      </c>
      <c r="BJ112" s="62">
        <f t="shared" si="92"/>
        <v>292.57799203101769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68.336823768429895</v>
      </c>
      <c r="BQ112" s="23">
        <f>EXP(-LN(2)/25)*BQ111+(1-EXP(-LN(2)/25))/(LN(2)/25)*Calculateur!BL112*Calculateur!BN112*VLOOKUP('Données projet'!$B$11,Paramètres!$A$1:$I$89,3,0)*0.475*44/12</f>
        <v>0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68.336823768429895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2.8421709430404007E-14</v>
      </c>
      <c r="BZ112" s="14">
        <f>BY112*VLOOKUP('Données projet'!$B$12,Paramètres!$A$1:$I$89,3,0)*VLOOKUP('Données projet'!$B$12,Paramètres!$A$1:$I$89,5,0)</f>
        <v>2.2168933355715127E-14</v>
      </c>
      <c r="CA112" s="14">
        <f t="shared" si="93"/>
        <v>3.9687356123668477E-13</v>
      </c>
      <c r="CB112" s="22">
        <f t="shared" si="64"/>
        <v>7.2983234474842979E-13</v>
      </c>
      <c r="CC112" s="62">
        <f t="shared" si="65"/>
        <v>293.33333333333405</v>
      </c>
      <c r="CD112" s="62">
        <f ca="1">AVERAGE(OFFSET($CC$3,0,0,'Données projet'!$E$12+1,1))-AVERAGE(OFFSET($H$3,0,0,'Données projet'!$E$12+1,1))</f>
        <v>197.51529454208725</v>
      </c>
      <c r="CE112" s="62">
        <f t="shared" si="94"/>
        <v>196.65362486387215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36.201363035304368</v>
      </c>
      <c r="CL112" s="23">
        <f>EXP(-LN(2)/25)*CL111+(1-EXP(-LN(2)/25))/(LN(2)/25)*Calculateur!CG112*Calculateur!CI112*VLOOKUP('Données projet'!$B$12,Paramètres!$A$1:$I$89,3,0)*0.475*44/12</f>
        <v>0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36.201363035304368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-5.6843418860808015E-14</v>
      </c>
      <c r="CU112" s="18">
        <f>CT112*VLOOKUP('Données projet'!$B$13,Paramètres!$A$1:$I$89,3,0)*VLOOKUP('Données projet'!$B$13,Paramètres!$A$1:$I$89,5,0)</f>
        <v>-3.1036506698001178E-14</v>
      </c>
      <c r="CV112" s="14" t="e">
        <f t="shared" si="95"/>
        <v>#NUM!</v>
      </c>
      <c r="CW112" s="22" t="e">
        <f t="shared" si="67"/>
        <v>#NUM!</v>
      </c>
      <c r="CX112" s="62" t="e">
        <f t="shared" si="68"/>
        <v>#NUM!</v>
      </c>
      <c r="CY112" s="62">
        <f ca="1">AVERAGE(OFFSET($CX$3,0,0,'Données projet'!$E$13+1,1))-AVERAGE(OFFSET($H$3,0,0,'Données projet'!$E$13+1,1))</f>
        <v>303.14853302260451</v>
      </c>
      <c r="CZ112" s="62">
        <f t="shared" si="96"/>
        <v>298.74602928001929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106.52049979912725</v>
      </c>
      <c r="DG112" s="23">
        <f>EXP(-LN(2)/25)*DG111+(1-EXP(-LN(2)/25))/(LN(2)/25)*Calculateur!DB112*Calculateur!DD112*VLOOKUP('Données projet'!$B$13,Paramètres!$A$1:$I$89,3,0)*0.475*44/12</f>
        <v>17.669648542936297</v>
      </c>
      <c r="DH112" s="23">
        <f>EXP(-LN(2)/2)*DH111+(1-EXP(-LN(2)/2))/(LN(2)/2)*DB112*DE112*VLOOKUP('Données projet'!$B$13,Paramètres!$A$1:$I$89,3,0)*0.475*44/12</f>
        <v>9.9186660158052616E-4</v>
      </c>
      <c r="DI112" s="24">
        <f t="shared" si="69"/>
        <v>124.19114020866513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70">
        <f t="shared" si="56"/>
        <v>256.66666666666669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6.5199999999999987</v>
      </c>
      <c r="N113" s="14">
        <f>IF('Données projet'!$A$36&gt;35,N112+M113-V112,IF(A113&lt;'Données projet'!$A$36,$K$205^A113,IF(A113='Données projet'!$A$36,'Données projet'!$B$36,N112+M113-V112)))</f>
        <v>293.43000000000012</v>
      </c>
      <c r="O113" s="14">
        <f>N113*VLOOKUP('Données projet'!$B$9,Paramètres!$A$1:$I$89,3,0)*VLOOKUP('Données projet'!$B$9,Paramètres!$A$1:$I$89,5,0)</f>
        <v>265.49546400000008</v>
      </c>
      <c r="P113" s="14">
        <f t="shared" si="87"/>
        <v>63.892359015816595</v>
      </c>
      <c r="Q113" s="22">
        <f t="shared" si="107"/>
        <v>573.68379175254745</v>
      </c>
      <c r="R113" s="62">
        <f t="shared" si="55"/>
        <v>867.01712508588071</v>
      </c>
      <c r="S113" s="62">
        <f ca="1">AVERAGE(OFFSET($R$3,0,0,'Données projet'!$E$9+1,1))-AVERAGE(OFFSET($H$3,0,0,'Données projet'!$E$9+1,1))</f>
        <v>441.6145113257511</v>
      </c>
      <c r="T113" s="62">
        <f t="shared" si="88"/>
        <v>295.8399381972477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28.087865186161558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28.087865186161558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-4.5474735088646412E-13</v>
      </c>
      <c r="AJ113" s="14">
        <f>AI113*VLOOKUP('Données projet'!$B$10,Paramètres!$A$1:$I$89,3,0)*VLOOKUP('Données projet'!$B$10,Paramètres!$A$1:$I$89,5,0)</f>
        <v>-3.9017322706058626E-13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623.31285537237943</v>
      </c>
      <c r="AO113" s="62">
        <f t="shared" si="90"/>
        <v>462.33909258902241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230.7980942606429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230.7980942606429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-1.7053025658242404E-13</v>
      </c>
      <c r="BE113" s="14">
        <f>BD113*VLOOKUP('Données projet'!$B$11,Paramètres!$A$1:$I$89,3,0)*VLOOKUP('Données projet'!$B$11,Paramètres!$A$1:$I$89,5,0)</f>
        <v>-1.3567387213697657E-13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299.10536994156814</v>
      </c>
      <c r="BJ113" s="62">
        <f t="shared" si="92"/>
        <v>292.57799203101769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66.996780335677798</v>
      </c>
      <c r="BQ113" s="23">
        <f>EXP(-LN(2)/25)*BQ112+(1-EXP(-LN(2)/25))/(LN(2)/25)*Calculateur!BL113*Calculateur!BN113*VLOOKUP('Données projet'!$B$11,Paramètres!$A$1:$I$89,3,0)*0.475*44/12</f>
        <v>0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66.996780335677798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2.8421709430404007E-14</v>
      </c>
      <c r="BZ113" s="14">
        <f>BY113*VLOOKUP('Données projet'!$B$12,Paramètres!$A$1:$I$89,3,0)*VLOOKUP('Données projet'!$B$12,Paramètres!$A$1:$I$89,5,0)</f>
        <v>2.2168933355715127E-14</v>
      </c>
      <c r="CA113" s="14">
        <f t="shared" si="93"/>
        <v>3.9687356123668477E-13</v>
      </c>
      <c r="CB113" s="22">
        <f t="shared" si="64"/>
        <v>7.2983234474842979E-13</v>
      </c>
      <c r="CC113" s="62">
        <f t="shared" si="65"/>
        <v>293.33333333333405</v>
      </c>
      <c r="CD113" s="62">
        <f ca="1">AVERAGE(OFFSET($CC$3,0,0,'Données projet'!$E$12+1,1))-AVERAGE(OFFSET($H$3,0,0,'Données projet'!$E$12+1,1))</f>
        <v>197.51529454208725</v>
      </c>
      <c r="CE113" s="62">
        <f t="shared" si="94"/>
        <v>196.65362486387215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35.49147638683322</v>
      </c>
      <c r="CL113" s="23">
        <f>EXP(-LN(2)/25)*CL112+(1-EXP(-LN(2)/25))/(LN(2)/25)*Calculateur!CG113*Calculateur!CI113*VLOOKUP('Données projet'!$B$12,Paramètres!$A$1:$I$89,3,0)*0.475*44/12</f>
        <v>0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35.49147638683322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-5.6843418860808015E-14</v>
      </c>
      <c r="CU113" s="18">
        <f>CT113*VLOOKUP('Données projet'!$B$13,Paramètres!$A$1:$I$89,3,0)*VLOOKUP('Données projet'!$B$13,Paramètres!$A$1:$I$89,5,0)</f>
        <v>-3.1036506698001178E-14</v>
      </c>
      <c r="CV113" s="14" t="e">
        <f t="shared" si="95"/>
        <v>#NUM!</v>
      </c>
      <c r="CW113" s="22" t="e">
        <f t="shared" si="67"/>
        <v>#NUM!</v>
      </c>
      <c r="CX113" s="62" t="e">
        <f t="shared" si="68"/>
        <v>#NUM!</v>
      </c>
      <c r="CY113" s="62">
        <f ca="1">AVERAGE(OFFSET($CX$3,0,0,'Données projet'!$E$13+1,1))-AVERAGE(OFFSET($H$3,0,0,'Données projet'!$E$13+1,1))</f>
        <v>303.14853302260451</v>
      </c>
      <c r="CZ113" s="62">
        <f t="shared" si="96"/>
        <v>298.74602928001929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104.43169776915587</v>
      </c>
      <c r="DG113" s="23">
        <f>EXP(-LN(2)/25)*DG112+(1-EXP(-LN(2)/25))/(LN(2)/25)*Calculateur!DB113*Calculateur!DD113*VLOOKUP('Données projet'!$B$13,Paramètres!$A$1:$I$89,3,0)*0.475*44/12</f>
        <v>17.186471074323272</v>
      </c>
      <c r="DH113" s="23">
        <f>EXP(-LN(2)/2)*DH112+(1-EXP(-LN(2)/2))/(LN(2)/2)*DB113*DE113*VLOOKUP('Données projet'!$B$13,Paramètres!$A$1:$I$89,3,0)*0.475*44/12</f>
        <v>7.0135560001004563E-4</v>
      </c>
      <c r="DI113" s="24">
        <f t="shared" si="69"/>
        <v>121.61887019907915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70">
        <f t="shared" si="56"/>
        <v>256.66666666666669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6.5199999999999987</v>
      </c>
      <c r="N114" s="14">
        <f>IF('Données projet'!$A$36&gt;35,N113+M114-V113,IF(A114&lt;'Données projet'!$A$36,$K$205^A114,IF(A114='Données projet'!$A$36,'Données projet'!$B$36,N113+M114-V113)))</f>
        <v>299.9500000000001</v>
      </c>
      <c r="O114" s="14">
        <f>N114*VLOOKUP('Données projet'!$B$9,Paramètres!$A$1:$I$89,3,0)*VLOOKUP('Données projet'!$B$9,Paramètres!$A$1:$I$89,5,0)</f>
        <v>271.39476000000008</v>
      </c>
      <c r="P114" s="14">
        <f t="shared" si="87"/>
        <v>65.145183738957968</v>
      </c>
      <c r="Q114" s="22">
        <f t="shared" si="107"/>
        <v>586.14040201201863</v>
      </c>
      <c r="R114" s="62">
        <f t="shared" si="55"/>
        <v>879.473735345352</v>
      </c>
      <c r="S114" s="62">
        <f ca="1">AVERAGE(OFFSET($R$3,0,0,'Données projet'!$E$9+1,1))-AVERAGE(OFFSET($H$3,0,0,'Données projet'!$E$9+1,1))</f>
        <v>441.6145113257511</v>
      </c>
      <c r="T114" s="62">
        <f t="shared" si="88"/>
        <v>295.8399381972477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27.53707928176706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27.53707928176706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-4.5474735088646412E-13</v>
      </c>
      <c r="AJ114" s="14">
        <f>AI114*VLOOKUP('Données projet'!$B$10,Paramètres!$A$1:$I$89,3,0)*VLOOKUP('Données projet'!$B$10,Paramètres!$A$1:$I$89,5,0)</f>
        <v>-3.9017322706058626E-13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623.31285537237943</v>
      </c>
      <c r="AO114" s="62">
        <f t="shared" si="90"/>
        <v>462.33909258902241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226.27228440512903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226.27228440512903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-1.7053025658242404E-13</v>
      </c>
      <c r="BE114" s="14">
        <f>BD114*VLOOKUP('Données projet'!$B$11,Paramètres!$A$1:$I$89,3,0)*VLOOKUP('Données projet'!$B$11,Paramètres!$A$1:$I$89,5,0)</f>
        <v>-1.3567387213697657E-13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299.10536994156814</v>
      </c>
      <c r="BJ114" s="62">
        <f t="shared" si="92"/>
        <v>292.57799203101769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65.683014337296171</v>
      </c>
      <c r="BQ114" s="23">
        <f>EXP(-LN(2)/25)*BQ113+(1-EXP(-LN(2)/25))/(LN(2)/25)*Calculateur!BL114*Calculateur!BN114*VLOOKUP('Données projet'!$B$11,Paramètres!$A$1:$I$89,3,0)*0.475*44/12</f>
        <v>0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65.683014337296171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2.8421709430404007E-14</v>
      </c>
      <c r="BZ114" s="14">
        <f>BY114*VLOOKUP('Données projet'!$B$12,Paramètres!$A$1:$I$89,3,0)*VLOOKUP('Données projet'!$B$12,Paramètres!$A$1:$I$89,5,0)</f>
        <v>2.2168933355715127E-14</v>
      </c>
      <c r="CA114" s="14">
        <f t="shared" si="93"/>
        <v>3.9687356123668477E-13</v>
      </c>
      <c r="CB114" s="22">
        <f t="shared" si="64"/>
        <v>7.2983234474842979E-13</v>
      </c>
      <c r="CC114" s="62">
        <f t="shared" si="65"/>
        <v>293.33333333333405</v>
      </c>
      <c r="CD114" s="62">
        <f ca="1">AVERAGE(OFFSET($CC$3,0,0,'Données projet'!$E$12+1,1))-AVERAGE(OFFSET($H$3,0,0,'Données projet'!$E$12+1,1))</f>
        <v>197.51529454208725</v>
      </c>
      <c r="CE114" s="62">
        <f t="shared" si="94"/>
        <v>196.65362486387215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34.795510182550487</v>
      </c>
      <c r="CL114" s="23">
        <f>EXP(-LN(2)/25)*CL113+(1-EXP(-LN(2)/25))/(LN(2)/25)*Calculateur!CG114*Calculateur!CI114*VLOOKUP('Données projet'!$B$12,Paramètres!$A$1:$I$89,3,0)*0.475*44/12</f>
        <v>0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34.795510182550487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-5.6843418860808015E-14</v>
      </c>
      <c r="CU114" s="18">
        <f>CT114*VLOOKUP('Données projet'!$B$13,Paramètres!$A$1:$I$89,3,0)*VLOOKUP('Données projet'!$B$13,Paramètres!$A$1:$I$89,5,0)</f>
        <v>-3.1036506698001178E-14</v>
      </c>
      <c r="CV114" s="14" t="e">
        <f t="shared" si="95"/>
        <v>#NUM!</v>
      </c>
      <c r="CW114" s="22" t="e">
        <f t="shared" si="67"/>
        <v>#NUM!</v>
      </c>
      <c r="CX114" s="62" t="e">
        <f t="shared" si="68"/>
        <v>#NUM!</v>
      </c>
      <c r="CY114" s="62">
        <f ca="1">AVERAGE(OFFSET($CX$3,0,0,'Données projet'!$E$13+1,1))-AVERAGE(OFFSET($H$3,0,0,'Données projet'!$E$13+1,1))</f>
        <v>303.14853302260451</v>
      </c>
      <c r="CZ114" s="62">
        <f t="shared" si="96"/>
        <v>298.74602928001929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102.3838558729488</v>
      </c>
      <c r="DG114" s="23">
        <f>EXP(-LN(2)/25)*DG113+(1-EXP(-LN(2)/25))/(LN(2)/25)*Calculateur!DB114*Calculateur!DD114*VLOOKUP('Données projet'!$B$13,Paramètres!$A$1:$I$89,3,0)*0.475*44/12</f>
        <v>16.716506118998669</v>
      </c>
      <c r="DH114" s="23">
        <f>EXP(-LN(2)/2)*DH113+(1-EXP(-LN(2)/2))/(LN(2)/2)*DB114*DE114*VLOOKUP('Données projet'!$B$13,Paramètres!$A$1:$I$89,3,0)*0.475*44/12</f>
        <v>4.9593330079026308E-4</v>
      </c>
      <c r="DI114" s="24">
        <f t="shared" si="69"/>
        <v>119.10085792524825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70">
        <f t="shared" si="56"/>
        <v>256.66666666666669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6.5199999999999987</v>
      </c>
      <c r="N115" s="14">
        <f>IF('Données projet'!$A$36&gt;35,N114+M115-V114,IF(A115&lt;'Données projet'!$A$36,$K$205^A115,IF(A115='Données projet'!$A$36,'Données projet'!$B$36,N114+M115-V114)))</f>
        <v>306.47000000000008</v>
      </c>
      <c r="O115" s="14">
        <f>N115*VLOOKUP('Données projet'!$B$9,Paramètres!$A$1:$I$89,3,0)*VLOOKUP('Données projet'!$B$9,Paramètres!$A$1:$I$89,5,0)</f>
        <v>277.29405600000007</v>
      </c>
      <c r="P115" s="14">
        <f t="shared" si="87"/>
        <v>66.394842331176392</v>
      </c>
      <c r="Q115" s="22">
        <f t="shared" si="107"/>
        <v>598.59149792679898</v>
      </c>
      <c r="R115" s="62">
        <f t="shared" si="55"/>
        <v>891.92483126013235</v>
      </c>
      <c r="S115" s="62">
        <f ca="1">AVERAGE(OFFSET($R$3,0,0,'Données projet'!$E$9+1,1))-AVERAGE(OFFSET($H$3,0,0,'Données projet'!$E$9+1,1))</f>
        <v>441.6145113257511</v>
      </c>
      <c r="T115" s="62">
        <f t="shared" si="88"/>
        <v>295.8399381972477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26.997093953011507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26.997093953011507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-4.5474735088646412E-13</v>
      </c>
      <c r="AJ115" s="14">
        <f>AI115*VLOOKUP('Données projet'!$B$10,Paramètres!$A$1:$I$89,3,0)*VLOOKUP('Données projet'!$B$10,Paramètres!$A$1:$I$89,5,0)</f>
        <v>-3.9017322706058626E-13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623.31285537237943</v>
      </c>
      <c r="AO115" s="62">
        <f t="shared" si="90"/>
        <v>462.33909258902241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221.83522292041033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221.83522292041033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-1.7053025658242404E-13</v>
      </c>
      <c r="BE115" s="14">
        <f>BD115*VLOOKUP('Données projet'!$B$11,Paramètres!$A$1:$I$89,3,0)*VLOOKUP('Données projet'!$B$11,Paramètres!$A$1:$I$89,5,0)</f>
        <v>-1.3567387213697657E-13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299.10536994156814</v>
      </c>
      <c r="BJ115" s="62">
        <f t="shared" si="92"/>
        <v>292.57799203101769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64.395010488824681</v>
      </c>
      <c r="BQ115" s="23">
        <f>EXP(-LN(2)/25)*BQ114+(1-EXP(-LN(2)/25))/(LN(2)/25)*Calculateur!BL115*Calculateur!BN115*VLOOKUP('Données projet'!$B$11,Paramètres!$A$1:$I$89,3,0)*0.475*44/12</f>
        <v>0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64.395010488824681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2.8421709430404007E-14</v>
      </c>
      <c r="BZ115" s="14">
        <f>BY115*VLOOKUP('Données projet'!$B$12,Paramètres!$A$1:$I$89,3,0)*VLOOKUP('Données projet'!$B$12,Paramètres!$A$1:$I$89,5,0)</f>
        <v>2.2168933355715127E-14</v>
      </c>
      <c r="CA115" s="14">
        <f t="shared" si="93"/>
        <v>3.9687356123668477E-13</v>
      </c>
      <c r="CB115" s="22">
        <f t="shared" si="64"/>
        <v>7.2983234474842979E-13</v>
      </c>
      <c r="CC115" s="62">
        <f t="shared" si="65"/>
        <v>293.33333333333405</v>
      </c>
      <c r="CD115" s="62">
        <f ca="1">AVERAGE(OFFSET($CC$3,0,0,'Données projet'!$E$12+1,1))-AVERAGE(OFFSET($H$3,0,0,'Données projet'!$E$12+1,1))</f>
        <v>197.51529454208725</v>
      </c>
      <c r="CE115" s="62">
        <f t="shared" si="94"/>
        <v>196.65362486387215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34.113191451036272</v>
      </c>
      <c r="CL115" s="23">
        <f>EXP(-LN(2)/25)*CL114+(1-EXP(-LN(2)/25))/(LN(2)/25)*Calculateur!CG115*Calculateur!CI115*VLOOKUP('Données projet'!$B$12,Paramètres!$A$1:$I$89,3,0)*0.475*44/12</f>
        <v>0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34.113191451036272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-5.6843418860808015E-14</v>
      </c>
      <c r="CU115" s="18">
        <f>CT115*VLOOKUP('Données projet'!$B$13,Paramètres!$A$1:$I$89,3,0)*VLOOKUP('Données projet'!$B$13,Paramètres!$A$1:$I$89,5,0)</f>
        <v>-3.1036506698001178E-14</v>
      </c>
      <c r="CV115" s="14" t="e">
        <f t="shared" si="95"/>
        <v>#NUM!</v>
      </c>
      <c r="CW115" s="22" t="e">
        <f t="shared" si="67"/>
        <v>#NUM!</v>
      </c>
      <c r="CX115" s="62" t="e">
        <f t="shared" si="68"/>
        <v>#NUM!</v>
      </c>
      <c r="CY115" s="62">
        <f ca="1">AVERAGE(OFFSET($CX$3,0,0,'Données projet'!$E$13+1,1))-AVERAGE(OFFSET($H$3,0,0,'Données projet'!$E$13+1,1))</f>
        <v>303.14853302260451</v>
      </c>
      <c r="CZ115" s="62">
        <f t="shared" si="96"/>
        <v>298.74602928001929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100.37617090726613</v>
      </c>
      <c r="DG115" s="23">
        <f>EXP(-LN(2)/25)*DG114+(1-EXP(-LN(2)/25))/(LN(2)/25)*Calculateur!DB115*Calculateur!DD115*VLOOKUP('Données projet'!$B$13,Paramètres!$A$1:$I$89,3,0)*0.475*44/12</f>
        <v>16.2593923800918</v>
      </c>
      <c r="DH115" s="23">
        <f>EXP(-LN(2)/2)*DH114+(1-EXP(-LN(2)/2))/(LN(2)/2)*DB115*DE115*VLOOKUP('Données projet'!$B$13,Paramètres!$A$1:$I$89,3,0)*0.475*44/12</f>
        <v>3.5067780000502282E-4</v>
      </c>
      <c r="DI115" s="24">
        <f t="shared" si="69"/>
        <v>116.63591396515793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70">
        <f t="shared" si="56"/>
        <v>256.66666666666669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>
        <f>VLOOKUP(A116,'Données projet'!$A$35:$I$55,2,0)</f>
        <v>312.99</v>
      </c>
      <c r="L116" s="13">
        <f>VLOOKUP(A116,'Données projet'!$A$35:$I$55,9,0)</f>
        <v>6.5199999999999987</v>
      </c>
      <c r="M116" s="13">
        <f t="array" ref="M116">INDEX(L:L,MIN(IF(ISNUMBER(L116:L312),ROW(L116:L312),"")))</f>
        <v>6.5199999999999987</v>
      </c>
      <c r="N116" s="14">
        <f>IF('Données projet'!$A$36&gt;35,N115+M116-V115,IF(A116&lt;'Données projet'!$A$36,$K$205^A116,IF(A116='Données projet'!$A$36,'Données projet'!$B$36,N115+M116-V115)))</f>
        <v>312.99000000000007</v>
      </c>
      <c r="O116" s="14">
        <f>N116*VLOOKUP('Données projet'!$B$9,Paramètres!$A$1:$I$89,3,0)*VLOOKUP('Données projet'!$B$9,Paramètres!$A$1:$I$89,5,0)</f>
        <v>283.19335200000006</v>
      </c>
      <c r="P116" s="14">
        <f t="shared" si="87"/>
        <v>67.641409909234866</v>
      </c>
      <c r="Q116" s="22">
        <f t="shared" si="107"/>
        <v>611.03721032525084</v>
      </c>
      <c r="R116" s="62">
        <f t="shared" si="55"/>
        <v>904.37054365858421</v>
      </c>
      <c r="S116" s="62">
        <f ca="1">AVERAGE(OFFSET($R$3,0,0,'Données projet'!$E$9+1,1))-AVERAGE(OFFSET($H$3,0,0,'Données projet'!$E$9+1,1))</f>
        <v>441.6145113257511</v>
      </c>
      <c r="T116" s="62">
        <f t="shared" si="88"/>
        <v>295.8399381972477</v>
      </c>
      <c r="U116" s="16">
        <f>IF(ISNA(VLOOKUP(A116,'Données projet'!$A$35:$I$55,3,0)),0,VLOOKUP(A116,'Données projet'!$A$35:$I$55,3,0))</f>
        <v>9</v>
      </c>
      <c r="V116" s="16">
        <f>IF(ISNA(VLOOKUP(A116,'Données projet'!$A$35:$I$55,4,0)),0,VLOOKUP(A116,'Données projet'!$A$35:$I$55,4,0))</f>
        <v>40.479999999999997</v>
      </c>
      <c r="W116" s="17">
        <f>IF(ISNA(VLOOKUP(A116,'Données projet'!$A$35:$I$55,5,0)),0%,VLOOKUP(A116,'Données projet'!$A$35:$I$55,5,0)*VLOOKUP('Données projet'!$B$9,Paramètres!$A$1:$I$89,7,0))</f>
        <v>0.215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35.172895656704704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35.172895656704704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-4.5474735088646412E-13</v>
      </c>
      <c r="AJ116" s="14">
        <f>AI116*VLOOKUP('Données projet'!$B$10,Paramètres!$A$1:$I$89,3,0)*VLOOKUP('Données projet'!$B$10,Paramètres!$A$1:$I$89,5,0)</f>
        <v>-3.9017322706058626E-13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623.31285537237943</v>
      </c>
      <c r="AO116" s="62">
        <f t="shared" si="90"/>
        <v>462.33909258902241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217.48516950506669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217.48516950506669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-1.7053025658242404E-13</v>
      </c>
      <c r="BE116" s="14">
        <f>BD116*VLOOKUP('Données projet'!$B$11,Paramètres!$A$1:$I$89,3,0)*VLOOKUP('Données projet'!$B$11,Paramètres!$A$1:$I$89,5,0)</f>
        <v>-1.3567387213697657E-13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299.10536994156814</v>
      </c>
      <c r="BJ116" s="62">
        <f t="shared" si="92"/>
        <v>292.57799203101769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63.132263610216938</v>
      </c>
      <c r="BQ116" s="23">
        <f>EXP(-LN(2)/25)*BQ115+(1-EXP(-LN(2)/25))/(LN(2)/25)*Calculateur!BL116*Calculateur!BN116*VLOOKUP('Données projet'!$B$11,Paramètres!$A$1:$I$89,3,0)*0.475*44/12</f>
        <v>0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63.132263610216938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2.8421709430404007E-14</v>
      </c>
      <c r="BZ116" s="14">
        <f>BY116*VLOOKUP('Données projet'!$B$12,Paramètres!$A$1:$I$89,3,0)*VLOOKUP('Données projet'!$B$12,Paramètres!$A$1:$I$89,5,0)</f>
        <v>2.2168933355715127E-14</v>
      </c>
      <c r="CA116" s="14">
        <f t="shared" si="93"/>
        <v>3.9687356123668477E-13</v>
      </c>
      <c r="CB116" s="22">
        <f t="shared" si="64"/>
        <v>7.2983234474842979E-13</v>
      </c>
      <c r="CC116" s="62">
        <f t="shared" si="65"/>
        <v>293.33333333333405</v>
      </c>
      <c r="CD116" s="62">
        <f ca="1">AVERAGE(OFFSET($CC$3,0,0,'Données projet'!$E$12+1,1))-AVERAGE(OFFSET($H$3,0,0,'Données projet'!$E$12+1,1))</f>
        <v>197.51529454208725</v>
      </c>
      <c r="CE116" s="62">
        <f t="shared" si="94"/>
        <v>196.65362486387215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33.444252573673715</v>
      </c>
      <c r="CL116" s="23">
        <f>EXP(-LN(2)/25)*CL115+(1-EXP(-LN(2)/25))/(LN(2)/25)*Calculateur!CG116*Calculateur!CI116*VLOOKUP('Données projet'!$B$12,Paramètres!$A$1:$I$89,3,0)*0.475*44/12</f>
        <v>0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33.444252573673715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-5.6843418860808015E-14</v>
      </c>
      <c r="CU116" s="18">
        <f>CT116*VLOOKUP('Données projet'!$B$13,Paramètres!$A$1:$I$89,3,0)*VLOOKUP('Données projet'!$B$13,Paramètres!$A$1:$I$89,5,0)</f>
        <v>-3.1036506698001178E-14</v>
      </c>
      <c r="CV116" s="14" t="e">
        <f t="shared" si="95"/>
        <v>#NUM!</v>
      </c>
      <c r="CW116" s="22" t="e">
        <f t="shared" si="67"/>
        <v>#NUM!</v>
      </c>
      <c r="CX116" s="62" t="e">
        <f t="shared" si="68"/>
        <v>#NUM!</v>
      </c>
      <c r="CY116" s="62">
        <f ca="1">AVERAGE(OFFSET($CX$3,0,0,'Données projet'!$E$13+1,1))-AVERAGE(OFFSET($H$3,0,0,'Données projet'!$E$13+1,1))</f>
        <v>303.14853302260451</v>
      </c>
      <c r="CZ116" s="62">
        <f t="shared" si="96"/>
        <v>298.74602928001929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98.407855419193581</v>
      </c>
      <c r="DG116" s="23">
        <f>EXP(-LN(2)/25)*DG115+(1-EXP(-LN(2)/25))/(LN(2)/25)*Calculateur!DB116*Calculateur!DD116*VLOOKUP('Données projet'!$B$13,Paramètres!$A$1:$I$89,3,0)*0.475*44/12</f>
        <v>15.814778440413905</v>
      </c>
      <c r="DH116" s="23">
        <f>EXP(-LN(2)/2)*DH115+(1-EXP(-LN(2)/2))/(LN(2)/2)*DB116*DE116*VLOOKUP('Données projet'!$B$13,Paramètres!$A$1:$I$89,3,0)*0.475*44/12</f>
        <v>2.4796665039513154E-4</v>
      </c>
      <c r="DI116" s="24">
        <f t="shared" si="69"/>
        <v>114.22288182625788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70">
        <f t="shared" si="56"/>
        <v>256.66666666666669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6.7941666666666691</v>
      </c>
      <c r="N117" s="14">
        <f>IF('Données projet'!$A$36&gt;35,N116+M117-V116,IF(A117&lt;'Données projet'!$A$36,$K$205^A117,IF(A117='Données projet'!$A$36,'Données projet'!$B$36,N116+M117-V116)))</f>
        <v>279.30416666666673</v>
      </c>
      <c r="O117" s="14">
        <f>N117*VLOOKUP('Données projet'!$B$9,Paramètres!$A$1:$I$89,3,0)*VLOOKUP('Données projet'!$B$9,Paramètres!$A$1:$I$89,5,0)</f>
        <v>252.71441000000007</v>
      </c>
      <c r="P117" s="14">
        <f t="shared" si="87"/>
        <v>61.166825075391685</v>
      </c>
      <c r="Q117" s="22">
        <f t="shared" si="107"/>
        <v>546.676484422974</v>
      </c>
      <c r="R117" s="62">
        <f t="shared" si="55"/>
        <v>840.00981775630726</v>
      </c>
      <c r="S117" s="62">
        <f ca="1">AVERAGE(OFFSET($R$3,0,0,'Données projet'!$E$9+1,1))-AVERAGE(OFFSET($H$3,0,0,'Données projet'!$E$9+1,1))</f>
        <v>441.6145113257511</v>
      </c>
      <c r="T117" s="62">
        <f t="shared" si="88"/>
        <v>295.8399381972477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34.483176626224733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34.483176626224733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-4.5474735088646412E-13</v>
      </c>
      <c r="AJ117" s="14">
        <f>AI117*VLOOKUP('Données projet'!$B$10,Paramètres!$A$1:$I$89,3,0)*VLOOKUP('Données projet'!$B$10,Paramètres!$A$1:$I$89,5,0)</f>
        <v>-3.9017322706058626E-13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623.31285537237943</v>
      </c>
      <c r="AO117" s="62">
        <f t="shared" si="90"/>
        <v>462.33909258902241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213.22041798392735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213.22041798392735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-1.7053025658242404E-13</v>
      </c>
      <c r="BE117" s="14">
        <f>BD117*VLOOKUP('Données projet'!$B$11,Paramètres!$A$1:$I$89,3,0)*VLOOKUP('Données projet'!$B$11,Paramètres!$A$1:$I$89,5,0)</f>
        <v>-1.3567387213697657E-13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299.10536994156814</v>
      </c>
      <c r="BJ117" s="62">
        <f t="shared" si="92"/>
        <v>292.57799203101769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61.894278427699149</v>
      </c>
      <c r="BQ117" s="23">
        <f>EXP(-LN(2)/25)*BQ116+(1-EXP(-LN(2)/25))/(LN(2)/25)*Calculateur!BL117*Calculateur!BN117*VLOOKUP('Données projet'!$B$11,Paramètres!$A$1:$I$89,3,0)*0.475*44/12</f>
        <v>0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61.894278427699149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2.8421709430404007E-14</v>
      </c>
      <c r="BZ117" s="14">
        <f>BY117*VLOOKUP('Données projet'!$B$12,Paramètres!$A$1:$I$89,3,0)*VLOOKUP('Données projet'!$B$12,Paramètres!$A$1:$I$89,5,0)</f>
        <v>2.2168933355715127E-14</v>
      </c>
      <c r="CA117" s="14">
        <f t="shared" si="93"/>
        <v>3.9687356123668477E-13</v>
      </c>
      <c r="CB117" s="22">
        <f t="shared" si="64"/>
        <v>7.2983234474842979E-13</v>
      </c>
      <c r="CC117" s="62">
        <f t="shared" si="65"/>
        <v>293.33333333333405</v>
      </c>
      <c r="CD117" s="62">
        <f ca="1">AVERAGE(OFFSET($CC$3,0,0,'Données projet'!$E$12+1,1))-AVERAGE(OFFSET($H$3,0,0,'Données projet'!$E$12+1,1))</f>
        <v>197.51529454208725</v>
      </c>
      <c r="CE117" s="62">
        <f t="shared" si="94"/>
        <v>196.65362486387215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32.788431179683812</v>
      </c>
      <c r="CL117" s="23">
        <f>EXP(-LN(2)/25)*CL116+(1-EXP(-LN(2)/25))/(LN(2)/25)*Calculateur!CG117*Calculateur!CI117*VLOOKUP('Données projet'!$B$12,Paramètres!$A$1:$I$89,3,0)*0.475*44/12</f>
        <v>0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32.788431179683812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-5.6843418860808015E-14</v>
      </c>
      <c r="CU117" s="18">
        <f>CT117*VLOOKUP('Données projet'!$B$13,Paramètres!$A$1:$I$89,3,0)*VLOOKUP('Données projet'!$B$13,Paramètres!$A$1:$I$89,5,0)</f>
        <v>-3.1036506698001178E-14</v>
      </c>
      <c r="CV117" s="14" t="e">
        <f t="shared" si="95"/>
        <v>#NUM!</v>
      </c>
      <c r="CW117" s="22" t="e">
        <f t="shared" si="67"/>
        <v>#NUM!</v>
      </c>
      <c r="CX117" s="62" t="e">
        <f t="shared" si="68"/>
        <v>#NUM!</v>
      </c>
      <c r="CY117" s="62">
        <f ca="1">AVERAGE(OFFSET($CX$3,0,0,'Données projet'!$E$13+1,1))-AVERAGE(OFFSET($H$3,0,0,'Données projet'!$E$13+1,1))</f>
        <v>303.14853302260451</v>
      </c>
      <c r="CZ117" s="62">
        <f t="shared" si="96"/>
        <v>298.74602928001929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96.478137397288236</v>
      </c>
      <c r="DG117" s="23">
        <f>EXP(-LN(2)/25)*DG116+(1-EXP(-LN(2)/25))/(LN(2)/25)*Calculateur!DB117*Calculateur!DD117*VLOOKUP('Données projet'!$B$13,Paramètres!$A$1:$I$89,3,0)*0.475*44/12</f>
        <v>15.382322492297734</v>
      </c>
      <c r="DH117" s="23">
        <f>EXP(-LN(2)/2)*DH116+(1-EXP(-LN(2)/2))/(LN(2)/2)*DB117*DE117*VLOOKUP('Données projet'!$B$13,Paramètres!$A$1:$I$89,3,0)*0.475*44/12</f>
        <v>1.7533890000251141E-4</v>
      </c>
      <c r="DI117" s="24">
        <f t="shared" si="69"/>
        <v>111.86063522848598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70">
        <f t="shared" si="56"/>
        <v>256.66666666666669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6.7941666666666691</v>
      </c>
      <c r="N118" s="14">
        <f>IF('Données projet'!$A$36&gt;35,N117+M118-V117,IF(A118&lt;'Données projet'!$A$36,$K$205^A118,IF(A118='Données projet'!$A$36,'Données projet'!$B$36,N117+M118-V117)))</f>
        <v>286.09833333333341</v>
      </c>
      <c r="O118" s="14">
        <f>N118*VLOOKUP('Données projet'!$B$9,Paramètres!$A$1:$I$89,3,0)*VLOOKUP('Données projet'!$B$9,Paramètres!$A$1:$I$89,5,0)</f>
        <v>258.86177200000009</v>
      </c>
      <c r="P118" s="14">
        <f t="shared" si="87"/>
        <v>62.479691824726856</v>
      </c>
      <c r="Q118" s="22">
        <f t="shared" si="107"/>
        <v>559.66971616139938</v>
      </c>
      <c r="R118" s="62">
        <f t="shared" si="55"/>
        <v>853.00304949473275</v>
      </c>
      <c r="S118" s="62">
        <f ca="1">AVERAGE(OFFSET($R$3,0,0,'Données projet'!$E$9+1,1))-AVERAGE(OFFSET($H$3,0,0,'Données projet'!$E$9+1,1))</f>
        <v>441.6145113257511</v>
      </c>
      <c r="T118" s="62">
        <f t="shared" si="88"/>
        <v>295.8399381972477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33.806982565245406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33.806982565245406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-4.5474735088646412E-13</v>
      </c>
      <c r="AJ118" s="14">
        <f>AI118*VLOOKUP('Données projet'!$B$10,Paramètres!$A$1:$I$89,3,0)*VLOOKUP('Données projet'!$B$10,Paramètres!$A$1:$I$89,5,0)</f>
        <v>-3.9017322706058626E-13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623.31285537237943</v>
      </c>
      <c r="AO118" s="62">
        <f t="shared" si="90"/>
        <v>462.33909258902241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209.03929563887598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209.03929563887598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-1.7053025658242404E-13</v>
      </c>
      <c r="BE118" s="14">
        <f>BD118*VLOOKUP('Données projet'!$B$11,Paramètres!$A$1:$I$89,3,0)*VLOOKUP('Données projet'!$B$11,Paramètres!$A$1:$I$89,5,0)</f>
        <v>-1.3567387213697657E-13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299.10536994156814</v>
      </c>
      <c r="BJ118" s="62">
        <f t="shared" si="92"/>
        <v>292.57799203101769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60.680569379514132</v>
      </c>
      <c r="BQ118" s="23">
        <f>EXP(-LN(2)/25)*BQ117+(1-EXP(-LN(2)/25))/(LN(2)/25)*Calculateur!BL118*Calculateur!BN118*VLOOKUP('Données projet'!$B$11,Paramètres!$A$1:$I$89,3,0)*0.475*44/12</f>
        <v>0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60.680569379514132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2.8421709430404007E-14</v>
      </c>
      <c r="BZ118" s="14">
        <f>BY118*VLOOKUP('Données projet'!$B$12,Paramètres!$A$1:$I$89,3,0)*VLOOKUP('Données projet'!$B$12,Paramètres!$A$1:$I$89,5,0)</f>
        <v>2.2168933355715127E-14</v>
      </c>
      <c r="CA118" s="14">
        <f t="shared" si="93"/>
        <v>3.9687356123668477E-13</v>
      </c>
      <c r="CB118" s="22">
        <f t="shared" si="64"/>
        <v>7.2983234474842979E-13</v>
      </c>
      <c r="CC118" s="62">
        <f t="shared" si="65"/>
        <v>293.33333333333405</v>
      </c>
      <c r="CD118" s="62">
        <f ca="1">AVERAGE(OFFSET($CC$3,0,0,'Données projet'!$E$12+1,1))-AVERAGE(OFFSET($H$3,0,0,'Données projet'!$E$12+1,1))</f>
        <v>197.51529454208725</v>
      </c>
      <c r="CE118" s="62">
        <f t="shared" si="94"/>
        <v>196.65362486387215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32.145470043218495</v>
      </c>
      <c r="CL118" s="23">
        <f>EXP(-LN(2)/25)*CL117+(1-EXP(-LN(2)/25))/(LN(2)/25)*Calculateur!CG118*Calculateur!CI118*VLOOKUP('Données projet'!$B$12,Paramètres!$A$1:$I$89,3,0)*0.475*44/12</f>
        <v>0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32.145470043218495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-5.6843418860808015E-14</v>
      </c>
      <c r="CU118" s="18">
        <f>CT118*VLOOKUP('Données projet'!$B$13,Paramètres!$A$1:$I$89,3,0)*VLOOKUP('Données projet'!$B$13,Paramètres!$A$1:$I$89,5,0)</f>
        <v>-3.1036506698001178E-14</v>
      </c>
      <c r="CV118" s="14" t="e">
        <f t="shared" si="95"/>
        <v>#NUM!</v>
      </c>
      <c r="CW118" s="22" t="e">
        <f t="shared" si="67"/>
        <v>#NUM!</v>
      </c>
      <c r="CX118" s="62" t="e">
        <f t="shared" si="68"/>
        <v>#NUM!</v>
      </c>
      <c r="CY118" s="62">
        <f ca="1">AVERAGE(OFFSET($CX$3,0,0,'Données projet'!$E$13+1,1))-AVERAGE(OFFSET($H$3,0,0,'Données projet'!$E$13+1,1))</f>
        <v>303.14853302260451</v>
      </c>
      <c r="CZ118" s="62">
        <f t="shared" si="96"/>
        <v>298.74602928001929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94.586259968780681</v>
      </c>
      <c r="DG118" s="23">
        <f>EXP(-LN(2)/25)*DG117+(1-EXP(-LN(2)/25))/(LN(2)/25)*Calculateur!DB118*Calculateur!DD118*VLOOKUP('Données projet'!$B$13,Paramètres!$A$1:$I$89,3,0)*0.475*44/12</f>
        <v>14.961692074824668</v>
      </c>
      <c r="DH118" s="23">
        <f>EXP(-LN(2)/2)*DH117+(1-EXP(-LN(2)/2))/(LN(2)/2)*DB118*DE118*VLOOKUP('Données projet'!$B$13,Paramètres!$A$1:$I$89,3,0)*0.475*44/12</f>
        <v>1.2398332519756577E-4</v>
      </c>
      <c r="DI118" s="24">
        <f t="shared" si="69"/>
        <v>109.54807602693054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70">
        <f t="shared" si="56"/>
        <v>256.66666666666669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6.7941666666666691</v>
      </c>
      <c r="N119" s="14">
        <f>IF('Données projet'!$A$36&gt;35,N118+M119-V118,IF(A119&lt;'Données projet'!$A$36,$K$205^A119,IF(A119='Données projet'!$A$36,'Données projet'!$B$36,N118+M119-V118)))</f>
        <v>292.8925000000001</v>
      </c>
      <c r="O119" s="14">
        <f>N119*VLOOKUP('Données projet'!$B$9,Paramètres!$A$1:$I$89,3,0)*VLOOKUP('Données projet'!$B$9,Paramètres!$A$1:$I$89,5,0)</f>
        <v>265.00913400000007</v>
      </c>
      <c r="P119" s="14">
        <f t="shared" si="87"/>
        <v>63.788934162259032</v>
      </c>
      <c r="Q119" s="22">
        <f t="shared" si="107"/>
        <v>572.65663538260117</v>
      </c>
      <c r="R119" s="62">
        <f t="shared" si="55"/>
        <v>865.98996871593454</v>
      </c>
      <c r="S119" s="62">
        <f ca="1">AVERAGE(OFFSET($R$3,0,0,'Données projet'!$E$9+1,1))-AVERAGE(OFFSET($H$3,0,0,'Données projet'!$E$9+1,1))</f>
        <v>441.6145113257511</v>
      </c>
      <c r="T119" s="62">
        <f t="shared" si="88"/>
        <v>295.8399381972477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33.144048257364233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33.144048257364233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-4.5474735088646412E-13</v>
      </c>
      <c r="AJ119" s="14">
        <f>AI119*VLOOKUP('Données projet'!$B$10,Paramètres!$A$1:$I$89,3,0)*VLOOKUP('Données projet'!$B$10,Paramètres!$A$1:$I$89,5,0)</f>
        <v>-3.9017322706058626E-13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623.31285537237943</v>
      </c>
      <c r="AO119" s="62">
        <f t="shared" si="90"/>
        <v>462.33909258902241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204.94016255277825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204.94016255277825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-1.7053025658242404E-13</v>
      </c>
      <c r="BE119" s="14">
        <f>BD119*VLOOKUP('Données projet'!$B$11,Paramètres!$A$1:$I$89,3,0)*VLOOKUP('Données projet'!$B$11,Paramètres!$A$1:$I$89,5,0)</f>
        <v>-1.3567387213697657E-13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299.10536994156814</v>
      </c>
      <c r="BJ119" s="62">
        <f t="shared" si="92"/>
        <v>292.57799203101769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59.490660425474601</v>
      </c>
      <c r="BQ119" s="23">
        <f>EXP(-LN(2)/25)*BQ118+(1-EXP(-LN(2)/25))/(LN(2)/25)*Calculateur!BL119*Calculateur!BN119*VLOOKUP('Données projet'!$B$11,Paramètres!$A$1:$I$89,3,0)*0.475*44/12</f>
        <v>0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59.490660425474601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2.8421709430404007E-14</v>
      </c>
      <c r="BZ119" s="14">
        <f>BY119*VLOOKUP('Données projet'!$B$12,Paramètres!$A$1:$I$89,3,0)*VLOOKUP('Données projet'!$B$12,Paramètres!$A$1:$I$89,5,0)</f>
        <v>2.2168933355715127E-14</v>
      </c>
      <c r="CA119" s="14">
        <f t="shared" si="93"/>
        <v>3.9687356123668477E-13</v>
      </c>
      <c r="CB119" s="22">
        <f t="shared" si="64"/>
        <v>7.2983234474842979E-13</v>
      </c>
      <c r="CC119" s="62">
        <f t="shared" si="65"/>
        <v>293.33333333333405</v>
      </c>
      <c r="CD119" s="62">
        <f ca="1">AVERAGE(OFFSET($CC$3,0,0,'Données projet'!$E$12+1,1))-AVERAGE(OFFSET($H$3,0,0,'Données projet'!$E$12+1,1))</f>
        <v>197.51529454208725</v>
      </c>
      <c r="CE119" s="62">
        <f t="shared" si="94"/>
        <v>196.65362486387215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31.515116982471696</v>
      </c>
      <c r="CL119" s="23">
        <f>EXP(-LN(2)/25)*CL118+(1-EXP(-LN(2)/25))/(LN(2)/25)*Calculateur!CG119*Calculateur!CI119*VLOOKUP('Données projet'!$B$12,Paramètres!$A$1:$I$89,3,0)*0.475*44/12</f>
        <v>0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31.515116982471696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-5.6843418860808015E-14</v>
      </c>
      <c r="CU119" s="18">
        <f>CT119*VLOOKUP('Données projet'!$B$13,Paramètres!$A$1:$I$89,3,0)*VLOOKUP('Données projet'!$B$13,Paramètres!$A$1:$I$89,5,0)</f>
        <v>-3.1036506698001178E-14</v>
      </c>
      <c r="CV119" s="14" t="e">
        <f t="shared" si="95"/>
        <v>#NUM!</v>
      </c>
      <c r="CW119" s="22" t="e">
        <f t="shared" si="67"/>
        <v>#NUM!</v>
      </c>
      <c r="CX119" s="62" t="e">
        <f t="shared" si="68"/>
        <v>#NUM!</v>
      </c>
      <c r="CY119" s="62">
        <f ca="1">AVERAGE(OFFSET($CX$3,0,0,'Données projet'!$E$13+1,1))-AVERAGE(OFFSET($H$3,0,0,'Données projet'!$E$13+1,1))</f>
        <v>303.14853302260451</v>
      </c>
      <c r="CZ119" s="62">
        <f t="shared" si="96"/>
        <v>298.74602928001929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92.731481102714866</v>
      </c>
      <c r="DG119" s="23">
        <f>EXP(-LN(2)/25)*DG118+(1-EXP(-LN(2)/25))/(LN(2)/25)*Calculateur!DB119*Calculateur!DD119*VLOOKUP('Données projet'!$B$13,Paramètres!$A$1:$I$89,3,0)*0.475*44/12</f>
        <v>14.552563818237397</v>
      </c>
      <c r="DH119" s="23">
        <f>EXP(-LN(2)/2)*DH118+(1-EXP(-LN(2)/2))/(LN(2)/2)*DB119*DE119*VLOOKUP('Données projet'!$B$13,Paramètres!$A$1:$I$89,3,0)*0.475*44/12</f>
        <v>8.7669450001255704E-5</v>
      </c>
      <c r="DI119" s="24">
        <f t="shared" si="69"/>
        <v>107.28413259040227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70">
        <f t="shared" si="56"/>
        <v>256.66666666666669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6.7941666666666691</v>
      </c>
      <c r="N120" s="14">
        <f>IF('Données projet'!$A$36&gt;35,N119+M120-V119,IF(A120&lt;'Données projet'!$A$36,$K$205^A120,IF(A120='Données projet'!$A$36,'Données projet'!$B$36,N119+M120-V119)))</f>
        <v>299.68666666666678</v>
      </c>
      <c r="O120" s="14">
        <f>N120*VLOOKUP('Données projet'!$B$9,Paramètres!$A$1:$I$89,3,0)*VLOOKUP('Données projet'!$B$9,Paramètres!$A$1:$I$89,5,0)</f>
        <v>271.15649600000006</v>
      </c>
      <c r="P120" s="14">
        <f t="shared" si="87"/>
        <v>65.094645839407946</v>
      </c>
      <c r="Q120" s="22">
        <f t="shared" si="107"/>
        <v>585.63740537030219</v>
      </c>
      <c r="R120" s="62">
        <f t="shared" si="55"/>
        <v>878.97073870363556</v>
      </c>
      <c r="S120" s="62">
        <f ca="1">AVERAGE(OFFSET($R$3,0,0,'Données projet'!$E$9+1,1))-AVERAGE(OFFSET($H$3,0,0,'Données projet'!$E$9+1,1))</f>
        <v>441.6145113257511</v>
      </c>
      <c r="T120" s="62">
        <f t="shared" si="88"/>
        <v>295.8399381972477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32.494113686910609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32.494113686910609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-4.5474735088646412E-13</v>
      </c>
      <c r="AJ120" s="14">
        <f>AI120*VLOOKUP('Données projet'!$B$10,Paramètres!$A$1:$I$89,3,0)*VLOOKUP('Données projet'!$B$10,Paramètres!$A$1:$I$89,5,0)</f>
        <v>-3.9017322706058626E-13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623.31285537237943</v>
      </c>
      <c r="AO120" s="62">
        <f t="shared" si="90"/>
        <v>462.33909258902241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200.92141096627458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200.92141096627458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-1.7053025658242404E-13</v>
      </c>
      <c r="BE120" s="14">
        <f>BD120*VLOOKUP('Données projet'!$B$11,Paramètres!$A$1:$I$89,3,0)*VLOOKUP('Données projet'!$B$11,Paramètres!$A$1:$I$89,5,0)</f>
        <v>-1.3567387213697657E-13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299.10536994156814</v>
      </c>
      <c r="BJ120" s="62">
        <f t="shared" si="92"/>
        <v>292.57799203101769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58.324084860250984</v>
      </c>
      <c r="BQ120" s="23">
        <f>EXP(-LN(2)/25)*BQ119+(1-EXP(-LN(2)/25))/(LN(2)/25)*Calculateur!BL120*Calculateur!BN120*VLOOKUP('Données projet'!$B$11,Paramètres!$A$1:$I$89,3,0)*0.475*44/12</f>
        <v>0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58.324084860250984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2.8421709430404007E-14</v>
      </c>
      <c r="BZ120" s="14">
        <f>BY120*VLOOKUP('Données projet'!$B$12,Paramètres!$A$1:$I$89,3,0)*VLOOKUP('Données projet'!$B$12,Paramètres!$A$1:$I$89,5,0)</f>
        <v>2.2168933355715127E-14</v>
      </c>
      <c r="CA120" s="14">
        <f t="shared" si="93"/>
        <v>3.9687356123668477E-13</v>
      </c>
      <c r="CB120" s="22">
        <f t="shared" si="64"/>
        <v>7.2983234474842979E-13</v>
      </c>
      <c r="CC120" s="62">
        <f t="shared" si="65"/>
        <v>293.33333333333405</v>
      </c>
      <c r="CD120" s="62">
        <f ca="1">AVERAGE(OFFSET($CC$3,0,0,'Données projet'!$E$12+1,1))-AVERAGE(OFFSET($H$3,0,0,'Données projet'!$E$12+1,1))</f>
        <v>197.51529454208725</v>
      </c>
      <c r="CE120" s="62">
        <f t="shared" si="94"/>
        <v>196.65362486387215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30.897124760768737</v>
      </c>
      <c r="CL120" s="23">
        <f>EXP(-LN(2)/25)*CL119+(1-EXP(-LN(2)/25))/(LN(2)/25)*Calculateur!CG120*Calculateur!CI120*VLOOKUP('Données projet'!$B$12,Paramètres!$A$1:$I$89,3,0)*0.475*44/12</f>
        <v>0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30.897124760768737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-5.6843418860808015E-14</v>
      </c>
      <c r="CU120" s="18">
        <f>CT120*VLOOKUP('Données projet'!$B$13,Paramètres!$A$1:$I$89,3,0)*VLOOKUP('Données projet'!$B$13,Paramètres!$A$1:$I$89,5,0)</f>
        <v>-3.1036506698001178E-14</v>
      </c>
      <c r="CV120" s="14" t="e">
        <f t="shared" si="95"/>
        <v>#NUM!</v>
      </c>
      <c r="CW120" s="22" t="e">
        <f t="shared" si="67"/>
        <v>#NUM!</v>
      </c>
      <c r="CX120" s="62" t="e">
        <f t="shared" si="68"/>
        <v>#NUM!</v>
      </c>
      <c r="CY120" s="62">
        <f ca="1">AVERAGE(OFFSET($CX$3,0,0,'Données projet'!$E$13+1,1))-AVERAGE(OFFSET($H$3,0,0,'Données projet'!$E$13+1,1))</f>
        <v>303.14853302260451</v>
      </c>
      <c r="CZ120" s="62">
        <f t="shared" si="96"/>
        <v>298.74602928001929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90.913073318909198</v>
      </c>
      <c r="DG120" s="23">
        <f>EXP(-LN(2)/25)*DG119+(1-EXP(-LN(2)/25))/(LN(2)/25)*Calculateur!DB120*Calculateur!DD120*VLOOKUP('Données projet'!$B$13,Paramètres!$A$1:$I$89,3,0)*0.475*44/12</f>
        <v>14.154623195341625</v>
      </c>
      <c r="DH120" s="23">
        <f>EXP(-LN(2)/2)*DH119+(1-EXP(-LN(2)/2))/(LN(2)/2)*DB120*DE120*VLOOKUP('Données projet'!$B$13,Paramètres!$A$1:$I$89,3,0)*0.475*44/12</f>
        <v>6.1991662598782885E-5</v>
      </c>
      <c r="DI120" s="24">
        <f t="shared" si="69"/>
        <v>105.06775850591343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70">
        <f t="shared" si="56"/>
        <v>256.66666666666669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6.7941666666666691</v>
      </c>
      <c r="N121" s="14">
        <f>IF('Données projet'!$A$36&gt;35,N120+M121-V120,IF(A121&lt;'Données projet'!$A$36,$K$205^A121,IF(A121='Données projet'!$A$36,'Données projet'!$B$36,N120+M121-V120)))</f>
        <v>306.48083333333346</v>
      </c>
      <c r="O121" s="14">
        <f>N121*VLOOKUP('Données projet'!$B$9,Paramètres!$A$1:$I$89,3,0)*VLOOKUP('Données projet'!$B$9,Paramètres!$A$1:$I$89,5,0)</f>
        <v>277.3038580000001</v>
      </c>
      <c r="P121" s="14">
        <f t="shared" si="87"/>
        <v>66.396916114107512</v>
      </c>
      <c r="Q121" s="22">
        <f t="shared" si="107"/>
        <v>598.61218158207078</v>
      </c>
      <c r="R121" s="62">
        <f t="shared" si="55"/>
        <v>891.94551491540415</v>
      </c>
      <c r="S121" s="62">
        <f ca="1">AVERAGE(OFFSET($R$3,0,0,'Données projet'!$E$9+1,1))-AVERAGE(OFFSET($H$3,0,0,'Données projet'!$E$9+1,1))</f>
        <v>441.6145113257511</v>
      </c>
      <c r="T121" s="62">
        <f t="shared" si="88"/>
        <v>295.8399381972477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31.856923936962634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31.856923936962634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-4.5474735088646412E-13</v>
      </c>
      <c r="AJ121" s="14">
        <f>AI121*VLOOKUP('Données projet'!$B$10,Paramètres!$A$1:$I$89,3,0)*VLOOKUP('Données projet'!$B$10,Paramètres!$A$1:$I$89,5,0)</f>
        <v>-3.9017322706058626E-13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623.31285537237943</v>
      </c>
      <c r="AO121" s="62">
        <f t="shared" si="90"/>
        <v>462.33909258902241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196.98146464718582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196.98146464718582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-1.7053025658242404E-13</v>
      </c>
      <c r="BE121" s="14">
        <f>BD121*VLOOKUP('Données projet'!$B$11,Paramètres!$A$1:$I$89,3,0)*VLOOKUP('Données projet'!$B$11,Paramètres!$A$1:$I$89,5,0)</f>
        <v>-1.3567387213697657E-13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299.10536994156814</v>
      </c>
      <c r="BJ121" s="62">
        <f t="shared" si="92"/>
        <v>292.57799203101769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57.180385130320566</v>
      </c>
      <c r="BQ121" s="23">
        <f>EXP(-LN(2)/25)*BQ120+(1-EXP(-LN(2)/25))/(LN(2)/25)*Calculateur!BL121*Calculateur!BN121*VLOOKUP('Données projet'!$B$11,Paramètres!$A$1:$I$89,3,0)*0.475*44/12</f>
        <v>0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57.180385130320566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2.8421709430404007E-14</v>
      </c>
      <c r="BZ121" s="14">
        <f>BY121*VLOOKUP('Données projet'!$B$12,Paramètres!$A$1:$I$89,3,0)*VLOOKUP('Données projet'!$B$12,Paramètres!$A$1:$I$89,5,0)</f>
        <v>2.2168933355715127E-14</v>
      </c>
      <c r="CA121" s="14">
        <f t="shared" si="93"/>
        <v>3.9687356123668477E-13</v>
      </c>
      <c r="CB121" s="22">
        <f t="shared" si="64"/>
        <v>7.2983234474842979E-13</v>
      </c>
      <c r="CC121" s="62">
        <f t="shared" si="65"/>
        <v>293.33333333333405</v>
      </c>
      <c r="CD121" s="62">
        <f ca="1">AVERAGE(OFFSET($CC$3,0,0,'Données projet'!$E$12+1,1))-AVERAGE(OFFSET($H$3,0,0,'Données projet'!$E$12+1,1))</f>
        <v>197.51529454208725</v>
      </c>
      <c r="CE121" s="62">
        <f t="shared" si="94"/>
        <v>196.65362486387215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30.291250989595337</v>
      </c>
      <c r="CL121" s="23">
        <f>EXP(-LN(2)/25)*CL120+(1-EXP(-LN(2)/25))/(LN(2)/25)*Calculateur!CG121*Calculateur!CI121*VLOOKUP('Données projet'!$B$12,Paramètres!$A$1:$I$89,3,0)*0.475*44/12</f>
        <v>0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30.291250989595337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-5.6843418860808015E-14</v>
      </c>
      <c r="CU121" s="18">
        <f>CT121*VLOOKUP('Données projet'!$B$13,Paramètres!$A$1:$I$89,3,0)*VLOOKUP('Données projet'!$B$13,Paramètres!$A$1:$I$89,5,0)</f>
        <v>-3.1036506698001178E-14</v>
      </c>
      <c r="CV121" s="14" t="e">
        <f t="shared" si="95"/>
        <v>#NUM!</v>
      </c>
      <c r="CW121" s="22" t="e">
        <f t="shared" si="67"/>
        <v>#NUM!</v>
      </c>
      <c r="CX121" s="62" t="e">
        <f t="shared" si="68"/>
        <v>#NUM!</v>
      </c>
      <c r="CY121" s="62">
        <f ca="1">AVERAGE(OFFSET($CX$3,0,0,'Données projet'!$E$13+1,1))-AVERAGE(OFFSET($H$3,0,0,'Données projet'!$E$13+1,1))</f>
        <v>303.14853302260451</v>
      </c>
      <c r="CZ121" s="62">
        <f t="shared" si="96"/>
        <v>298.74602928001929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89.13032340262474</v>
      </c>
      <c r="DG121" s="23">
        <f>EXP(-LN(2)/25)*DG120+(1-EXP(-LN(2)/25))/(LN(2)/25)*Calculateur!DB121*Calculateur!DD121*VLOOKUP('Données projet'!$B$13,Paramètres!$A$1:$I$89,3,0)*0.475*44/12</f>
        <v>13.767564279705725</v>
      </c>
      <c r="DH121" s="23">
        <f>EXP(-LN(2)/2)*DH120+(1-EXP(-LN(2)/2))/(LN(2)/2)*DB121*DE121*VLOOKUP('Données projet'!$B$13,Paramètres!$A$1:$I$89,3,0)*0.475*44/12</f>
        <v>4.3834725000627852E-5</v>
      </c>
      <c r="DI121" s="24">
        <f t="shared" si="69"/>
        <v>102.89793151705547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70">
        <f t="shared" si="56"/>
        <v>256.66666666666669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6.7941666666666691</v>
      </c>
      <c r="N122" s="14">
        <f>IF('Données projet'!$A$36&gt;35,N121+M122-V121,IF(A122&lt;'Données projet'!$A$36,$K$205^A122,IF(A122='Données projet'!$A$36,'Données projet'!$B$36,N121+M122-V121)))</f>
        <v>313.27500000000015</v>
      </c>
      <c r="O122" s="14">
        <f>N122*VLOOKUP('Données projet'!$B$9,Paramètres!$A$1:$I$89,3,0)*VLOOKUP('Données projet'!$B$9,Paramètres!$A$1:$I$89,5,0)</f>
        <v>283.45122000000015</v>
      </c>
      <c r="P122" s="14">
        <f t="shared" si="87"/>
        <v>67.695830060941603</v>
      </c>
      <c r="Q122" s="22">
        <f t="shared" si="107"/>
        <v>611.58111218947352</v>
      </c>
      <c r="R122" s="62">
        <f t="shared" si="55"/>
        <v>904.91444552280677</v>
      </c>
      <c r="S122" s="62">
        <f ca="1">AVERAGE(OFFSET($R$3,0,0,'Données projet'!$E$9+1,1))-AVERAGE(OFFSET($H$3,0,0,'Données projet'!$E$9+1,1))</f>
        <v>441.6145113257511</v>
      </c>
      <c r="T122" s="62">
        <f t="shared" si="88"/>
        <v>295.8399381972477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31.232229089363766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31.232229089363766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-4.5474735088646412E-13</v>
      </c>
      <c r="AJ122" s="14">
        <f>AI122*VLOOKUP('Données projet'!$B$10,Paramètres!$A$1:$I$89,3,0)*VLOOKUP('Données projet'!$B$10,Paramètres!$A$1:$I$89,5,0)</f>
        <v>-3.9017322706058626E-13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623.31285537237943</v>
      </c>
      <c r="AO122" s="62">
        <f t="shared" si="90"/>
        <v>462.33909258902241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193.11877827228443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193.11877827228443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-1.7053025658242404E-13</v>
      </c>
      <c r="BE122" s="14">
        <f>BD122*VLOOKUP('Données projet'!$B$11,Paramètres!$A$1:$I$89,3,0)*VLOOKUP('Données projet'!$B$11,Paramètres!$A$1:$I$89,5,0)</f>
        <v>-1.3567387213697657E-13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299.10536994156814</v>
      </c>
      <c r="BJ122" s="62">
        <f t="shared" si="92"/>
        <v>292.57799203101769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56.05911265450613</v>
      </c>
      <c r="BQ122" s="23">
        <f>EXP(-LN(2)/25)*BQ121+(1-EXP(-LN(2)/25))/(LN(2)/25)*Calculateur!BL122*Calculateur!BN122*VLOOKUP('Données projet'!$B$11,Paramètres!$A$1:$I$89,3,0)*0.475*44/12</f>
        <v>0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56.05911265450613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2.8421709430404007E-14</v>
      </c>
      <c r="BZ122" s="14">
        <f>BY122*VLOOKUP('Données projet'!$B$12,Paramètres!$A$1:$I$89,3,0)*VLOOKUP('Données projet'!$B$12,Paramètres!$A$1:$I$89,5,0)</f>
        <v>2.2168933355715127E-14</v>
      </c>
      <c r="CA122" s="14">
        <f t="shared" si="93"/>
        <v>3.9687356123668477E-13</v>
      </c>
      <c r="CB122" s="22">
        <f t="shared" si="64"/>
        <v>7.2983234474842979E-13</v>
      </c>
      <c r="CC122" s="62">
        <f t="shared" si="65"/>
        <v>293.33333333333405</v>
      </c>
      <c r="CD122" s="62">
        <f ca="1">AVERAGE(OFFSET($CC$3,0,0,'Données projet'!$E$12+1,1))-AVERAGE(OFFSET($H$3,0,0,'Données projet'!$E$12+1,1))</f>
        <v>197.51529454208725</v>
      </c>
      <c r="CE122" s="62">
        <f t="shared" si="94"/>
        <v>196.65362486387215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29.69725803352814</v>
      </c>
      <c r="CL122" s="23">
        <f>EXP(-LN(2)/25)*CL121+(1-EXP(-LN(2)/25))/(LN(2)/25)*Calculateur!CG122*Calculateur!CI122*VLOOKUP('Données projet'!$B$12,Paramètres!$A$1:$I$89,3,0)*0.475*44/12</f>
        <v>0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29.69725803352814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-5.6843418860808015E-14</v>
      </c>
      <c r="CU122" s="18">
        <f>CT122*VLOOKUP('Données projet'!$B$13,Paramètres!$A$1:$I$89,3,0)*VLOOKUP('Données projet'!$B$13,Paramètres!$A$1:$I$89,5,0)</f>
        <v>-3.1036506698001178E-14</v>
      </c>
      <c r="CV122" s="14" t="e">
        <f t="shared" si="95"/>
        <v>#NUM!</v>
      </c>
      <c r="CW122" s="22" t="e">
        <f t="shared" si="67"/>
        <v>#NUM!</v>
      </c>
      <c r="CX122" s="62" t="e">
        <f t="shared" si="68"/>
        <v>#NUM!</v>
      </c>
      <c r="CY122" s="62">
        <f ca="1">AVERAGE(OFFSET($CX$3,0,0,'Données projet'!$E$13+1,1))-AVERAGE(OFFSET($H$3,0,0,'Données projet'!$E$13+1,1))</f>
        <v>303.14853302260451</v>
      </c>
      <c r="CZ122" s="62">
        <f t="shared" si="96"/>
        <v>298.74602928001929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87.382532124828529</v>
      </c>
      <c r="DG122" s="23">
        <f>EXP(-LN(2)/25)*DG121+(1-EXP(-LN(2)/25))/(LN(2)/25)*Calculateur!DB122*Calculateur!DD122*VLOOKUP('Données projet'!$B$13,Paramètres!$A$1:$I$89,3,0)*0.475*44/12</f>
        <v>13.391089510472433</v>
      </c>
      <c r="DH122" s="23">
        <f>EXP(-LN(2)/2)*DH121+(1-EXP(-LN(2)/2))/(LN(2)/2)*DB122*DE122*VLOOKUP('Données projet'!$B$13,Paramètres!$A$1:$I$89,3,0)*0.475*44/12</f>
        <v>3.0995831299391443E-5</v>
      </c>
      <c r="DI122" s="24">
        <f t="shared" si="69"/>
        <v>100.77365263113226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70">
        <f t="shared" si="56"/>
        <v>256.66666666666669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6.7941666666666691</v>
      </c>
      <c r="N123" s="14">
        <f>IF('Données projet'!$A$36&gt;35,N122+M123-V122,IF(A123&lt;'Données projet'!$A$36,$K$205^A123,IF(A123='Données projet'!$A$36,'Données projet'!$B$36,N122+M123-V122)))</f>
        <v>320.06916666666683</v>
      </c>
      <c r="O123" s="14">
        <f>N123*VLOOKUP('Données projet'!$B$9,Paramètres!$A$1:$I$89,3,0)*VLOOKUP('Données projet'!$B$9,Paramètres!$A$1:$I$89,5,0)</f>
        <v>289.59858200000014</v>
      </c>
      <c r="P123" s="14">
        <f t="shared" si="87"/>
        <v>68.991468853616794</v>
      </c>
      <c r="Q123" s="22">
        <f t="shared" si="107"/>
        <v>624.54433857004949</v>
      </c>
      <c r="R123" s="62">
        <f t="shared" si="55"/>
        <v>917.87767190338286</v>
      </c>
      <c r="S123" s="62">
        <f ca="1">AVERAGE(OFFSET($R$3,0,0,'Données projet'!$E$9+1,1))-AVERAGE(OFFSET($H$3,0,0,'Données projet'!$E$9+1,1))</f>
        <v>441.6145113257511</v>
      </c>
      <c r="T123" s="62">
        <f t="shared" si="88"/>
        <v>295.8399381972477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30.619784126700079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30.619784126700079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-4.5474735088646412E-13</v>
      </c>
      <c r="AJ123" s="14">
        <f>AI123*VLOOKUP('Données projet'!$B$10,Paramètres!$A$1:$I$89,3,0)*VLOOKUP('Données projet'!$B$10,Paramètres!$A$1:$I$89,5,0)</f>
        <v>-3.9017322706058626E-13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623.31285537237943</v>
      </c>
      <c r="AO123" s="62">
        <f t="shared" si="90"/>
        <v>462.33909258902241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189.3318368211888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189.3318368211888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-1.7053025658242404E-13</v>
      </c>
      <c r="BE123" s="14">
        <f>BD123*VLOOKUP('Données projet'!$B$11,Paramètres!$A$1:$I$89,3,0)*VLOOKUP('Données projet'!$B$11,Paramètres!$A$1:$I$89,5,0)</f>
        <v>-1.3567387213697657E-13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299.10536994156814</v>
      </c>
      <c r="BJ123" s="62">
        <f t="shared" si="92"/>
        <v>292.57799203101769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54.959827648033738</v>
      </c>
      <c r="BQ123" s="23">
        <f>EXP(-LN(2)/25)*BQ122+(1-EXP(-LN(2)/25))/(LN(2)/25)*Calculateur!BL123*Calculateur!BN123*VLOOKUP('Données projet'!$B$11,Paramètres!$A$1:$I$89,3,0)*0.475*44/12</f>
        <v>0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54.959827648033738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2.8421709430404007E-14</v>
      </c>
      <c r="BZ123" s="14">
        <f>BY123*VLOOKUP('Données projet'!$B$12,Paramètres!$A$1:$I$89,3,0)*VLOOKUP('Données projet'!$B$12,Paramètres!$A$1:$I$89,5,0)</f>
        <v>2.2168933355715127E-14</v>
      </c>
      <c r="CA123" s="14">
        <f t="shared" si="93"/>
        <v>3.9687356123668477E-13</v>
      </c>
      <c r="CB123" s="22">
        <f t="shared" si="64"/>
        <v>7.2983234474842979E-13</v>
      </c>
      <c r="CC123" s="62">
        <f t="shared" si="65"/>
        <v>293.33333333333405</v>
      </c>
      <c r="CD123" s="62">
        <f ca="1">AVERAGE(OFFSET($CC$3,0,0,'Données projet'!$E$12+1,1))-AVERAGE(OFFSET($H$3,0,0,'Données projet'!$E$12+1,1))</f>
        <v>197.51529454208725</v>
      </c>
      <c r="CE123" s="62">
        <f t="shared" si="94"/>
        <v>196.65362486387215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29.114912917029489</v>
      </c>
      <c r="CL123" s="23">
        <f>EXP(-LN(2)/25)*CL122+(1-EXP(-LN(2)/25))/(LN(2)/25)*Calculateur!CG123*Calculateur!CI123*VLOOKUP('Données projet'!$B$12,Paramètres!$A$1:$I$89,3,0)*0.475*44/12</f>
        <v>0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29.114912917029489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-5.6843418860808015E-14</v>
      </c>
      <c r="CU123" s="18">
        <f>CT123*VLOOKUP('Données projet'!$B$13,Paramètres!$A$1:$I$89,3,0)*VLOOKUP('Données projet'!$B$13,Paramètres!$A$1:$I$89,5,0)</f>
        <v>-3.1036506698001178E-14</v>
      </c>
      <c r="CV123" s="14" t="e">
        <f t="shared" si="95"/>
        <v>#NUM!</v>
      </c>
      <c r="CW123" s="22" t="e">
        <f t="shared" si="67"/>
        <v>#NUM!</v>
      </c>
      <c r="CX123" s="62" t="e">
        <f t="shared" si="68"/>
        <v>#NUM!</v>
      </c>
      <c r="CY123" s="62">
        <f ca="1">AVERAGE(OFFSET($CX$3,0,0,'Données projet'!$E$13+1,1))-AVERAGE(OFFSET($H$3,0,0,'Données projet'!$E$13+1,1))</f>
        <v>303.14853302260451</v>
      </c>
      <c r="CZ123" s="62">
        <f t="shared" si="96"/>
        <v>298.74602928001929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85.66901396794249</v>
      </c>
      <c r="DG123" s="23">
        <f>EXP(-LN(2)/25)*DG122+(1-EXP(-LN(2)/25))/(LN(2)/25)*Calculateur!DB123*Calculateur!DD123*VLOOKUP('Données projet'!$B$13,Paramètres!$A$1:$I$89,3,0)*0.475*44/12</f>
        <v>13.024909463601773</v>
      </c>
      <c r="DH123" s="23">
        <f>EXP(-LN(2)/2)*DH122+(1-EXP(-LN(2)/2))/(LN(2)/2)*DB123*DE123*VLOOKUP('Données projet'!$B$13,Paramètres!$A$1:$I$89,3,0)*0.475*44/12</f>
        <v>2.1917362500313926E-5</v>
      </c>
      <c r="DI123" s="24">
        <f t="shared" si="69"/>
        <v>98.693945348906766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70">
        <f t="shared" si="56"/>
        <v>256.66666666666669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6.7941666666666691</v>
      </c>
      <c r="N124" s="14">
        <f>IF('Données projet'!$A$36&gt;35,N123+M124-V123,IF(A124&lt;'Données projet'!$A$36,$K$205^A124,IF(A124='Données projet'!$A$36,'Données projet'!$B$36,N123+M124-V123)))</f>
        <v>326.86333333333351</v>
      </c>
      <c r="O124" s="14">
        <f>N124*VLOOKUP('Données projet'!$B$9,Paramètres!$A$1:$I$89,3,0)*VLOOKUP('Données projet'!$B$9,Paramètres!$A$1:$I$89,5,0)</f>
        <v>295.74594400000018</v>
      </c>
      <c r="P124" s="14">
        <f t="shared" si="87"/>
        <v>70.283910022773895</v>
      </c>
      <c r="Q124" s="22">
        <f t="shared" si="107"/>
        <v>637.50199575633144</v>
      </c>
      <c r="R124" s="62">
        <f t="shared" si="55"/>
        <v>930.83532908966481</v>
      </c>
      <c r="S124" s="62">
        <f ca="1">AVERAGE(OFFSET($R$3,0,0,'Données projet'!$E$9+1,1))-AVERAGE(OFFSET($H$3,0,0,'Données projet'!$E$9+1,1))</f>
        <v>441.6145113257511</v>
      </c>
      <c r="T124" s="62">
        <f t="shared" si="88"/>
        <v>295.8399381972477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30.019348836199683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30.019348836199683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-4.5474735088646412E-13</v>
      </c>
      <c r="AJ124" s="14">
        <f>AI124*VLOOKUP('Données projet'!$B$10,Paramètres!$A$1:$I$89,3,0)*VLOOKUP('Données projet'!$B$10,Paramètres!$A$1:$I$89,5,0)</f>
        <v>-3.9017322706058626E-13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623.31285537237943</v>
      </c>
      <c r="AO124" s="62">
        <f t="shared" si="90"/>
        <v>462.33909258902241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185.61915498214296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185.61915498214296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-1.7053025658242404E-13</v>
      </c>
      <c r="BE124" s="14">
        <f>BD124*VLOOKUP('Données projet'!$B$11,Paramètres!$A$1:$I$89,3,0)*VLOOKUP('Données projet'!$B$11,Paramètres!$A$1:$I$89,5,0)</f>
        <v>-1.3567387213697657E-13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299.10536994156814</v>
      </c>
      <c r="BJ124" s="62">
        <f t="shared" si="92"/>
        <v>292.57799203101769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53.882098950040621</v>
      </c>
      <c r="BQ124" s="23">
        <f>EXP(-LN(2)/25)*BQ123+(1-EXP(-LN(2)/25))/(LN(2)/25)*Calculateur!BL124*Calculateur!BN124*VLOOKUP('Données projet'!$B$11,Paramètres!$A$1:$I$89,3,0)*0.475*44/12</f>
        <v>0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53.882098950040621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2.8421709430404007E-14</v>
      </c>
      <c r="BZ124" s="14">
        <f>BY124*VLOOKUP('Données projet'!$B$12,Paramètres!$A$1:$I$89,3,0)*VLOOKUP('Données projet'!$B$12,Paramètres!$A$1:$I$89,5,0)</f>
        <v>2.2168933355715127E-14</v>
      </c>
      <c r="CA124" s="14">
        <f t="shared" si="93"/>
        <v>3.9687356123668477E-13</v>
      </c>
      <c r="CB124" s="22">
        <f t="shared" si="64"/>
        <v>7.2983234474842979E-13</v>
      </c>
      <c r="CC124" s="62">
        <f t="shared" si="65"/>
        <v>293.33333333333405</v>
      </c>
      <c r="CD124" s="62">
        <f ca="1">AVERAGE(OFFSET($CC$3,0,0,'Données projet'!$E$12+1,1))-AVERAGE(OFFSET($H$3,0,0,'Données projet'!$E$12+1,1))</f>
        <v>197.51529454208725</v>
      </c>
      <c r="CE124" s="62">
        <f t="shared" si="94"/>
        <v>196.65362486387215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28.543987233069931</v>
      </c>
      <c r="CL124" s="23">
        <f>EXP(-LN(2)/25)*CL123+(1-EXP(-LN(2)/25))/(LN(2)/25)*Calculateur!CG124*Calculateur!CI124*VLOOKUP('Données projet'!$B$12,Paramètres!$A$1:$I$89,3,0)*0.475*44/12</f>
        <v>0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28.543987233069931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-5.6843418860808015E-14</v>
      </c>
      <c r="CU124" s="18">
        <f>CT124*VLOOKUP('Données projet'!$B$13,Paramètres!$A$1:$I$89,3,0)*VLOOKUP('Données projet'!$B$13,Paramètres!$A$1:$I$89,5,0)</f>
        <v>-3.1036506698001178E-14</v>
      </c>
      <c r="CV124" s="14" t="e">
        <f t="shared" si="95"/>
        <v>#NUM!</v>
      </c>
      <c r="CW124" s="22" t="e">
        <f t="shared" si="67"/>
        <v>#NUM!</v>
      </c>
      <c r="CX124" s="62" t="e">
        <f t="shared" si="68"/>
        <v>#NUM!</v>
      </c>
      <c r="CY124" s="62">
        <f ca="1">AVERAGE(OFFSET($CX$3,0,0,'Données projet'!$E$13+1,1))-AVERAGE(OFFSET($H$3,0,0,'Données projet'!$E$13+1,1))</f>
        <v>303.14853302260451</v>
      </c>
      <c r="CZ124" s="62">
        <f t="shared" si="96"/>
        <v>298.74602928001929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83.989096856970107</v>
      </c>
      <c r="DG124" s="23">
        <f>EXP(-LN(2)/25)*DG123+(1-EXP(-LN(2)/25))/(LN(2)/25)*Calculateur!DB124*Calculateur!DD124*VLOOKUP('Données projet'!$B$13,Paramètres!$A$1:$I$89,3,0)*0.475*44/12</f>
        <v>12.668742629369362</v>
      </c>
      <c r="DH124" s="23">
        <f>EXP(-LN(2)/2)*DH123+(1-EXP(-LN(2)/2))/(LN(2)/2)*DB124*DE124*VLOOKUP('Données projet'!$B$13,Paramètres!$A$1:$I$89,3,0)*0.475*44/12</f>
        <v>1.5497915649695721E-5</v>
      </c>
      <c r="DI124" s="24">
        <f t="shared" si="69"/>
        <v>96.657854984255124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70">
        <f t="shared" si="56"/>
        <v>256.66666666666669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6.7941666666666691</v>
      </c>
      <c r="N125" s="14">
        <f>IF('Données projet'!$A$36&gt;35,N124+M125-V124,IF(A125&lt;'Données projet'!$A$36,$K$205^A125,IF(A125='Données projet'!$A$36,'Données projet'!$B$36,N124+M125-V124)))</f>
        <v>333.6575000000002</v>
      </c>
      <c r="O125" s="14">
        <f>N125*VLOOKUP('Données projet'!$B$9,Paramètres!$A$1:$I$89,3,0)*VLOOKUP('Données projet'!$B$9,Paramètres!$A$1:$I$89,5,0)</f>
        <v>301.89330600000017</v>
      </c>
      <c r="P125" s="14">
        <f t="shared" si="87"/>
        <v>71.573227691758774</v>
      </c>
      <c r="Q125" s="22">
        <f t="shared" si="107"/>
        <v>650.45421284648023</v>
      </c>
      <c r="R125" s="62">
        <f t="shared" si="55"/>
        <v>943.78754617981349</v>
      </c>
      <c r="S125" s="62">
        <f ca="1">AVERAGE(OFFSET($R$3,0,0,'Données projet'!$E$9+1,1))-AVERAGE(OFFSET($H$3,0,0,'Données projet'!$E$9+1,1))</f>
        <v>441.6145113257511</v>
      </c>
      <c r="T125" s="62">
        <f t="shared" si="88"/>
        <v>295.8399381972477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29.430687715516637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29.430687715516637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-4.5474735088646412E-13</v>
      </c>
      <c r="AJ125" s="14">
        <f>AI125*VLOOKUP('Données projet'!$B$10,Paramètres!$A$1:$I$89,3,0)*VLOOKUP('Données projet'!$B$10,Paramètres!$A$1:$I$89,5,0)</f>
        <v>-3.9017322706058626E-13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623.31285537237943</v>
      </c>
      <c r="AO125" s="62">
        <f t="shared" si="90"/>
        <v>462.33909258902241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181.97927656944847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181.97927656944847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-1.7053025658242404E-13</v>
      </c>
      <c r="BE125" s="14">
        <f>BD125*VLOOKUP('Données projet'!$B$11,Paramètres!$A$1:$I$89,3,0)*VLOOKUP('Données projet'!$B$11,Paramètres!$A$1:$I$89,5,0)</f>
        <v>-1.3567387213697657E-13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299.10536994156814</v>
      </c>
      <c r="BJ125" s="62">
        <f t="shared" si="92"/>
        <v>292.57799203101769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52.825503854465552</v>
      </c>
      <c r="BQ125" s="23">
        <f>EXP(-LN(2)/25)*BQ124+(1-EXP(-LN(2)/25))/(LN(2)/25)*Calculateur!BL125*Calculateur!BN125*VLOOKUP('Données projet'!$B$11,Paramètres!$A$1:$I$89,3,0)*0.475*44/12</f>
        <v>0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52.825503854465552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2.8421709430404007E-14</v>
      </c>
      <c r="BZ125" s="14">
        <f>BY125*VLOOKUP('Données projet'!$B$12,Paramètres!$A$1:$I$89,3,0)*VLOOKUP('Données projet'!$B$12,Paramètres!$A$1:$I$89,5,0)</f>
        <v>2.2168933355715127E-14</v>
      </c>
      <c r="CA125" s="14">
        <f t="shared" si="93"/>
        <v>3.9687356123668477E-13</v>
      </c>
      <c r="CB125" s="22">
        <f t="shared" si="64"/>
        <v>7.2983234474842979E-13</v>
      </c>
      <c r="CC125" s="62">
        <f t="shared" si="65"/>
        <v>293.33333333333405</v>
      </c>
      <c r="CD125" s="62">
        <f ca="1">AVERAGE(OFFSET($CC$3,0,0,'Données projet'!$E$12+1,1))-AVERAGE(OFFSET($H$3,0,0,'Données projet'!$E$12+1,1))</f>
        <v>197.51529454208725</v>
      </c>
      <c r="CE125" s="62">
        <f t="shared" si="94"/>
        <v>196.65362486387215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27.984257053542535</v>
      </c>
      <c r="CL125" s="23">
        <f>EXP(-LN(2)/25)*CL124+(1-EXP(-LN(2)/25))/(LN(2)/25)*Calculateur!CG125*Calculateur!CI125*VLOOKUP('Données projet'!$B$12,Paramètres!$A$1:$I$89,3,0)*0.475*44/12</f>
        <v>0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27.984257053542535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-5.6843418860808015E-14</v>
      </c>
      <c r="CU125" s="18">
        <f>CT125*VLOOKUP('Données projet'!$B$13,Paramètres!$A$1:$I$89,3,0)*VLOOKUP('Données projet'!$B$13,Paramètres!$A$1:$I$89,5,0)</f>
        <v>-3.1036506698001178E-14</v>
      </c>
      <c r="CV125" s="14" t="e">
        <f t="shared" si="95"/>
        <v>#NUM!</v>
      </c>
      <c r="CW125" s="22" t="e">
        <f t="shared" si="67"/>
        <v>#NUM!</v>
      </c>
      <c r="CX125" s="62" t="e">
        <f t="shared" si="68"/>
        <v>#NUM!</v>
      </c>
      <c r="CY125" s="62">
        <f ca="1">AVERAGE(OFFSET($CX$3,0,0,'Données projet'!$E$13+1,1))-AVERAGE(OFFSET($H$3,0,0,'Données projet'!$E$13+1,1))</f>
        <v>303.14853302260451</v>
      </c>
      <c r="CZ125" s="62">
        <f t="shared" si="96"/>
        <v>298.74602928001929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82.34212189589563</v>
      </c>
      <c r="DG125" s="23">
        <f>EXP(-LN(2)/25)*DG124+(1-EXP(-LN(2)/25))/(LN(2)/25)*Calculateur!DB125*Calculateur!DD125*VLOOKUP('Données projet'!$B$13,Paramètres!$A$1:$I$89,3,0)*0.475*44/12</f>
        <v>12.322315195949036</v>
      </c>
      <c r="DH125" s="23">
        <f>EXP(-LN(2)/2)*DH124+(1-EXP(-LN(2)/2))/(LN(2)/2)*DB125*DE125*VLOOKUP('Données projet'!$B$13,Paramètres!$A$1:$I$89,3,0)*0.475*44/12</f>
        <v>1.0958681250156963E-5</v>
      </c>
      <c r="DI125" s="24">
        <f t="shared" si="69"/>
        <v>94.664448050525905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70">
        <f t="shared" si="56"/>
        <v>256.66666666666669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6.7941666666666691</v>
      </c>
      <c r="N126" s="14">
        <f>IF('Données projet'!$A$36&gt;35,N125+M126-V125,IF(A126&lt;'Données projet'!$A$36,$K$205^A126,IF(A126='Données projet'!$A$36,'Données projet'!$B$36,N125+M126-V125)))</f>
        <v>340.45166666666688</v>
      </c>
      <c r="O126" s="14">
        <f>N126*VLOOKUP('Données projet'!$B$9,Paramètres!$A$1:$I$89,3,0)*VLOOKUP('Données projet'!$B$9,Paramètres!$A$1:$I$89,5,0)</f>
        <v>308.04066800000015</v>
      </c>
      <c r="P126" s="14">
        <f t="shared" si="87"/>
        <v>72.859492792647174</v>
      </c>
      <c r="Q126" s="22">
        <f t="shared" si="107"/>
        <v>663.40111338052748</v>
      </c>
      <c r="R126" s="62">
        <f t="shared" si="55"/>
        <v>956.73444671386073</v>
      </c>
      <c r="S126" s="62">
        <f ca="1">AVERAGE(OFFSET($R$3,0,0,'Données projet'!$E$9+1,1))-AVERAGE(OFFSET($H$3,0,0,'Données projet'!$E$9+1,1))</f>
        <v>441.6145113257511</v>
      </c>
      <c r="T126" s="62">
        <f t="shared" si="88"/>
        <v>295.8399381972477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28.853569880362354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28.853569880362354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-4.5474735088646412E-13</v>
      </c>
      <c r="AJ126" s="14">
        <f>AI126*VLOOKUP('Données projet'!$B$10,Paramètres!$A$1:$I$89,3,0)*VLOOKUP('Données projet'!$B$10,Paramètres!$A$1:$I$89,5,0)</f>
        <v>-3.9017322706058626E-13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623.31285537237943</v>
      </c>
      <c r="AO126" s="62">
        <f t="shared" si="90"/>
        <v>462.33909258902241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178.41077395232031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178.41077395232031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-1.7053025658242404E-13</v>
      </c>
      <c r="BE126" s="14">
        <f>BD126*VLOOKUP('Données projet'!$B$11,Paramètres!$A$1:$I$89,3,0)*VLOOKUP('Données projet'!$B$11,Paramètres!$A$1:$I$89,5,0)</f>
        <v>-1.3567387213697657E-13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299.10536994156814</v>
      </c>
      <c r="BJ126" s="62">
        <f t="shared" si="92"/>
        <v>292.57799203101769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51.789627944255336</v>
      </c>
      <c r="BQ126" s="23">
        <f>EXP(-LN(2)/25)*BQ125+(1-EXP(-LN(2)/25))/(LN(2)/25)*Calculateur!BL126*Calculateur!BN126*VLOOKUP('Données projet'!$B$11,Paramètres!$A$1:$I$89,3,0)*0.475*44/12</f>
        <v>0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51.789627944255336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2.8421709430404007E-14</v>
      </c>
      <c r="BZ126" s="14">
        <f>BY126*VLOOKUP('Données projet'!$B$12,Paramètres!$A$1:$I$89,3,0)*VLOOKUP('Données projet'!$B$12,Paramètres!$A$1:$I$89,5,0)</f>
        <v>2.2168933355715127E-14</v>
      </c>
      <c r="CA126" s="14">
        <f t="shared" si="93"/>
        <v>3.9687356123668477E-13</v>
      </c>
      <c r="CB126" s="22">
        <f t="shared" si="64"/>
        <v>7.2983234474842979E-13</v>
      </c>
      <c r="CC126" s="62">
        <f t="shared" si="65"/>
        <v>293.33333333333405</v>
      </c>
      <c r="CD126" s="62">
        <f ca="1">AVERAGE(OFFSET($CC$3,0,0,'Données projet'!$E$12+1,1))-AVERAGE(OFFSET($H$3,0,0,'Données projet'!$E$12+1,1))</f>
        <v>197.51529454208725</v>
      </c>
      <c r="CE126" s="62">
        <f t="shared" si="94"/>
        <v>196.65362486387215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27.435502841433973</v>
      </c>
      <c r="CL126" s="23">
        <f>EXP(-LN(2)/25)*CL125+(1-EXP(-LN(2)/25))/(LN(2)/25)*Calculateur!CG126*Calculateur!CI126*VLOOKUP('Données projet'!$B$12,Paramètres!$A$1:$I$89,3,0)*0.475*44/12</f>
        <v>0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27.435502841433973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-5.6843418860808015E-14</v>
      </c>
      <c r="CU126" s="18">
        <f>CT126*VLOOKUP('Données projet'!$B$13,Paramètres!$A$1:$I$89,3,0)*VLOOKUP('Données projet'!$B$13,Paramètres!$A$1:$I$89,5,0)</f>
        <v>-3.1036506698001178E-14</v>
      </c>
      <c r="CV126" s="14" t="e">
        <f t="shared" si="95"/>
        <v>#NUM!</v>
      </c>
      <c r="CW126" s="22" t="e">
        <f t="shared" si="67"/>
        <v>#NUM!</v>
      </c>
      <c r="CX126" s="62" t="e">
        <f t="shared" si="68"/>
        <v>#NUM!</v>
      </c>
      <c r="CY126" s="62">
        <f ca="1">AVERAGE(OFFSET($CX$3,0,0,'Données projet'!$E$13+1,1))-AVERAGE(OFFSET($H$3,0,0,'Données projet'!$E$13+1,1))</f>
        <v>303.14853302260451</v>
      </c>
      <c r="CZ126" s="62">
        <f t="shared" si="96"/>
        <v>298.74602928001929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80.727443109252292</v>
      </c>
      <c r="DG126" s="23">
        <f>EXP(-LN(2)/25)*DG125+(1-EXP(-LN(2)/25))/(LN(2)/25)*Calculateur!DB126*Calculateur!DD126*VLOOKUP('Données projet'!$B$13,Paramètres!$A$1:$I$89,3,0)*0.475*44/12</f>
        <v>11.985360838913417</v>
      </c>
      <c r="DH126" s="23">
        <f>EXP(-LN(2)/2)*DH125+(1-EXP(-LN(2)/2))/(LN(2)/2)*DB126*DE126*VLOOKUP('Données projet'!$B$13,Paramètres!$A$1:$I$89,3,0)*0.475*44/12</f>
        <v>7.7489578248478607E-6</v>
      </c>
      <c r="DI126" s="24">
        <f t="shared" si="69"/>
        <v>92.712811697123541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70">
        <f t="shared" si="56"/>
        <v>256.66666666666669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6.7941666666666691</v>
      </c>
      <c r="N127" s="14">
        <f>IF('Données projet'!$A$36&gt;35,N126+M127-V126,IF(A127&lt;'Données projet'!$A$36,$K$205^A127,IF(A127='Données projet'!$A$36,'Données projet'!$B$36,N126+M127-V126)))</f>
        <v>347.24583333333356</v>
      </c>
      <c r="O127" s="14">
        <f>N127*VLOOKUP('Données projet'!$B$9,Paramètres!$A$1:$I$89,3,0)*VLOOKUP('Données projet'!$B$9,Paramètres!$A$1:$I$89,5,0)</f>
        <v>314.1880300000002</v>
      </c>
      <c r="P127" s="14">
        <f t="shared" si="87"/>
        <v>74.142773264538604</v>
      </c>
      <c r="Q127" s="22">
        <f t="shared" si="107"/>
        <v>676.3428156857384</v>
      </c>
      <c r="R127" s="62">
        <f t="shared" si="55"/>
        <v>969.67614901907177</v>
      </c>
      <c r="S127" s="62">
        <f ca="1">AVERAGE(OFFSET($R$3,0,0,'Données projet'!$E$9+1,1))-AVERAGE(OFFSET($H$3,0,0,'Données projet'!$E$9+1,1))</f>
        <v>441.6145113257511</v>
      </c>
      <c r="T127" s="62">
        <f t="shared" si="88"/>
        <v>295.8399381972477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28.287768973948324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28.287768973948324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-4.5474735088646412E-13</v>
      </c>
      <c r="AJ127" s="14">
        <f>AI127*VLOOKUP('Données projet'!$B$10,Paramètres!$A$1:$I$89,3,0)*VLOOKUP('Données projet'!$B$10,Paramètres!$A$1:$I$89,5,0)</f>
        <v>-3.9017322706058626E-13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623.31285537237943</v>
      </c>
      <c r="AO127" s="62">
        <f t="shared" si="90"/>
        <v>462.33909258902241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174.91224749494236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174.91224749494236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-1.7053025658242404E-13</v>
      </c>
      <c r="BE127" s="14">
        <f>BD127*VLOOKUP('Données projet'!$B$11,Paramètres!$A$1:$I$89,3,0)*VLOOKUP('Données projet'!$B$11,Paramètres!$A$1:$I$89,5,0)</f>
        <v>-1.3567387213697657E-13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299.10536994156814</v>
      </c>
      <c r="BJ127" s="62">
        <f t="shared" si="92"/>
        <v>292.57799203101769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50.774064928822426</v>
      </c>
      <c r="BQ127" s="23">
        <f>EXP(-LN(2)/25)*BQ126+(1-EXP(-LN(2)/25))/(LN(2)/25)*Calculateur!BL127*Calculateur!BN127*VLOOKUP('Données projet'!$B$11,Paramètres!$A$1:$I$89,3,0)*0.475*44/12</f>
        <v>0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50.774064928822426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2.8421709430404007E-14</v>
      </c>
      <c r="BZ127" s="14">
        <f>BY127*VLOOKUP('Données projet'!$B$12,Paramètres!$A$1:$I$89,3,0)*VLOOKUP('Données projet'!$B$12,Paramètres!$A$1:$I$89,5,0)</f>
        <v>2.2168933355715127E-14</v>
      </c>
      <c r="CA127" s="14">
        <f t="shared" si="93"/>
        <v>3.9687356123668477E-13</v>
      </c>
      <c r="CB127" s="22">
        <f t="shared" si="64"/>
        <v>7.2983234474842979E-13</v>
      </c>
      <c r="CC127" s="62">
        <f t="shared" si="65"/>
        <v>293.33333333333405</v>
      </c>
      <c r="CD127" s="62">
        <f ca="1">AVERAGE(OFFSET($CC$3,0,0,'Données projet'!$E$12+1,1))-AVERAGE(OFFSET($H$3,0,0,'Données projet'!$E$12+1,1))</f>
        <v>197.51529454208725</v>
      </c>
      <c r="CE127" s="62">
        <f t="shared" si="94"/>
        <v>196.65362486387215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26.897509364717841</v>
      </c>
      <c r="CL127" s="23">
        <f>EXP(-LN(2)/25)*CL126+(1-EXP(-LN(2)/25))/(LN(2)/25)*Calculateur!CG127*Calculateur!CI127*VLOOKUP('Données projet'!$B$12,Paramètres!$A$1:$I$89,3,0)*0.475*44/12</f>
        <v>0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26.897509364717841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-5.6843418860808015E-14</v>
      </c>
      <c r="CU127" s="18">
        <f>CT127*VLOOKUP('Données projet'!$B$13,Paramètres!$A$1:$I$89,3,0)*VLOOKUP('Données projet'!$B$13,Paramètres!$A$1:$I$89,5,0)</f>
        <v>-3.1036506698001178E-14</v>
      </c>
      <c r="CV127" s="14" t="e">
        <f t="shared" si="95"/>
        <v>#NUM!</v>
      </c>
      <c r="CW127" s="22" t="e">
        <f t="shared" si="67"/>
        <v>#NUM!</v>
      </c>
      <c r="CX127" s="62" t="e">
        <f t="shared" si="68"/>
        <v>#NUM!</v>
      </c>
      <c r="CY127" s="62">
        <f ca="1">AVERAGE(OFFSET($CX$3,0,0,'Données projet'!$E$13+1,1))-AVERAGE(OFFSET($H$3,0,0,'Données projet'!$E$13+1,1))</f>
        <v>303.14853302260451</v>
      </c>
      <c r="CZ127" s="62">
        <f t="shared" si="96"/>
        <v>298.74602928001929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79.144427188758215</v>
      </c>
      <c r="DG127" s="23">
        <f>EXP(-LN(2)/25)*DG126+(1-EXP(-LN(2)/25))/(LN(2)/25)*Calculateur!DB127*Calculateur!DD127*VLOOKUP('Données projet'!$B$13,Paramètres!$A$1:$I$89,3,0)*0.475*44/12</f>
        <v>11.657620516490596</v>
      </c>
      <c r="DH127" s="23">
        <f>EXP(-LN(2)/2)*DH126+(1-EXP(-LN(2)/2))/(LN(2)/2)*DB127*DE127*VLOOKUP('Données projet'!$B$13,Paramètres!$A$1:$I$89,3,0)*0.475*44/12</f>
        <v>5.4793406250784815E-6</v>
      </c>
      <c r="DI127" s="24">
        <f t="shared" si="69"/>
        <v>90.80205318458944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70">
        <f t="shared" si="56"/>
        <v>256.66666666666669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>
        <f>VLOOKUP(A128,'Données projet'!$A$35:$I$55,2,0)</f>
        <v>354.04</v>
      </c>
      <c r="L128" s="13">
        <f>VLOOKUP(A128,'Données projet'!$A$35:$I$55,9,0)</f>
        <v>6.7941666666666691</v>
      </c>
      <c r="M128" s="13">
        <f t="array" ref="M128">INDEX(L:L,MIN(IF(ISNUMBER(L128:L324),ROW(L128:L324),"")))</f>
        <v>6.7941666666666691</v>
      </c>
      <c r="N128" s="14">
        <f>IF('Données projet'!$A$36&gt;35,N127+M128-V127,IF(A128&lt;'Données projet'!$A$36,$K$205^A128,IF(A128='Données projet'!$A$36,'Données projet'!$B$36,N127+M128-V127)))</f>
        <v>354.04000000000025</v>
      </c>
      <c r="O128" s="14">
        <f>N128*VLOOKUP('Données projet'!$B$9,Paramètres!$A$1:$I$89,3,0)*VLOOKUP('Données projet'!$B$9,Paramètres!$A$1:$I$89,5,0)</f>
        <v>320.33539200000024</v>
      </c>
      <c r="P128" s="14">
        <f t="shared" si="87"/>
        <v>75.423134235891538</v>
      </c>
      <c r="Q128" s="22">
        <f t="shared" si="107"/>
        <v>689.27943319417818</v>
      </c>
      <c r="R128" s="62">
        <f t="shared" si="55"/>
        <v>982.61276652751144</v>
      </c>
      <c r="S128" s="62">
        <f ca="1">AVERAGE(OFFSET($R$3,0,0,'Données projet'!$E$9+1,1))-AVERAGE(OFFSET($H$3,0,0,'Données projet'!$E$9+1,1))</f>
        <v>441.6145113257511</v>
      </c>
      <c r="T128" s="62">
        <f t="shared" si="88"/>
        <v>295.8399381972477</v>
      </c>
      <c r="U128" s="16">
        <f>IF(ISNA(VLOOKUP(A128,'Données projet'!$A$35:$I$55,3,0)),0,VLOOKUP(A128,'Données projet'!$A$35:$I$55,3,0))</f>
        <v>10</v>
      </c>
      <c r="V128" s="16">
        <f>IF(ISNA(VLOOKUP(A128,'Données projet'!$A$35:$I$55,4,0)),0,VLOOKUP(A128,'Données projet'!$A$35:$I$55,4,0))</f>
        <v>61.5</v>
      </c>
      <c r="W128" s="17">
        <f>IF(ISNA(VLOOKUP(A128,'Données projet'!$A$35:$I$55,5,0)),0%,VLOOKUP(A128,'Données projet'!$A$35:$I$55,5,0)*VLOOKUP('Données projet'!$B$9,Paramètres!$A$1:$I$89,7,0))</f>
        <v>0.25800000000000001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43.603706131906826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43.603706131906826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-4.5474735088646412E-13</v>
      </c>
      <c r="AJ128" s="14">
        <f>AI128*VLOOKUP('Données projet'!$B$10,Paramètres!$A$1:$I$89,3,0)*VLOOKUP('Données projet'!$B$10,Paramètres!$A$1:$I$89,5,0)</f>
        <v>-3.9017322706058626E-13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623.31285537237943</v>
      </c>
      <c r="AO128" s="62">
        <f t="shared" si="90"/>
        <v>462.33909258902241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171.48232500750316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171.48232500750316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-1.7053025658242404E-13</v>
      </c>
      <c r="BE128" s="14">
        <f>BD128*VLOOKUP('Données projet'!$B$11,Paramètres!$A$1:$I$89,3,0)*VLOOKUP('Données projet'!$B$11,Paramètres!$A$1:$I$89,5,0)</f>
        <v>-1.3567387213697657E-13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299.10536994156814</v>
      </c>
      <c r="BJ128" s="62">
        <f t="shared" si="92"/>
        <v>292.57799203101769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49.778416484689878</v>
      </c>
      <c r="BQ128" s="23">
        <f>EXP(-LN(2)/25)*BQ127+(1-EXP(-LN(2)/25))/(LN(2)/25)*Calculateur!BL128*Calculateur!BN128*VLOOKUP('Données projet'!$B$11,Paramètres!$A$1:$I$89,3,0)*0.475*44/12</f>
        <v>0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49.778416484689878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2.8421709430404007E-14</v>
      </c>
      <c r="BZ128" s="14">
        <f>BY128*VLOOKUP('Données projet'!$B$12,Paramètres!$A$1:$I$89,3,0)*VLOOKUP('Données projet'!$B$12,Paramètres!$A$1:$I$89,5,0)</f>
        <v>2.2168933355715127E-14</v>
      </c>
      <c r="CA128" s="14">
        <f t="shared" si="93"/>
        <v>3.9687356123668477E-13</v>
      </c>
      <c r="CB128" s="22">
        <f t="shared" si="64"/>
        <v>7.2983234474842979E-13</v>
      </c>
      <c r="CC128" s="62">
        <f t="shared" si="65"/>
        <v>293.33333333333405</v>
      </c>
      <c r="CD128" s="62">
        <f ca="1">AVERAGE(OFFSET($CC$3,0,0,'Données projet'!$E$12+1,1))-AVERAGE(OFFSET($H$3,0,0,'Données projet'!$E$12+1,1))</f>
        <v>197.51529454208725</v>
      </c>
      <c r="CE128" s="62">
        <f t="shared" si="94"/>
        <v>196.65362486387215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26.370065611936493</v>
      </c>
      <c r="CL128" s="23">
        <f>EXP(-LN(2)/25)*CL127+(1-EXP(-LN(2)/25))/(LN(2)/25)*Calculateur!CG128*Calculateur!CI128*VLOOKUP('Données projet'!$B$12,Paramètres!$A$1:$I$89,3,0)*0.475*44/12</f>
        <v>0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26.370065611936493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-5.6843418860808015E-14</v>
      </c>
      <c r="CU128" s="18">
        <f>CT128*VLOOKUP('Données projet'!$B$13,Paramètres!$A$1:$I$89,3,0)*VLOOKUP('Données projet'!$B$13,Paramètres!$A$1:$I$89,5,0)</f>
        <v>-3.1036506698001178E-14</v>
      </c>
      <c r="CV128" s="14" t="e">
        <f t="shared" si="95"/>
        <v>#NUM!</v>
      </c>
      <c r="CW128" s="22" t="e">
        <f t="shared" si="67"/>
        <v>#NUM!</v>
      </c>
      <c r="CX128" s="62" t="e">
        <f t="shared" si="68"/>
        <v>#NUM!</v>
      </c>
      <c r="CY128" s="62">
        <f ca="1">AVERAGE(OFFSET($CX$3,0,0,'Données projet'!$E$13+1,1))-AVERAGE(OFFSET($H$3,0,0,'Données projet'!$E$13+1,1))</f>
        <v>303.14853302260451</v>
      </c>
      <c r="CZ128" s="62">
        <f t="shared" si="96"/>
        <v>298.74602928001929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77.592453244920662</v>
      </c>
      <c r="DG128" s="23">
        <f>EXP(-LN(2)/25)*DG127+(1-EXP(-LN(2)/25))/(LN(2)/25)*Calculateur!DB128*Calculateur!DD128*VLOOKUP('Données projet'!$B$13,Paramètres!$A$1:$I$89,3,0)*0.475*44/12</f>
        <v>11.338842270419541</v>
      </c>
      <c r="DH128" s="23">
        <f>EXP(-LN(2)/2)*DH127+(1-EXP(-LN(2)/2))/(LN(2)/2)*DB128*DE128*VLOOKUP('Données projet'!$B$13,Paramètres!$A$1:$I$89,3,0)*0.475*44/12</f>
        <v>3.8744789124239303E-6</v>
      </c>
      <c r="DI128" s="24">
        <f t="shared" si="69"/>
        <v>88.931299389819102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70">
        <f t="shared" si="56"/>
        <v>256.66666666666669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6.7133333333333338</v>
      </c>
      <c r="N129" s="14">
        <f>IF('Données projet'!$A$36&gt;35,N128+M129-V128,IF(A129&lt;'Données projet'!$A$36,$K$205^A129,IF(A129='Données projet'!$A$36,'Données projet'!$B$36,N128+M129-V128)))</f>
        <v>299.25333333333356</v>
      </c>
      <c r="O129" s="14">
        <f>N129*VLOOKUP('Données projet'!$B$9,Paramètres!$A$1:$I$89,3,0)*VLOOKUP('Données projet'!$B$9,Paramètres!$A$1:$I$89,5,0)</f>
        <v>270.76441600000021</v>
      </c>
      <c r="P129" s="14">
        <f t="shared" si="87"/>
        <v>65.011470952689166</v>
      </c>
      <c r="Q129" s="22">
        <f t="shared" si="107"/>
        <v>584.80966977593391</v>
      </c>
      <c r="R129" s="62">
        <f t="shared" si="55"/>
        <v>878.14300310926728</v>
      </c>
      <c r="S129" s="62">
        <f ca="1">AVERAGE(OFFSET($R$3,0,0,'Données projet'!$E$9+1,1))-AVERAGE(OFFSET($H$3,0,0,'Données projet'!$E$9+1,1))</f>
        <v>441.6145113257511</v>
      </c>
      <c r="T129" s="62">
        <f t="shared" si="88"/>
        <v>295.8399381972477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42.748664050294771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42.748664050294771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-4.5474735088646412E-13</v>
      </c>
      <c r="AJ129" s="14">
        <f>AI129*VLOOKUP('Données projet'!$B$10,Paramètres!$A$1:$I$89,3,0)*VLOOKUP('Données projet'!$B$10,Paramètres!$A$1:$I$89,5,0)</f>
        <v>-3.9017322706058626E-13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623.31285537237943</v>
      </c>
      <c r="AO129" s="62">
        <f t="shared" si="90"/>
        <v>462.33909258902241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168.1196612079965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168.1196612079965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-1.7053025658242404E-13</v>
      </c>
      <c r="BE129" s="14">
        <f>BD129*VLOOKUP('Données projet'!$B$11,Paramètres!$A$1:$I$89,3,0)*VLOOKUP('Données projet'!$B$11,Paramètres!$A$1:$I$89,5,0)</f>
        <v>-1.3567387213697657E-13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299.10536994156814</v>
      </c>
      <c r="BJ129" s="62">
        <f t="shared" si="92"/>
        <v>292.57799203101769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48.80229209926118</v>
      </c>
      <c r="BQ129" s="23">
        <f>EXP(-LN(2)/25)*BQ128+(1-EXP(-LN(2)/25))/(LN(2)/25)*Calculateur!BL129*Calculateur!BN129*VLOOKUP('Données projet'!$B$11,Paramètres!$A$1:$I$89,3,0)*0.475*44/12</f>
        <v>0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48.80229209926118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2.8421709430404007E-14</v>
      </c>
      <c r="BZ129" s="14">
        <f>BY129*VLOOKUP('Données projet'!$B$12,Paramètres!$A$1:$I$89,3,0)*VLOOKUP('Données projet'!$B$12,Paramètres!$A$1:$I$89,5,0)</f>
        <v>2.2168933355715127E-14</v>
      </c>
      <c r="CA129" s="14">
        <f t="shared" si="93"/>
        <v>3.9687356123668477E-13</v>
      </c>
      <c r="CB129" s="22">
        <f t="shared" si="64"/>
        <v>7.2983234474842979E-13</v>
      </c>
      <c r="CC129" s="62">
        <f t="shared" si="65"/>
        <v>293.33333333333405</v>
      </c>
      <c r="CD129" s="62">
        <f ca="1">AVERAGE(OFFSET($CC$3,0,0,'Données projet'!$E$12+1,1))-AVERAGE(OFFSET($H$3,0,0,'Données projet'!$E$12+1,1))</f>
        <v>197.51529454208725</v>
      </c>
      <c r="CE129" s="62">
        <f t="shared" si="94"/>
        <v>196.65362486387215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25.852964709438265</v>
      </c>
      <c r="CL129" s="23">
        <f>EXP(-LN(2)/25)*CL128+(1-EXP(-LN(2)/25))/(LN(2)/25)*Calculateur!CG129*Calculateur!CI129*VLOOKUP('Données projet'!$B$12,Paramètres!$A$1:$I$89,3,0)*0.475*44/12</f>
        <v>0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25.852964709438265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-5.6843418860808015E-14</v>
      </c>
      <c r="CU129" s="18">
        <f>CT129*VLOOKUP('Données projet'!$B$13,Paramètres!$A$1:$I$89,3,0)*VLOOKUP('Données projet'!$B$13,Paramètres!$A$1:$I$89,5,0)</f>
        <v>-3.1036506698001178E-14</v>
      </c>
      <c r="CV129" s="14" t="e">
        <f t="shared" si="95"/>
        <v>#NUM!</v>
      </c>
      <c r="CW129" s="22" t="e">
        <f t="shared" si="67"/>
        <v>#NUM!</v>
      </c>
      <c r="CX129" s="62" t="e">
        <f t="shared" si="68"/>
        <v>#NUM!</v>
      </c>
      <c r="CY129" s="62">
        <f ca="1">AVERAGE(OFFSET($CX$3,0,0,'Données projet'!$E$13+1,1))-AVERAGE(OFFSET($H$3,0,0,'Données projet'!$E$13+1,1))</f>
        <v>303.14853302260451</v>
      </c>
      <c r="CZ129" s="62">
        <f t="shared" si="96"/>
        <v>298.74602928001929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76.070912563511115</v>
      </c>
      <c r="DG129" s="23">
        <f>EXP(-LN(2)/25)*DG128+(1-EXP(-LN(2)/25))/(LN(2)/25)*Calculateur!DB129*Calculateur!DD129*VLOOKUP('Données projet'!$B$13,Paramètres!$A$1:$I$89,3,0)*0.475*44/12</f>
        <v>11.028781032251118</v>
      </c>
      <c r="DH129" s="23">
        <f>EXP(-LN(2)/2)*DH128+(1-EXP(-LN(2)/2))/(LN(2)/2)*DB129*DE129*VLOOKUP('Données projet'!$B$13,Paramètres!$A$1:$I$89,3,0)*0.475*44/12</f>
        <v>2.7396703125392407E-6</v>
      </c>
      <c r="DI129" s="24">
        <f t="shared" si="69"/>
        <v>87.09969633543254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70">
        <f t="shared" si="56"/>
        <v>256.66666666666669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6.7133333333333338</v>
      </c>
      <c r="N130" s="14">
        <f>IF('Données projet'!$A$36&gt;35,N129+M130-V129,IF(A130&lt;'Données projet'!$A$36,$K$205^A130,IF(A130='Données projet'!$A$36,'Données projet'!$B$36,N129+M130-V129)))</f>
        <v>305.96666666666687</v>
      </c>
      <c r="O130" s="14">
        <f>N130*VLOOKUP('Données projet'!$B$9,Paramètres!$A$1:$I$89,3,0)*VLOOKUP('Données projet'!$B$9,Paramètres!$A$1:$I$89,5,0)</f>
        <v>276.83864000000017</v>
      </c>
      <c r="P130" s="14">
        <f t="shared" si="87"/>
        <v>66.298481772142878</v>
      </c>
      <c r="Q130" s="22">
        <f t="shared" si="107"/>
        <v>597.63048708648239</v>
      </c>
      <c r="R130" s="62">
        <f t="shared" si="55"/>
        <v>890.96382041981565</v>
      </c>
      <c r="S130" s="62">
        <f ca="1">AVERAGE(OFFSET($R$3,0,0,'Données projet'!$E$9+1,1))-AVERAGE(OFFSET($H$3,0,0,'Données projet'!$E$9+1,1))</f>
        <v>441.6145113257511</v>
      </c>
      <c r="T130" s="62">
        <f t="shared" si="88"/>
        <v>295.8399381972477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41.910388822378955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41.910388822378955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-4.5474735088646412E-13</v>
      </c>
      <c r="AJ130" s="14">
        <f>AI130*VLOOKUP('Données projet'!$B$10,Paramètres!$A$1:$I$89,3,0)*VLOOKUP('Données projet'!$B$10,Paramètres!$A$1:$I$89,5,0)</f>
        <v>-3.9017322706058626E-13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623.31285537237943</v>
      </c>
      <c r="AO130" s="62">
        <f t="shared" si="90"/>
        <v>462.33909258902241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164.82293719457576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164.82293719457576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-1.7053025658242404E-13</v>
      </c>
      <c r="BE130" s="14">
        <f>BD130*VLOOKUP('Données projet'!$B$11,Paramètres!$A$1:$I$89,3,0)*VLOOKUP('Données projet'!$B$11,Paramètres!$A$1:$I$89,5,0)</f>
        <v>-1.3567387213697657E-13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299.10536994156814</v>
      </c>
      <c r="BJ130" s="62">
        <f t="shared" si="92"/>
        <v>292.57799203101769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47.845308917653654</v>
      </c>
      <c r="BQ130" s="23">
        <f>EXP(-LN(2)/25)*BQ129+(1-EXP(-LN(2)/25))/(LN(2)/25)*Calculateur!BL130*Calculateur!BN130*VLOOKUP('Données projet'!$B$11,Paramètres!$A$1:$I$89,3,0)*0.475*44/12</f>
        <v>0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47.845308917653654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2.8421709430404007E-14</v>
      </c>
      <c r="BZ130" s="14">
        <f>BY130*VLOOKUP('Données projet'!$B$12,Paramètres!$A$1:$I$89,3,0)*VLOOKUP('Données projet'!$B$12,Paramètres!$A$1:$I$89,5,0)</f>
        <v>2.2168933355715127E-14</v>
      </c>
      <c r="CA130" s="14">
        <f t="shared" si="93"/>
        <v>3.9687356123668477E-13</v>
      </c>
      <c r="CB130" s="22">
        <f t="shared" si="64"/>
        <v>7.2983234474842979E-13</v>
      </c>
      <c r="CC130" s="62">
        <f t="shared" si="65"/>
        <v>293.33333333333405</v>
      </c>
      <c r="CD130" s="62">
        <f ca="1">AVERAGE(OFFSET($CC$3,0,0,'Données projet'!$E$12+1,1))-AVERAGE(OFFSET($H$3,0,0,'Données projet'!$E$12+1,1))</f>
        <v>197.51529454208725</v>
      </c>
      <c r="CE130" s="62">
        <f t="shared" si="94"/>
        <v>196.65362486387215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25.346003840237618</v>
      </c>
      <c r="CL130" s="23">
        <f>EXP(-LN(2)/25)*CL129+(1-EXP(-LN(2)/25))/(LN(2)/25)*Calculateur!CG130*Calculateur!CI130*VLOOKUP('Données projet'!$B$12,Paramètres!$A$1:$I$89,3,0)*0.475*44/12</f>
        <v>0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25.346003840237618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-5.6843418860808015E-14</v>
      </c>
      <c r="CU130" s="18">
        <f>CT130*VLOOKUP('Données projet'!$B$13,Paramètres!$A$1:$I$89,3,0)*VLOOKUP('Données projet'!$B$13,Paramètres!$A$1:$I$89,5,0)</f>
        <v>-3.1036506698001178E-14</v>
      </c>
      <c r="CV130" s="14" t="e">
        <f t="shared" si="95"/>
        <v>#NUM!</v>
      </c>
      <c r="CW130" s="22" t="e">
        <f t="shared" si="67"/>
        <v>#NUM!</v>
      </c>
      <c r="CX130" s="62" t="e">
        <f t="shared" si="68"/>
        <v>#NUM!</v>
      </c>
      <c r="CY130" s="62">
        <f ca="1">AVERAGE(OFFSET($CX$3,0,0,'Données projet'!$E$13+1,1))-AVERAGE(OFFSET($H$3,0,0,'Données projet'!$E$13+1,1))</f>
        <v>303.14853302260451</v>
      </c>
      <c r="CZ130" s="62">
        <f t="shared" si="96"/>
        <v>298.74602928001929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74.579208366815834</v>
      </c>
      <c r="DG130" s="23">
        <f>EXP(-LN(2)/25)*DG129+(1-EXP(-LN(2)/25))/(LN(2)/25)*Calculateur!DB130*Calculateur!DD130*VLOOKUP('Données projet'!$B$13,Paramètres!$A$1:$I$89,3,0)*0.475*44/12</f>
        <v>10.727198434945823</v>
      </c>
      <c r="DH130" s="23">
        <f>EXP(-LN(2)/2)*DH129+(1-EXP(-LN(2)/2))/(LN(2)/2)*DB130*DE130*VLOOKUP('Données projet'!$B$13,Paramètres!$A$1:$I$89,3,0)*0.475*44/12</f>
        <v>1.9372394562119652E-6</v>
      </c>
      <c r="DI130" s="24">
        <f t="shared" si="69"/>
        <v>85.306408739001114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70">
        <f t="shared" si="56"/>
        <v>256.66666666666669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6.7133333333333338</v>
      </c>
      <c r="N131" s="14">
        <f>IF('Données projet'!$A$36&gt;35,N130+M131-V130,IF(A131&lt;'Données projet'!$A$36,$K$205^A131,IF(A131='Données projet'!$A$36,'Données projet'!$B$36,N130+M131-V130)))</f>
        <v>312.68000000000018</v>
      </c>
      <c r="O131" s="14">
        <f>N131*VLOOKUP('Données projet'!$B$9,Paramètres!$A$1:$I$89,3,0)*VLOOKUP('Données projet'!$B$9,Paramètres!$A$1:$I$89,5,0)</f>
        <v>282.91286400000013</v>
      </c>
      <c r="P131" s="14">
        <f t="shared" si="87"/>
        <v>67.582209510300217</v>
      </c>
      <c r="Q131" s="22">
        <f t="shared" ref="Q131:Q153" si="108">(O131+P131)*0.475*44/12</f>
        <v>610.44558636377303</v>
      </c>
      <c r="R131" s="62">
        <f t="shared" ref="R131:R194" si="109">Q131+(I131+J131)*44/12</f>
        <v>903.7789196971064</v>
      </c>
      <c r="S131" s="62">
        <f ca="1">AVERAGE(OFFSET($R$3,0,0,'Données projet'!$E$9+1,1))-AVERAGE(OFFSET($H$3,0,0,'Données projet'!$E$9+1,1))</f>
        <v>441.6145113257511</v>
      </c>
      <c r="T131" s="62">
        <f t="shared" si="88"/>
        <v>295.8399381972477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41.088551660385164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41.088551660385164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-4.5474735088646412E-13</v>
      </c>
      <c r="AJ131" s="14">
        <f>AI131*VLOOKUP('Données projet'!$B$10,Paramètres!$A$1:$I$89,3,0)*VLOOKUP('Données projet'!$B$10,Paramètres!$A$1:$I$89,5,0)</f>
        <v>-3.9017322706058626E-13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623.31285537237943</v>
      </c>
      <c r="AO131" s="62">
        <f t="shared" si="90"/>
        <v>462.33909258902241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161.5908599282551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161.5908599282551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-1.7053025658242404E-13</v>
      </c>
      <c r="BE131" s="14">
        <f>BD131*VLOOKUP('Données projet'!$B$11,Paramètres!$A$1:$I$89,3,0)*VLOOKUP('Données projet'!$B$11,Paramètres!$A$1:$I$89,5,0)</f>
        <v>-1.3567387213697657E-13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299.10536994156814</v>
      </c>
      <c r="BJ131" s="62">
        <f t="shared" si="92"/>
        <v>292.57799203101769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46.907091592535345</v>
      </c>
      <c r="BQ131" s="23">
        <f>EXP(-LN(2)/25)*BQ130+(1-EXP(-LN(2)/25))/(LN(2)/25)*Calculateur!BL131*Calculateur!BN131*VLOOKUP('Données projet'!$B$11,Paramètres!$A$1:$I$89,3,0)*0.475*44/12</f>
        <v>0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46.907091592535345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2.8421709430404007E-14</v>
      </c>
      <c r="BZ131" s="14">
        <f>BY131*VLOOKUP('Données projet'!$B$12,Paramètres!$A$1:$I$89,3,0)*VLOOKUP('Données projet'!$B$12,Paramètres!$A$1:$I$89,5,0)</f>
        <v>2.2168933355715127E-14</v>
      </c>
      <c r="CA131" s="14">
        <f t="shared" si="93"/>
        <v>3.9687356123668477E-13</v>
      </c>
      <c r="CB131" s="22">
        <f t="shared" si="64"/>
        <v>7.2983234474842979E-13</v>
      </c>
      <c r="CC131" s="62">
        <f t="shared" si="65"/>
        <v>293.33333333333405</v>
      </c>
      <c r="CD131" s="62">
        <f ca="1">AVERAGE(OFFSET($CC$3,0,0,'Données projet'!$E$12+1,1))-AVERAGE(OFFSET($H$3,0,0,'Données projet'!$E$12+1,1))</f>
        <v>197.51529454208725</v>
      </c>
      <c r="CE131" s="62">
        <f t="shared" si="94"/>
        <v>196.65362486387215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24.848984164466398</v>
      </c>
      <c r="CL131" s="23">
        <f>EXP(-LN(2)/25)*CL130+(1-EXP(-LN(2)/25))/(LN(2)/25)*Calculateur!CG131*Calculateur!CI131*VLOOKUP('Données projet'!$B$12,Paramètres!$A$1:$I$89,3,0)*0.475*44/12</f>
        <v>0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24.848984164466398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-5.6843418860808015E-14</v>
      </c>
      <c r="CU131" s="18">
        <f>CT131*VLOOKUP('Données projet'!$B$13,Paramètres!$A$1:$I$89,3,0)*VLOOKUP('Données projet'!$B$13,Paramètres!$A$1:$I$89,5,0)</f>
        <v>-3.1036506698001178E-14</v>
      </c>
      <c r="CV131" s="14" t="e">
        <f t="shared" si="95"/>
        <v>#NUM!</v>
      </c>
      <c r="CW131" s="22" t="e">
        <f t="shared" si="67"/>
        <v>#NUM!</v>
      </c>
      <c r="CX131" s="62" t="e">
        <f t="shared" si="68"/>
        <v>#NUM!</v>
      </c>
      <c r="CY131" s="62">
        <f ca="1">AVERAGE(OFFSET($CX$3,0,0,'Données projet'!$E$13+1,1))-AVERAGE(OFFSET($H$3,0,0,'Données projet'!$E$13+1,1))</f>
        <v>303.14853302260451</v>
      </c>
      <c r="CZ131" s="62">
        <f t="shared" si="96"/>
        <v>298.74602928001929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73.116755579568036</v>
      </c>
      <c r="DG131" s="23">
        <f>EXP(-LN(2)/25)*DG130+(1-EXP(-LN(2)/25))/(LN(2)/25)*Calculateur!DB131*Calculateur!DD131*VLOOKUP('Données projet'!$B$13,Paramètres!$A$1:$I$89,3,0)*0.475*44/12</f>
        <v>10.433862629623381</v>
      </c>
      <c r="DH131" s="23">
        <f>EXP(-LN(2)/2)*DH130+(1-EXP(-LN(2)/2))/(LN(2)/2)*DB131*DE131*VLOOKUP('Données projet'!$B$13,Paramètres!$A$1:$I$89,3,0)*0.475*44/12</f>
        <v>1.3698351562696204E-6</v>
      </c>
      <c r="DI131" s="24">
        <f t="shared" si="69"/>
        <v>83.550619579026574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70">
        <f t="shared" ref="H132:H195" si="110">(B132+E132+F132)*44/12+(C132+D132)*0.475*44/12</f>
        <v>256.66666666666669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6.7133333333333338</v>
      </c>
      <c r="N132" s="14">
        <f>IF('Données projet'!$A$36&gt;35,N131+M132-V131,IF(A132&lt;'Données projet'!$A$36,$K$205^A132,IF(A132='Données projet'!$A$36,'Données projet'!$B$36,N131+M132-V131)))</f>
        <v>319.39333333333349</v>
      </c>
      <c r="O132" s="14">
        <f>N132*VLOOKUP('Données projet'!$B$9,Paramètres!$A$1:$I$89,3,0)*VLOOKUP('Données projet'!$B$9,Paramètres!$A$1:$I$89,5,0)</f>
        <v>288.98708800000014</v>
      </c>
      <c r="P132" s="14">
        <f t="shared" si="87"/>
        <v>68.862732774736074</v>
      </c>
      <c r="Q132" s="22">
        <f t="shared" si="108"/>
        <v>623.25510451599882</v>
      </c>
      <c r="R132" s="62">
        <f t="shared" si="109"/>
        <v>916.58843784933219</v>
      </c>
      <c r="S132" s="62">
        <f ca="1">AVERAGE(OFFSET($R$3,0,0,'Données projet'!$E$9+1,1))-AVERAGE(OFFSET($H$3,0,0,'Données projet'!$E$9+1,1))</f>
        <v>441.6145113257511</v>
      </c>
      <c r="T132" s="62">
        <f t="shared" si="88"/>
        <v>295.8399381972477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40.282830223866902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40.282830223866902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-4.5474735088646412E-13</v>
      </c>
      <c r="AJ132" s="14">
        <f>AI132*VLOOKUP('Données projet'!$B$10,Paramètres!$A$1:$I$89,3,0)*VLOOKUP('Données projet'!$B$10,Paramètres!$A$1:$I$89,5,0)</f>
        <v>-3.9017322706058626E-13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623.31285537237943</v>
      </c>
      <c r="AO132" s="62">
        <f t="shared" si="90"/>
        <v>462.33909258902241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158.42216172575451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158.42216172575451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-1.7053025658242404E-13</v>
      </c>
      <c r="BE132" s="14">
        <f>BD132*VLOOKUP('Données projet'!$B$11,Paramètres!$A$1:$I$89,3,0)*VLOOKUP('Données projet'!$B$11,Paramètres!$A$1:$I$89,5,0)</f>
        <v>-1.3567387213697657E-13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299.10536994156814</v>
      </c>
      <c r="BJ132" s="62">
        <f t="shared" si="92"/>
        <v>292.57799203101769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45.987272136906547</v>
      </c>
      <c r="BQ132" s="23">
        <f>EXP(-LN(2)/25)*BQ131+(1-EXP(-LN(2)/25))/(LN(2)/25)*Calculateur!BL132*Calculateur!BN132*VLOOKUP('Données projet'!$B$11,Paramètres!$A$1:$I$89,3,0)*0.475*44/12</f>
        <v>0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45.987272136906547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2.8421709430404007E-14</v>
      </c>
      <c r="BZ132" s="14">
        <f>BY132*VLOOKUP('Données projet'!$B$12,Paramètres!$A$1:$I$89,3,0)*VLOOKUP('Données projet'!$B$12,Paramètres!$A$1:$I$89,5,0)</f>
        <v>2.2168933355715127E-14</v>
      </c>
      <c r="CA132" s="14">
        <f t="shared" si="93"/>
        <v>3.9687356123668477E-13</v>
      </c>
      <c r="CB132" s="22">
        <f t="shared" ref="CB132:CB153" si="118">(BZ132+CA132)*0.475*44/12</f>
        <v>7.2983234474842979E-13</v>
      </c>
      <c r="CC132" s="62">
        <f t="shared" ref="CC132:CC195" si="119">CB132+(BT132+BU132)*44/12</f>
        <v>293.33333333333405</v>
      </c>
      <c r="CD132" s="62">
        <f ca="1">AVERAGE(OFFSET($CC$3,0,0,'Données projet'!$E$12+1,1))-AVERAGE(OFFSET($H$3,0,0,'Données projet'!$E$12+1,1))</f>
        <v>197.51529454208725</v>
      </c>
      <c r="CE132" s="62">
        <f t="shared" si="94"/>
        <v>196.65362486387215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24.361710741384982</v>
      </c>
      <c r="CL132" s="23">
        <f>EXP(-LN(2)/25)*CL131+(1-EXP(-LN(2)/25))/(LN(2)/25)*Calculateur!CG132*Calculateur!CI132*VLOOKUP('Données projet'!$B$12,Paramètres!$A$1:$I$89,3,0)*0.475*44/12</f>
        <v>0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24.361710741384982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-5.6843418860808015E-14</v>
      </c>
      <c r="CU132" s="18">
        <f>CT132*VLOOKUP('Données projet'!$B$13,Paramètres!$A$1:$I$89,3,0)*VLOOKUP('Données projet'!$B$13,Paramètres!$A$1:$I$89,5,0)</f>
        <v>-3.1036506698001178E-14</v>
      </c>
      <c r="CV132" s="14" t="e">
        <f t="shared" si="95"/>
        <v>#NUM!</v>
      </c>
      <c r="CW132" s="22" t="e">
        <f t="shared" ref="CW132:CW153" si="121">(CU132+CV132)*0.475*44/12</f>
        <v>#NUM!</v>
      </c>
      <c r="CX132" s="62" t="e">
        <f t="shared" ref="CX132:CX195" si="122">CW132+(CO132+CP132)*44/12</f>
        <v>#NUM!</v>
      </c>
      <c r="CY132" s="62">
        <f ca="1">AVERAGE(OFFSET($CX$3,0,0,'Données projet'!$E$13+1,1))-AVERAGE(OFFSET($H$3,0,0,'Données projet'!$E$13+1,1))</f>
        <v>303.14853302260451</v>
      </c>
      <c r="CZ132" s="62">
        <f t="shared" si="96"/>
        <v>298.74602928001929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71.682980599470042</v>
      </c>
      <c r="DG132" s="23">
        <f>EXP(-LN(2)/25)*DG131+(1-EXP(-LN(2)/25))/(LN(2)/25)*Calculateur!DB132*Calculateur!DD132*VLOOKUP('Données projet'!$B$13,Paramètres!$A$1:$I$89,3,0)*0.475*44/12</f>
        <v>10.148548107323341</v>
      </c>
      <c r="DH132" s="23">
        <f>EXP(-LN(2)/2)*DH131+(1-EXP(-LN(2)/2))/(LN(2)/2)*DB132*DE132*VLOOKUP('Données projet'!$B$13,Paramètres!$A$1:$I$89,3,0)*0.475*44/12</f>
        <v>9.6861972810598258E-7</v>
      </c>
      <c r="DI132" s="24">
        <f t="shared" ref="DI132:DI153" si="123">SUM(DF132:DH132)</f>
        <v>81.831529675413108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70">
        <f t="shared" si="110"/>
        <v>256.66666666666669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6.7133333333333338</v>
      </c>
      <c r="N133" s="14">
        <f>IF('Données projet'!$A$36&gt;35,N132+M133-V132,IF(A133&lt;'Données projet'!$A$36,$K$205^A133,IF(A133='Données projet'!$A$36,'Données projet'!$B$36,N132+M133-V132)))</f>
        <v>326.1066666666668</v>
      </c>
      <c r="O133" s="14">
        <f>N133*VLOOKUP('Données projet'!$B$9,Paramètres!$A$1:$I$89,3,0)*VLOOKUP('Données projet'!$B$9,Paramètres!$A$1:$I$89,5,0)</f>
        <v>295.06131200000016</v>
      </c>
      <c r="P133" s="14">
        <f t="shared" ref="P133:P196" si="141">EXP(-1.0587+0.8836*LN(O133)+0.284)</f>
        <v>70.140126679697076</v>
      </c>
      <c r="Q133" s="22">
        <f t="shared" si="108"/>
        <v>636.05917236713924</v>
      </c>
      <c r="R133" s="62">
        <f t="shared" si="109"/>
        <v>929.39250570047261</v>
      </c>
      <c r="S133" s="62">
        <f ca="1">AVERAGE(OFFSET($R$3,0,0,'Données projet'!$E$9+1,1))-AVERAGE(OFFSET($H$3,0,0,'Données projet'!$E$9+1,1))</f>
        <v>441.6145113257511</v>
      </c>
      <c r="T133" s="62">
        <f t="shared" ref="T133:T196" si="142">$T$3</f>
        <v>295.8399381972477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39.492908493277213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39.492908493277213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-4.5474735088646412E-13</v>
      </c>
      <c r="AJ133" s="14">
        <f>AI133*VLOOKUP('Données projet'!$B$10,Paramètres!$A$1:$I$89,3,0)*VLOOKUP('Données projet'!$B$10,Paramètres!$A$1:$I$89,5,0)</f>
        <v>-3.9017322706058626E-13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623.31285537237943</v>
      </c>
      <c r="AO133" s="62">
        <f t="shared" ref="AO133:AO196" si="144">$AO$3</f>
        <v>462.33909258902241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155.31559976228991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155.31559976228991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-1.7053025658242404E-13</v>
      </c>
      <c r="BE133" s="14">
        <f>BD133*VLOOKUP('Données projet'!$B$11,Paramètres!$A$1:$I$89,3,0)*VLOOKUP('Données projet'!$B$11,Paramètres!$A$1:$I$89,5,0)</f>
        <v>-1.3567387213697657E-13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299.10536994156814</v>
      </c>
      <c r="BJ133" s="62">
        <f t="shared" ref="BJ133:BJ196" si="146">$BJ$3</f>
        <v>292.57799203101769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45.08548977976816</v>
      </c>
      <c r="BQ133" s="23">
        <f>EXP(-LN(2)/25)*BQ132+(1-EXP(-LN(2)/25))/(LN(2)/25)*Calculateur!BL133*Calculateur!BN133*VLOOKUP('Données projet'!$B$11,Paramètres!$A$1:$I$89,3,0)*0.475*44/12</f>
        <v>0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45.08548977976816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2.8421709430404007E-14</v>
      </c>
      <c r="BZ133" s="14">
        <f>BY133*VLOOKUP('Données projet'!$B$12,Paramètres!$A$1:$I$89,3,0)*VLOOKUP('Données projet'!$B$12,Paramètres!$A$1:$I$89,5,0)</f>
        <v>2.2168933355715127E-14</v>
      </c>
      <c r="CA133" s="14">
        <f t="shared" ref="CA133:CA153" si="147">EXP(-1.0587+0.8836*LN(BZ133)+0.284)</f>
        <v>3.9687356123668477E-13</v>
      </c>
      <c r="CB133" s="22">
        <f t="shared" si="118"/>
        <v>7.2983234474842979E-13</v>
      </c>
      <c r="CC133" s="62">
        <f t="shared" si="119"/>
        <v>293.33333333333405</v>
      </c>
      <c r="CD133" s="62">
        <f ca="1">AVERAGE(OFFSET($CC$3,0,0,'Données projet'!$E$12+1,1))-AVERAGE(OFFSET($H$3,0,0,'Données projet'!$E$12+1,1))</f>
        <v>197.51529454208725</v>
      </c>
      <c r="CE133" s="62">
        <f t="shared" ref="CE133:CE196" si="148">$CE$3</f>
        <v>196.65362486387215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23.883992452922755</v>
      </c>
      <c r="CL133" s="23">
        <f>EXP(-LN(2)/25)*CL132+(1-EXP(-LN(2)/25))/(LN(2)/25)*Calculateur!CG133*Calculateur!CI133*VLOOKUP('Données projet'!$B$12,Paramètres!$A$1:$I$89,3,0)*0.475*44/12</f>
        <v>0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23.883992452922755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-5.6843418860808015E-14</v>
      </c>
      <c r="CU133" s="18">
        <f>CT133*VLOOKUP('Données projet'!$B$13,Paramètres!$A$1:$I$89,3,0)*VLOOKUP('Données projet'!$B$13,Paramètres!$A$1:$I$89,5,0)</f>
        <v>-3.1036506698001178E-14</v>
      </c>
      <c r="CV133" s="14" t="e">
        <f t="shared" ref="CV133:CV153" si="149">EXP(-1.0587+0.8836*LN(CU133)+0.284)</f>
        <v>#NUM!</v>
      </c>
      <c r="CW133" s="22" t="e">
        <f t="shared" si="121"/>
        <v>#NUM!</v>
      </c>
      <c r="CX133" s="62" t="e">
        <f t="shared" si="122"/>
        <v>#NUM!</v>
      </c>
      <c r="CY133" s="62">
        <f ca="1">AVERAGE(OFFSET($CX$3,0,0,'Données projet'!$E$13+1,1))-AVERAGE(OFFSET($H$3,0,0,'Données projet'!$E$13+1,1))</f>
        <v>303.14853302260451</v>
      </c>
      <c r="CZ133" s="62">
        <f t="shared" ref="CZ133:CZ196" si="150">$CZ$3</f>
        <v>298.74602928001929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70.277321072215386</v>
      </c>
      <c r="DG133" s="23">
        <f>EXP(-LN(2)/25)*DG132+(1-EXP(-LN(2)/25))/(LN(2)/25)*Calculateur!DB133*Calculateur!DD133*VLOOKUP('Données projet'!$B$13,Paramètres!$A$1:$I$89,3,0)*0.475*44/12</f>
        <v>9.871035525639634</v>
      </c>
      <c r="DH133" s="23">
        <f>EXP(-LN(2)/2)*DH132+(1-EXP(-LN(2)/2))/(LN(2)/2)*DB133*DE133*VLOOKUP('Données projet'!$B$13,Paramètres!$A$1:$I$89,3,0)*0.475*44/12</f>
        <v>6.8491757813481019E-7</v>
      </c>
      <c r="DI133" s="24">
        <f t="shared" si="123"/>
        <v>80.148357282772594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70">
        <f t="shared" si="110"/>
        <v>256.66666666666669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6.7133333333333338</v>
      </c>
      <c r="N134" s="14">
        <f>IF('Données projet'!$A$36&gt;35,N133+M134-V133,IF(A134&lt;'Données projet'!$A$36,$K$205^A134,IF(A134='Données projet'!$A$36,'Données projet'!$B$36,N133+M134-V133)))</f>
        <v>332.82000000000011</v>
      </c>
      <c r="O134" s="14">
        <f>N134*VLOOKUP('Données projet'!$B$9,Paramètres!$A$1:$I$89,3,0)*VLOOKUP('Données projet'!$B$9,Paramètres!$A$1:$I$89,5,0)</f>
        <v>301.13553600000006</v>
      </c>
      <c r="P134" s="14">
        <f t="shared" si="141"/>
        <v>71.414463070011863</v>
      </c>
      <c r="Q134" s="22">
        <f t="shared" si="108"/>
        <v>648.85791504693748</v>
      </c>
      <c r="R134" s="62">
        <f t="shared" si="109"/>
        <v>942.19124838027074</v>
      </c>
      <c r="S134" s="62">
        <f ca="1">AVERAGE(OFFSET($R$3,0,0,'Données projet'!$E$9+1,1))-AVERAGE(OFFSET($H$3,0,0,'Données projet'!$E$9+1,1))</f>
        <v>441.6145113257511</v>
      </c>
      <c r="T134" s="62">
        <f t="shared" si="142"/>
        <v>295.8399381972477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38.718476646019703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38.718476646019703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-4.5474735088646412E-13</v>
      </c>
      <c r="AJ134" s="14">
        <f>AI134*VLOOKUP('Données projet'!$B$10,Paramètres!$A$1:$I$89,3,0)*VLOOKUP('Données projet'!$B$10,Paramètres!$A$1:$I$89,5,0)</f>
        <v>-3.9017322706058626E-13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623.31285537237943</v>
      </c>
      <c r="AO134" s="62">
        <f t="shared" si="144"/>
        <v>462.33909258902241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152.26995558411312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152.26995558411312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-1.7053025658242404E-13</v>
      </c>
      <c r="BE134" s="14">
        <f>BD134*VLOOKUP('Données projet'!$B$11,Paramètres!$A$1:$I$89,3,0)*VLOOKUP('Données projet'!$B$11,Paramètres!$A$1:$I$89,5,0)</f>
        <v>-1.3567387213697657E-13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299.10536994156814</v>
      </c>
      <c r="BJ134" s="62">
        <f t="shared" si="146"/>
        <v>292.57799203101769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44.201390824620326</v>
      </c>
      <c r="BQ134" s="23">
        <f>EXP(-LN(2)/25)*BQ133+(1-EXP(-LN(2)/25))/(LN(2)/25)*Calculateur!BL134*Calculateur!BN134*VLOOKUP('Données projet'!$B$11,Paramètres!$A$1:$I$89,3,0)*0.475*44/12</f>
        <v>0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44.201390824620326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2.8421709430404007E-14</v>
      </c>
      <c r="BZ134" s="14">
        <f>BY134*VLOOKUP('Données projet'!$B$12,Paramètres!$A$1:$I$89,3,0)*VLOOKUP('Données projet'!$B$12,Paramètres!$A$1:$I$89,5,0)</f>
        <v>2.2168933355715127E-14</v>
      </c>
      <c r="CA134" s="14">
        <f t="shared" si="147"/>
        <v>3.9687356123668477E-13</v>
      </c>
      <c r="CB134" s="22">
        <f t="shared" si="118"/>
        <v>7.2983234474842979E-13</v>
      </c>
      <c r="CC134" s="62">
        <f t="shared" si="119"/>
        <v>293.33333333333405</v>
      </c>
      <c r="CD134" s="62">
        <f ca="1">AVERAGE(OFFSET($CC$3,0,0,'Données projet'!$E$12+1,1))-AVERAGE(OFFSET($H$3,0,0,'Données projet'!$E$12+1,1))</f>
        <v>197.51529454208725</v>
      </c>
      <c r="CE134" s="62">
        <f t="shared" si="148"/>
        <v>196.65362486387215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23.415641928717886</v>
      </c>
      <c r="CL134" s="23">
        <f>EXP(-LN(2)/25)*CL133+(1-EXP(-LN(2)/25))/(LN(2)/25)*Calculateur!CG134*Calculateur!CI134*VLOOKUP('Données projet'!$B$12,Paramètres!$A$1:$I$89,3,0)*0.475*44/12</f>
        <v>0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23.415641928717886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-5.6843418860808015E-14</v>
      </c>
      <c r="CU134" s="18">
        <f>CT134*VLOOKUP('Données projet'!$B$13,Paramètres!$A$1:$I$89,3,0)*VLOOKUP('Données projet'!$B$13,Paramètres!$A$1:$I$89,5,0)</f>
        <v>-3.1036506698001178E-14</v>
      </c>
      <c r="CV134" s="14" t="e">
        <f t="shared" si="149"/>
        <v>#NUM!</v>
      </c>
      <c r="CW134" s="22" t="e">
        <f t="shared" si="121"/>
        <v>#NUM!</v>
      </c>
      <c r="CX134" s="62" t="e">
        <f t="shared" si="122"/>
        <v>#NUM!</v>
      </c>
      <c r="CY134" s="62">
        <f ca="1">AVERAGE(OFFSET($CX$3,0,0,'Données projet'!$E$13+1,1))-AVERAGE(OFFSET($H$3,0,0,'Données projet'!$E$13+1,1))</f>
        <v>303.14853302260451</v>
      </c>
      <c r="CZ134" s="62">
        <f t="shared" si="150"/>
        <v>298.74602928001929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68.899225670922533</v>
      </c>
      <c r="DG134" s="23">
        <f>EXP(-LN(2)/25)*DG133+(1-EXP(-LN(2)/25))/(LN(2)/25)*Calculateur!DB134*Calculateur!DD134*VLOOKUP('Données projet'!$B$13,Paramètres!$A$1:$I$89,3,0)*0.475*44/12</f>
        <v>9.60111154009582</v>
      </c>
      <c r="DH134" s="23">
        <f>EXP(-LN(2)/2)*DH133+(1-EXP(-LN(2)/2))/(LN(2)/2)*DB134*DE134*VLOOKUP('Données projet'!$B$13,Paramètres!$A$1:$I$89,3,0)*0.475*44/12</f>
        <v>4.8430986405299129E-7</v>
      </c>
      <c r="DI134" s="24">
        <f t="shared" si="123"/>
        <v>78.500337695328213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70">
        <f t="shared" si="110"/>
        <v>256.66666666666669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6.7133333333333338</v>
      </c>
      <c r="N135" s="14">
        <f>IF('Données projet'!$A$36&gt;35,N134+M135-V134,IF(A135&lt;'Données projet'!$A$36,$K$205^A135,IF(A135='Données projet'!$A$36,'Données projet'!$B$36,N134+M135-V134)))</f>
        <v>339.53333333333342</v>
      </c>
      <c r="O135" s="14">
        <f>N135*VLOOKUP('Données projet'!$B$9,Paramètres!$A$1:$I$89,3,0)*VLOOKUP('Données projet'!$B$9,Paramètres!$A$1:$I$89,5,0)</f>
        <v>307.20976000000007</v>
      </c>
      <c r="P135" s="14">
        <f t="shared" si="141"/>
        <v>72.685810726425274</v>
      </c>
      <c r="Q135" s="22">
        <f t="shared" si="108"/>
        <v>661.65145234852423</v>
      </c>
      <c r="R135" s="62">
        <f t="shared" si="109"/>
        <v>954.9847856818576</v>
      </c>
      <c r="S135" s="62">
        <f ca="1">AVERAGE(OFFSET($R$3,0,0,'Données projet'!$E$9+1,1))-AVERAGE(OFFSET($H$3,0,0,'Données projet'!$E$9+1,1))</f>
        <v>441.6145113257511</v>
      </c>
      <c r="T135" s="62">
        <f t="shared" si="142"/>
        <v>295.8399381972477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37.959230934930133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37.959230934930133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-4.5474735088646412E-13</v>
      </c>
      <c r="AJ135" s="14">
        <f>AI135*VLOOKUP('Données projet'!$B$10,Paramètres!$A$1:$I$89,3,0)*VLOOKUP('Données projet'!$B$10,Paramètres!$A$1:$I$89,5,0)</f>
        <v>-3.9017322706058626E-13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623.31285537237943</v>
      </c>
      <c r="AO135" s="62">
        <f t="shared" si="144"/>
        <v>462.33909258902241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149.28403463061088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149.28403463061088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-1.7053025658242404E-13</v>
      </c>
      <c r="BE135" s="14">
        <f>BD135*VLOOKUP('Données projet'!$B$11,Paramètres!$A$1:$I$89,3,0)*VLOOKUP('Données projet'!$B$11,Paramètres!$A$1:$I$89,5,0)</f>
        <v>-1.3567387213697657E-13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299.10536994156814</v>
      </c>
      <c r="BJ135" s="62">
        <f t="shared" si="146"/>
        <v>292.57799203101769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43.334628510735826</v>
      </c>
      <c r="BQ135" s="23">
        <f>EXP(-LN(2)/25)*BQ134+(1-EXP(-LN(2)/25))/(LN(2)/25)*Calculateur!BL135*Calculateur!BN135*VLOOKUP('Données projet'!$B$11,Paramètres!$A$1:$I$89,3,0)*0.475*44/12</f>
        <v>0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43.334628510735826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2.8421709430404007E-14</v>
      </c>
      <c r="BZ135" s="14">
        <f>BY135*VLOOKUP('Données projet'!$B$12,Paramètres!$A$1:$I$89,3,0)*VLOOKUP('Données projet'!$B$12,Paramètres!$A$1:$I$89,5,0)</f>
        <v>2.2168933355715127E-14</v>
      </c>
      <c r="CA135" s="14">
        <f t="shared" si="147"/>
        <v>3.9687356123668477E-13</v>
      </c>
      <c r="CB135" s="22">
        <f t="shared" si="118"/>
        <v>7.2983234474842979E-13</v>
      </c>
      <c r="CC135" s="62">
        <f t="shared" si="119"/>
        <v>293.33333333333405</v>
      </c>
      <c r="CD135" s="62">
        <f ca="1">AVERAGE(OFFSET($CC$3,0,0,'Données projet'!$E$12+1,1))-AVERAGE(OFFSET($H$3,0,0,'Données projet'!$E$12+1,1))</f>
        <v>197.51529454208725</v>
      </c>
      <c r="CE135" s="62">
        <f t="shared" si="148"/>
        <v>196.65362486387215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22.956475472627062</v>
      </c>
      <c r="CL135" s="23">
        <f>EXP(-LN(2)/25)*CL134+(1-EXP(-LN(2)/25))/(LN(2)/25)*Calculateur!CG135*Calculateur!CI135*VLOOKUP('Données projet'!$B$12,Paramètres!$A$1:$I$89,3,0)*0.475*44/12</f>
        <v>0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22.956475472627062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-5.6843418860808015E-14</v>
      </c>
      <c r="CU135" s="18">
        <f>CT135*VLOOKUP('Données projet'!$B$13,Paramètres!$A$1:$I$89,3,0)*VLOOKUP('Données projet'!$B$13,Paramètres!$A$1:$I$89,5,0)</f>
        <v>-3.1036506698001178E-14</v>
      </c>
      <c r="CV135" s="14" t="e">
        <f t="shared" si="149"/>
        <v>#NUM!</v>
      </c>
      <c r="CW135" s="22" t="e">
        <f t="shared" si="121"/>
        <v>#NUM!</v>
      </c>
      <c r="CX135" s="62" t="e">
        <f t="shared" si="122"/>
        <v>#NUM!</v>
      </c>
      <c r="CY135" s="62">
        <f ca="1">AVERAGE(OFFSET($CX$3,0,0,'Données projet'!$E$13+1,1))-AVERAGE(OFFSET($H$3,0,0,'Données projet'!$E$13+1,1))</f>
        <v>303.14853302260451</v>
      </c>
      <c r="CZ135" s="62">
        <f t="shared" si="150"/>
        <v>298.74602928001929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67.548153879893832</v>
      </c>
      <c r="DG135" s="23">
        <f>EXP(-LN(2)/25)*DG134+(1-EXP(-LN(2)/25))/(LN(2)/25)*Calculateur!DB135*Calculateur!DD135*VLOOKUP('Données projet'!$B$13,Paramètres!$A$1:$I$89,3,0)*0.475*44/12</f>
        <v>9.3385686401313883</v>
      </c>
      <c r="DH135" s="23">
        <f>EXP(-LN(2)/2)*DH134+(1-EXP(-LN(2)/2))/(LN(2)/2)*DB135*DE135*VLOOKUP('Données projet'!$B$13,Paramètres!$A$1:$I$89,3,0)*0.475*44/12</f>
        <v>3.4245878906740509E-7</v>
      </c>
      <c r="DI135" s="24">
        <f t="shared" si="123"/>
        <v>76.886722862484007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70">
        <f t="shared" si="110"/>
        <v>256.66666666666669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6.7133333333333338</v>
      </c>
      <c r="N136" s="14">
        <f>IF('Données projet'!$A$36&gt;35,N135+M136-V135,IF(A136&lt;'Données projet'!$A$36,$K$205^A136,IF(A136='Données projet'!$A$36,'Données projet'!$B$36,N135+M136-V135)))</f>
        <v>346.24666666666673</v>
      </c>
      <c r="O136" s="14">
        <f>N136*VLOOKUP('Données projet'!$B$9,Paramètres!$A$1:$I$89,3,0)*VLOOKUP('Données projet'!$B$9,Paramètres!$A$1:$I$89,5,0)</f>
        <v>313.28398400000003</v>
      </c>
      <c r="P136" s="14">
        <f t="shared" si="141"/>
        <v>73.954235554233009</v>
      </c>
      <c r="Q136" s="22">
        <f t="shared" si="108"/>
        <v>674.43989905695594</v>
      </c>
      <c r="R136" s="62">
        <f t="shared" si="109"/>
        <v>967.77323239028919</v>
      </c>
      <c r="S136" s="62">
        <f ca="1">AVERAGE(OFFSET($R$3,0,0,'Données projet'!$E$9+1,1))-AVERAGE(OFFSET($H$3,0,0,'Données projet'!$E$9+1,1))</f>
        <v>441.6145113257511</v>
      </c>
      <c r="T136" s="62">
        <f t="shared" si="142"/>
        <v>295.8399381972477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37.21487356914087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37.21487356914087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-4.5474735088646412E-13</v>
      </c>
      <c r="AJ136" s="14">
        <f>AI136*VLOOKUP('Données projet'!$B$10,Paramètres!$A$1:$I$89,3,0)*VLOOKUP('Données projet'!$B$10,Paramètres!$A$1:$I$89,5,0)</f>
        <v>-3.9017322706058626E-13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623.31285537237943</v>
      </c>
      <c r="AO136" s="62">
        <f t="shared" si="144"/>
        <v>462.33909258902241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146.35666576577486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146.35666576577486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-1.7053025658242404E-13</v>
      </c>
      <c r="BE136" s="14">
        <f>BD136*VLOOKUP('Données projet'!$B$11,Paramètres!$A$1:$I$89,3,0)*VLOOKUP('Données projet'!$B$11,Paramètres!$A$1:$I$89,5,0)</f>
        <v>-1.3567387213697657E-13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299.10536994156814</v>
      </c>
      <c r="BJ136" s="62">
        <f t="shared" si="146"/>
        <v>292.57799203101769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42.484862877153795</v>
      </c>
      <c r="BQ136" s="23">
        <f>EXP(-LN(2)/25)*BQ135+(1-EXP(-LN(2)/25))/(LN(2)/25)*Calculateur!BL136*Calculateur!BN136*VLOOKUP('Données projet'!$B$11,Paramètres!$A$1:$I$89,3,0)*0.475*44/12</f>
        <v>0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42.484862877153795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2.8421709430404007E-14</v>
      </c>
      <c r="BZ136" s="14">
        <f>BY136*VLOOKUP('Données projet'!$B$12,Paramètres!$A$1:$I$89,3,0)*VLOOKUP('Données projet'!$B$12,Paramètres!$A$1:$I$89,5,0)</f>
        <v>2.2168933355715127E-14</v>
      </c>
      <c r="CA136" s="14">
        <f t="shared" si="147"/>
        <v>3.9687356123668477E-13</v>
      </c>
      <c r="CB136" s="22">
        <f t="shared" si="118"/>
        <v>7.2983234474842979E-13</v>
      </c>
      <c r="CC136" s="62">
        <f t="shared" si="119"/>
        <v>293.33333333333405</v>
      </c>
      <c r="CD136" s="62">
        <f ca="1">AVERAGE(OFFSET($CC$3,0,0,'Données projet'!$E$12+1,1))-AVERAGE(OFFSET($H$3,0,0,'Données projet'!$E$12+1,1))</f>
        <v>197.51529454208725</v>
      </c>
      <c r="CE136" s="62">
        <f t="shared" si="148"/>
        <v>196.65362486387215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22.506312990676296</v>
      </c>
      <c r="CL136" s="23">
        <f>EXP(-LN(2)/25)*CL135+(1-EXP(-LN(2)/25))/(LN(2)/25)*Calculateur!CG136*Calculateur!CI136*VLOOKUP('Données projet'!$B$12,Paramètres!$A$1:$I$89,3,0)*0.475*44/12</f>
        <v>0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22.506312990676296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-5.6843418860808015E-14</v>
      </c>
      <c r="CU136" s="18">
        <f>CT136*VLOOKUP('Données projet'!$B$13,Paramètres!$A$1:$I$89,3,0)*VLOOKUP('Données projet'!$B$13,Paramètres!$A$1:$I$89,5,0)</f>
        <v>-3.1036506698001178E-14</v>
      </c>
      <c r="CV136" s="14" t="e">
        <f t="shared" si="149"/>
        <v>#NUM!</v>
      </c>
      <c r="CW136" s="22" t="e">
        <f t="shared" si="121"/>
        <v>#NUM!</v>
      </c>
      <c r="CX136" s="62" t="e">
        <f t="shared" si="122"/>
        <v>#NUM!</v>
      </c>
      <c r="CY136" s="62">
        <f ca="1">AVERAGE(OFFSET($CX$3,0,0,'Données projet'!$E$13+1,1))-AVERAGE(OFFSET($H$3,0,0,'Données projet'!$E$13+1,1))</f>
        <v>303.14853302260451</v>
      </c>
      <c r="CZ136" s="62">
        <f t="shared" si="150"/>
        <v>298.74602928001929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66.223575782614787</v>
      </c>
      <c r="DG136" s="23">
        <f>EXP(-LN(2)/25)*DG135+(1-EXP(-LN(2)/25))/(LN(2)/25)*Calculateur!DB136*Calculateur!DD136*VLOOKUP('Données projet'!$B$13,Paramètres!$A$1:$I$89,3,0)*0.475*44/12</f>
        <v>9.083204989573014</v>
      </c>
      <c r="DH136" s="23">
        <f>EXP(-LN(2)/2)*DH135+(1-EXP(-LN(2)/2))/(LN(2)/2)*DB136*DE136*VLOOKUP('Données projet'!$B$13,Paramètres!$A$1:$I$89,3,0)*0.475*44/12</f>
        <v>2.4215493202649565E-7</v>
      </c>
      <c r="DI136" s="24">
        <f t="shared" si="123"/>
        <v>75.306781014342732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70">
        <f t="shared" si="110"/>
        <v>256.66666666666669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6.7133333333333338</v>
      </c>
      <c r="N137" s="14">
        <f>IF('Données projet'!$A$36&gt;35,N136+M137-V136,IF(A137&lt;'Données projet'!$A$36,$K$205^A137,IF(A137='Données projet'!$A$36,'Données projet'!$B$36,N136+M137-V136)))</f>
        <v>352.96000000000004</v>
      </c>
      <c r="O137" s="14">
        <f>N137*VLOOKUP('Données projet'!$B$9,Paramètres!$A$1:$I$89,3,0)*VLOOKUP('Données projet'!$B$9,Paramètres!$A$1:$I$89,5,0)</f>
        <v>319.35820800000005</v>
      </c>
      <c r="P137" s="14">
        <f t="shared" si="141"/>
        <v>75.219800756874776</v>
      </c>
      <c r="Q137" s="22">
        <f t="shared" si="108"/>
        <v>687.22336525155697</v>
      </c>
      <c r="R137" s="62">
        <f t="shared" si="109"/>
        <v>980.55669858489023</v>
      </c>
      <c r="S137" s="62">
        <f ca="1">AVERAGE(OFFSET($R$3,0,0,'Données projet'!$E$9+1,1))-AVERAGE(OFFSET($H$3,0,0,'Données projet'!$E$9+1,1))</f>
        <v>441.6145113257511</v>
      </c>
      <c r="T137" s="62">
        <f t="shared" si="142"/>
        <v>295.8399381972477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36.485112597281571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36.485112597281571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-4.5474735088646412E-13</v>
      </c>
      <c r="AJ137" s="14">
        <f>AI137*VLOOKUP('Données projet'!$B$10,Paramètres!$A$1:$I$89,3,0)*VLOOKUP('Données projet'!$B$10,Paramètres!$A$1:$I$89,5,0)</f>
        <v>-3.9017322706058626E-13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623.31285537237943</v>
      </c>
      <c r="AO137" s="62">
        <f t="shared" si="144"/>
        <v>462.33909258902241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143.48670081885959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143.48670081885959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-1.7053025658242404E-13</v>
      </c>
      <c r="BE137" s="14">
        <f>BD137*VLOOKUP('Données projet'!$B$11,Paramètres!$A$1:$I$89,3,0)*VLOOKUP('Données projet'!$B$11,Paramètres!$A$1:$I$89,5,0)</f>
        <v>-1.3567387213697657E-13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299.10536994156814</v>
      </c>
      <c r="BJ137" s="62">
        <f t="shared" si="146"/>
        <v>292.57799203101769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41.651760629340444</v>
      </c>
      <c r="BQ137" s="23">
        <f>EXP(-LN(2)/25)*BQ136+(1-EXP(-LN(2)/25))/(LN(2)/25)*Calculateur!BL137*Calculateur!BN137*VLOOKUP('Données projet'!$B$11,Paramètres!$A$1:$I$89,3,0)*0.475*44/12</f>
        <v>0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41.651760629340444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2.8421709430404007E-14</v>
      </c>
      <c r="BZ137" s="14">
        <f>BY137*VLOOKUP('Données projet'!$B$12,Paramètres!$A$1:$I$89,3,0)*VLOOKUP('Données projet'!$B$12,Paramètres!$A$1:$I$89,5,0)</f>
        <v>2.2168933355715127E-14</v>
      </c>
      <c r="CA137" s="14">
        <f t="shared" si="147"/>
        <v>3.9687356123668477E-13</v>
      </c>
      <c r="CB137" s="22">
        <f t="shared" si="118"/>
        <v>7.2983234474842979E-13</v>
      </c>
      <c r="CC137" s="62">
        <f t="shared" si="119"/>
        <v>293.33333333333405</v>
      </c>
      <c r="CD137" s="62">
        <f ca="1">AVERAGE(OFFSET($CC$3,0,0,'Données projet'!$E$12+1,1))-AVERAGE(OFFSET($H$3,0,0,'Données projet'!$E$12+1,1))</f>
        <v>197.51529454208725</v>
      </c>
      <c r="CE137" s="62">
        <f t="shared" si="148"/>
        <v>196.65362486387215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22.064977920424582</v>
      </c>
      <c r="CL137" s="23">
        <f>EXP(-LN(2)/25)*CL136+(1-EXP(-LN(2)/25))/(LN(2)/25)*Calculateur!CG137*Calculateur!CI137*VLOOKUP('Données projet'!$B$12,Paramètres!$A$1:$I$89,3,0)*0.475*44/12</f>
        <v>0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22.064977920424582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-5.6843418860808015E-14</v>
      </c>
      <c r="CU137" s="18">
        <f>CT137*VLOOKUP('Données projet'!$B$13,Paramètres!$A$1:$I$89,3,0)*VLOOKUP('Données projet'!$B$13,Paramètres!$A$1:$I$89,5,0)</f>
        <v>-3.1036506698001178E-14</v>
      </c>
      <c r="CV137" s="14" t="e">
        <f t="shared" si="149"/>
        <v>#NUM!</v>
      </c>
      <c r="CW137" s="22" t="e">
        <f t="shared" si="121"/>
        <v>#NUM!</v>
      </c>
      <c r="CX137" s="62" t="e">
        <f t="shared" si="122"/>
        <v>#NUM!</v>
      </c>
      <c r="CY137" s="62">
        <f ca="1">AVERAGE(OFFSET($CX$3,0,0,'Données projet'!$E$13+1,1))-AVERAGE(OFFSET($H$3,0,0,'Données projet'!$E$13+1,1))</f>
        <v>303.14853302260451</v>
      </c>
      <c r="CZ137" s="62">
        <f t="shared" si="150"/>
        <v>298.74602928001929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64.92497185391052</v>
      </c>
      <c r="DG137" s="23">
        <f>EXP(-LN(2)/25)*DG136+(1-EXP(-LN(2)/25))/(LN(2)/25)*Calculateur!DB137*Calculateur!DD137*VLOOKUP('Données projet'!$B$13,Paramètres!$A$1:$I$89,3,0)*0.475*44/12</f>
        <v>8.8348242714681486</v>
      </c>
      <c r="DH137" s="23">
        <f>EXP(-LN(2)/2)*DH136+(1-EXP(-LN(2)/2))/(LN(2)/2)*DB137*DE137*VLOOKUP('Données projet'!$B$13,Paramètres!$A$1:$I$89,3,0)*0.475*44/12</f>
        <v>1.7122939453370255E-7</v>
      </c>
      <c r="DI137" s="24">
        <f t="shared" si="123"/>
        <v>73.759796296608059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70">
        <f t="shared" si="110"/>
        <v>256.66666666666669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6.7133333333333338</v>
      </c>
      <c r="N138" s="14">
        <f>IF('Données projet'!$A$36&gt;35,N137+M138-V137,IF(A138&lt;'Données projet'!$A$36,$K$205^A138,IF(A138='Données projet'!$A$36,'Données projet'!$B$36,N137+M138-V137)))</f>
        <v>359.67333333333335</v>
      </c>
      <c r="O138" s="14">
        <f>N138*VLOOKUP('Données projet'!$B$9,Paramètres!$A$1:$I$89,3,0)*VLOOKUP('Données projet'!$B$9,Paramètres!$A$1:$I$89,5,0)</f>
        <v>325.43243200000001</v>
      </c>
      <c r="P138" s="14">
        <f t="shared" si="141"/>
        <v>76.482566995945305</v>
      </c>
      <c r="Q138" s="22">
        <f t="shared" si="108"/>
        <v>700.00195658460473</v>
      </c>
      <c r="R138" s="62">
        <f t="shared" si="109"/>
        <v>993.3352899179381</v>
      </c>
      <c r="S138" s="62">
        <f ca="1">AVERAGE(OFFSET($R$3,0,0,'Données projet'!$E$9+1,1))-AVERAGE(OFFSET($H$3,0,0,'Données projet'!$E$9+1,1))</f>
        <v>441.6145113257511</v>
      </c>
      <c r="T138" s="62">
        <f t="shared" si="142"/>
        <v>295.8399381972477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35.76966179297019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35.76966179297019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-4.5474735088646412E-13</v>
      </c>
      <c r="AJ138" s="14">
        <f>AI138*VLOOKUP('Données projet'!$B$10,Paramètres!$A$1:$I$89,3,0)*VLOOKUP('Données projet'!$B$10,Paramètres!$A$1:$I$89,5,0)</f>
        <v>-3.9017322706058626E-13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623.31285537237943</v>
      </c>
      <c r="AO138" s="62">
        <f t="shared" si="144"/>
        <v>462.33909258902241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140.67301413404755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140.67301413404755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-1.7053025658242404E-13</v>
      </c>
      <c r="BE138" s="14">
        <f>BD138*VLOOKUP('Données projet'!$B$11,Paramètres!$A$1:$I$89,3,0)*VLOOKUP('Données projet'!$B$11,Paramètres!$A$1:$I$89,5,0)</f>
        <v>-1.3567387213697657E-13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299.10536994156814</v>
      </c>
      <c r="BJ138" s="62">
        <f t="shared" si="146"/>
        <v>292.57799203101769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40.834995008464517</v>
      </c>
      <c r="BQ138" s="23">
        <f>EXP(-LN(2)/25)*BQ137+(1-EXP(-LN(2)/25))/(LN(2)/25)*Calculateur!BL138*Calculateur!BN138*VLOOKUP('Données projet'!$B$11,Paramètres!$A$1:$I$89,3,0)*0.475*44/12</f>
        <v>0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40.834995008464517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2.8421709430404007E-14</v>
      </c>
      <c r="BZ138" s="14">
        <f>BY138*VLOOKUP('Données projet'!$B$12,Paramètres!$A$1:$I$89,3,0)*VLOOKUP('Données projet'!$B$12,Paramètres!$A$1:$I$89,5,0)</f>
        <v>2.2168933355715127E-14</v>
      </c>
      <c r="CA138" s="14">
        <f t="shared" si="147"/>
        <v>3.9687356123668477E-13</v>
      </c>
      <c r="CB138" s="22">
        <f t="shared" si="118"/>
        <v>7.2983234474842979E-13</v>
      </c>
      <c r="CC138" s="62">
        <f t="shared" si="119"/>
        <v>293.33333333333405</v>
      </c>
      <c r="CD138" s="62">
        <f ca="1">AVERAGE(OFFSET($CC$3,0,0,'Données projet'!$E$12+1,1))-AVERAGE(OFFSET($H$3,0,0,'Données projet'!$E$12+1,1))</f>
        <v>197.51529454208725</v>
      </c>
      <c r="CE138" s="62">
        <f t="shared" si="148"/>
        <v>196.65362486387215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21.632297161712689</v>
      </c>
      <c r="CL138" s="23">
        <f>EXP(-LN(2)/25)*CL137+(1-EXP(-LN(2)/25))/(LN(2)/25)*Calculateur!CG138*Calculateur!CI138*VLOOKUP('Données projet'!$B$12,Paramètres!$A$1:$I$89,3,0)*0.475*44/12</f>
        <v>0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21.632297161712689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-5.6843418860808015E-14</v>
      </c>
      <c r="CU138" s="18">
        <f>CT138*VLOOKUP('Données projet'!$B$13,Paramètres!$A$1:$I$89,3,0)*VLOOKUP('Données projet'!$B$13,Paramètres!$A$1:$I$89,5,0)</f>
        <v>-3.1036506698001178E-14</v>
      </c>
      <c r="CV138" s="14" t="e">
        <f t="shared" si="149"/>
        <v>#NUM!</v>
      </c>
      <c r="CW138" s="22" t="e">
        <f t="shared" si="121"/>
        <v>#NUM!</v>
      </c>
      <c r="CX138" s="62" t="e">
        <f t="shared" si="122"/>
        <v>#NUM!</v>
      </c>
      <c r="CY138" s="62">
        <f ca="1">AVERAGE(OFFSET($CX$3,0,0,'Données projet'!$E$13+1,1))-AVERAGE(OFFSET($H$3,0,0,'Données projet'!$E$13+1,1))</f>
        <v>303.14853302260451</v>
      </c>
      <c r="CZ138" s="62">
        <f t="shared" si="150"/>
        <v>298.74602928001929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63.65183275617796</v>
      </c>
      <c r="DG138" s="23">
        <f>EXP(-LN(2)/25)*DG137+(1-EXP(-LN(2)/25))/(LN(2)/25)*Calculateur!DB138*Calculateur!DD138*VLOOKUP('Données projet'!$B$13,Paramètres!$A$1:$I$89,3,0)*0.475*44/12</f>
        <v>8.593235537161636</v>
      </c>
      <c r="DH138" s="23">
        <f>EXP(-LN(2)/2)*DH137+(1-EXP(-LN(2)/2))/(LN(2)/2)*DB138*DE138*VLOOKUP('Données projet'!$B$13,Paramètres!$A$1:$I$89,3,0)*0.475*44/12</f>
        <v>1.2107746601324782E-7</v>
      </c>
      <c r="DI138" s="24">
        <f t="shared" si="123"/>
        <v>72.245068414417062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70">
        <f t="shared" si="110"/>
        <v>256.66666666666669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6.7133333333333338</v>
      </c>
      <c r="N139" s="14">
        <f>IF('Données projet'!$A$36&gt;35,N138+M139-V138,IF(A139&lt;'Données projet'!$A$36,$K$205^A139,IF(A139='Données projet'!$A$36,'Données projet'!$B$36,N138+M139-V138)))</f>
        <v>366.38666666666666</v>
      </c>
      <c r="O139" s="14">
        <f>N139*VLOOKUP('Données projet'!$B$9,Paramètres!$A$1:$I$89,3,0)*VLOOKUP('Données projet'!$B$9,Paramètres!$A$1:$I$89,5,0)</f>
        <v>331.50665599999996</v>
      </c>
      <c r="P139" s="14">
        <f t="shared" si="141"/>
        <v>77.742592538922509</v>
      </c>
      <c r="Q139" s="22">
        <f t="shared" si="108"/>
        <v>712.7757745386233</v>
      </c>
      <c r="R139" s="62">
        <f t="shared" si="109"/>
        <v>1006.1091078719567</v>
      </c>
      <c r="S139" s="62">
        <f ca="1">AVERAGE(OFFSET($R$3,0,0,'Données projet'!$E$9+1,1))-AVERAGE(OFFSET($H$3,0,0,'Données projet'!$E$9+1,1))</f>
        <v>441.6145113257511</v>
      </c>
      <c r="T139" s="62">
        <f t="shared" si="142"/>
        <v>295.8399381972477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35.068240542549454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35.068240542549454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-4.5474735088646412E-13</v>
      </c>
      <c r="AJ139" s="14">
        <f>AI139*VLOOKUP('Données projet'!$B$10,Paramètres!$A$1:$I$89,3,0)*VLOOKUP('Données projet'!$B$10,Paramètres!$A$1:$I$89,5,0)</f>
        <v>-3.9017322706058626E-13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623.31285537237943</v>
      </c>
      <c r="AO139" s="62">
        <f t="shared" si="144"/>
        <v>462.33909258902241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137.91450212894526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137.91450212894526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-1.7053025658242404E-13</v>
      </c>
      <c r="BE139" s="14">
        <f>BD139*VLOOKUP('Données projet'!$B$11,Paramètres!$A$1:$I$89,3,0)*VLOOKUP('Données projet'!$B$11,Paramètres!$A$1:$I$89,5,0)</f>
        <v>-1.3567387213697657E-13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299.10536994156814</v>
      </c>
      <c r="BJ139" s="62">
        <f t="shared" si="146"/>
        <v>292.57799203101769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40.034245663236135</v>
      </c>
      <c r="BQ139" s="23">
        <f>EXP(-LN(2)/25)*BQ138+(1-EXP(-LN(2)/25))/(LN(2)/25)*Calculateur!BL139*Calculateur!BN139*VLOOKUP('Données projet'!$B$11,Paramètres!$A$1:$I$89,3,0)*0.475*44/12</f>
        <v>0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40.034245663236135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2.8421709430404007E-14</v>
      </c>
      <c r="BZ139" s="14">
        <f>BY139*VLOOKUP('Données projet'!$B$12,Paramètres!$A$1:$I$89,3,0)*VLOOKUP('Données projet'!$B$12,Paramètres!$A$1:$I$89,5,0)</f>
        <v>2.2168933355715127E-14</v>
      </c>
      <c r="CA139" s="14">
        <f t="shared" si="147"/>
        <v>3.9687356123668477E-13</v>
      </c>
      <c r="CB139" s="22">
        <f t="shared" si="118"/>
        <v>7.2983234474842979E-13</v>
      </c>
      <c r="CC139" s="62">
        <f t="shared" si="119"/>
        <v>293.33333333333405</v>
      </c>
      <c r="CD139" s="62">
        <f ca="1">AVERAGE(OFFSET($CC$3,0,0,'Données projet'!$E$12+1,1))-AVERAGE(OFFSET($H$3,0,0,'Données projet'!$E$12+1,1))</f>
        <v>197.51529454208725</v>
      </c>
      <c r="CE139" s="62">
        <f t="shared" si="148"/>
        <v>196.65362486387215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21.208101008769933</v>
      </c>
      <c r="CL139" s="23">
        <f>EXP(-LN(2)/25)*CL138+(1-EXP(-LN(2)/25))/(LN(2)/25)*Calculateur!CG139*Calculateur!CI139*VLOOKUP('Données projet'!$B$12,Paramètres!$A$1:$I$89,3,0)*0.475*44/12</f>
        <v>0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21.208101008769933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-5.6843418860808015E-14</v>
      </c>
      <c r="CU139" s="18">
        <f>CT139*VLOOKUP('Données projet'!$B$13,Paramètres!$A$1:$I$89,3,0)*VLOOKUP('Données projet'!$B$13,Paramètres!$A$1:$I$89,5,0)</f>
        <v>-3.1036506698001178E-14</v>
      </c>
      <c r="CV139" s="14" t="e">
        <f t="shared" si="149"/>
        <v>#NUM!</v>
      </c>
      <c r="CW139" s="22" t="e">
        <f t="shared" si="121"/>
        <v>#NUM!</v>
      </c>
      <c r="CX139" s="62" t="e">
        <f t="shared" si="122"/>
        <v>#NUM!</v>
      </c>
      <c r="CY139" s="62">
        <f ca="1">AVERAGE(OFFSET($CX$3,0,0,'Données projet'!$E$13+1,1))-AVERAGE(OFFSET($H$3,0,0,'Données projet'!$E$13+1,1))</f>
        <v>303.14853302260451</v>
      </c>
      <c r="CZ139" s="62">
        <f t="shared" si="150"/>
        <v>298.74602928001929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62.403659139613758</v>
      </c>
      <c r="DG139" s="23">
        <f>EXP(-LN(2)/25)*DG138+(1-EXP(-LN(2)/25))/(LN(2)/25)*Calculateur!DB139*Calculateur!DD139*VLOOKUP('Données projet'!$B$13,Paramètres!$A$1:$I$89,3,0)*0.475*44/12</f>
        <v>8.3582530594993347</v>
      </c>
      <c r="DH139" s="23">
        <f>EXP(-LN(2)/2)*DH138+(1-EXP(-LN(2)/2))/(LN(2)/2)*DB139*DE139*VLOOKUP('Données projet'!$B$13,Paramètres!$A$1:$I$89,3,0)*0.475*44/12</f>
        <v>8.5614697266851273E-8</v>
      </c>
      <c r="DI139" s="24">
        <f t="shared" si="123"/>
        <v>70.761912284727799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70">
        <f t="shared" si="110"/>
        <v>256.66666666666669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>
        <f>VLOOKUP(A140,'Données projet'!$A$35:$I$55,2,0)</f>
        <v>373.1</v>
      </c>
      <c r="L140" s="13">
        <f>VLOOKUP(A140,'Données projet'!$A$35:$I$55,9,0)</f>
        <v>6.7133333333333338</v>
      </c>
      <c r="M140" s="13">
        <f t="array" ref="M140">INDEX(L:L,MIN(IF(ISNUMBER(L140:L336),ROW(L140:L336),"")))</f>
        <v>6.7133333333333338</v>
      </c>
      <c r="N140" s="14">
        <f>IF('Données projet'!$A$36&gt;35,N139+M140-V139,IF(A140&lt;'Données projet'!$A$36,$K$205^A140,IF(A140='Données projet'!$A$36,'Données projet'!$B$36,N139+M140-V139)))</f>
        <v>373.09999999999997</v>
      </c>
      <c r="O140" s="14">
        <f>N140*VLOOKUP('Données projet'!$B$9,Paramètres!$A$1:$I$89,3,0)*VLOOKUP('Données projet'!$B$9,Paramètres!$A$1:$I$89,5,0)</f>
        <v>337.58087999999998</v>
      </c>
      <c r="P140" s="14">
        <f t="shared" si="141"/>
        <v>78.99993339576065</v>
      </c>
      <c r="Q140" s="22">
        <f t="shared" si="108"/>
        <v>725.54491666428305</v>
      </c>
      <c r="R140" s="62">
        <f t="shared" si="109"/>
        <v>1018.8782499976164</v>
      </c>
      <c r="S140" s="62">
        <f ca="1">AVERAGE(OFFSET($R$3,0,0,'Données projet'!$E$9+1,1))-AVERAGE(OFFSET($H$3,0,0,'Données projet'!$E$9+1,1))</f>
        <v>441.6145113257511</v>
      </c>
      <c r="T140" s="62">
        <f t="shared" si="142"/>
        <v>295.8399381972477</v>
      </c>
      <c r="U140" s="16">
        <f>IF(ISNA(VLOOKUP(A140,'Données projet'!$A$35:$I$55,3,0)),0,VLOOKUP(A140,'Données projet'!$A$35:$I$55,3,0))</f>
        <v>11</v>
      </c>
      <c r="V140" s="16">
        <f>IF(ISNA(VLOOKUP(A140,'Données projet'!$A$35:$I$55,4,0)),0,VLOOKUP(A140,'Données projet'!$A$35:$I$55,4,0))</f>
        <v>65.53</v>
      </c>
      <c r="W140" s="17">
        <f>IF(ISNA(VLOOKUP(A140,'Données projet'!$A$35:$I$55,5,0)),0%,VLOOKUP(A140,'Données projet'!$A$35:$I$55,5,0)*VLOOKUP('Données projet'!$B$9,Paramètres!$A$1:$I$89,7,0))</f>
        <v>0.30099999999999999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54.109632475305915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54.109632475305915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-4.5474735088646412E-13</v>
      </c>
      <c r="AJ140" s="14">
        <f>AI140*VLOOKUP('Données projet'!$B$10,Paramètres!$A$1:$I$89,3,0)*VLOOKUP('Données projet'!$B$10,Paramètres!$A$1:$I$89,5,0)</f>
        <v>-3.9017322706058626E-13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623.31285537237943</v>
      </c>
      <c r="AO140" s="62">
        <f t="shared" si="144"/>
        <v>462.33909258902241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135.21008286173682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135.21008286173682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-1.7053025658242404E-13</v>
      </c>
      <c r="BE140" s="14">
        <f>BD140*VLOOKUP('Données projet'!$B$11,Paramètres!$A$1:$I$89,3,0)*VLOOKUP('Données projet'!$B$11,Paramètres!$A$1:$I$89,5,0)</f>
        <v>-1.3567387213697657E-13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299.10536994156814</v>
      </c>
      <c r="BJ140" s="62">
        <f t="shared" si="146"/>
        <v>292.57799203101769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39.249198524258802</v>
      </c>
      <c r="BQ140" s="23">
        <f>EXP(-LN(2)/25)*BQ139+(1-EXP(-LN(2)/25))/(LN(2)/25)*Calculateur!BL140*Calculateur!BN140*VLOOKUP('Données projet'!$B$11,Paramètres!$A$1:$I$89,3,0)*0.475*44/12</f>
        <v>0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39.249198524258802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2.8421709430404007E-14</v>
      </c>
      <c r="BZ140" s="14">
        <f>BY140*VLOOKUP('Données projet'!$B$12,Paramètres!$A$1:$I$89,3,0)*VLOOKUP('Données projet'!$B$12,Paramètres!$A$1:$I$89,5,0)</f>
        <v>2.2168933355715127E-14</v>
      </c>
      <c r="CA140" s="14">
        <f t="shared" si="147"/>
        <v>3.9687356123668477E-13</v>
      </c>
      <c r="CB140" s="22">
        <f t="shared" si="118"/>
        <v>7.2983234474842979E-13</v>
      </c>
      <c r="CC140" s="62">
        <f t="shared" si="119"/>
        <v>293.33333333333405</v>
      </c>
      <c r="CD140" s="62">
        <f ca="1">AVERAGE(OFFSET($CC$3,0,0,'Données projet'!$E$12+1,1))-AVERAGE(OFFSET($H$3,0,0,'Données projet'!$E$12+1,1))</f>
        <v>197.51529454208725</v>
      </c>
      <c r="CE140" s="62">
        <f t="shared" si="148"/>
        <v>196.65362486387215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20.792223083652278</v>
      </c>
      <c r="CL140" s="23">
        <f>EXP(-LN(2)/25)*CL139+(1-EXP(-LN(2)/25))/(LN(2)/25)*Calculateur!CG140*Calculateur!CI140*VLOOKUP('Données projet'!$B$12,Paramètres!$A$1:$I$89,3,0)*0.475*44/12</f>
        <v>0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20.792223083652278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-5.6843418860808015E-14</v>
      </c>
      <c r="CU140" s="18">
        <f>CT140*VLOOKUP('Données projet'!$B$13,Paramètres!$A$1:$I$89,3,0)*VLOOKUP('Données projet'!$B$13,Paramètres!$A$1:$I$89,5,0)</f>
        <v>-3.1036506698001178E-14</v>
      </c>
      <c r="CV140" s="14" t="e">
        <f t="shared" si="149"/>
        <v>#NUM!</v>
      </c>
      <c r="CW140" s="22" t="e">
        <f t="shared" si="121"/>
        <v>#NUM!</v>
      </c>
      <c r="CX140" s="62" t="e">
        <f t="shared" si="122"/>
        <v>#NUM!</v>
      </c>
      <c r="CY140" s="62">
        <f ca="1">AVERAGE(OFFSET($CX$3,0,0,'Données projet'!$E$13+1,1))-AVERAGE(OFFSET($H$3,0,0,'Données projet'!$E$13+1,1))</f>
        <v>303.14853302260451</v>
      </c>
      <c r="CZ140" s="62">
        <f t="shared" si="150"/>
        <v>298.74602928001929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61.179961446359648</v>
      </c>
      <c r="DG140" s="23">
        <f>EXP(-LN(2)/25)*DG139+(1-EXP(-LN(2)/25))/(LN(2)/25)*Calculateur!DB140*Calculateur!DD140*VLOOKUP('Données projet'!$B$13,Paramètres!$A$1:$I$89,3,0)*0.475*44/12</f>
        <v>8.1296961900458999</v>
      </c>
      <c r="DH140" s="23">
        <f>EXP(-LN(2)/2)*DH139+(1-EXP(-LN(2)/2))/(LN(2)/2)*DB140*DE140*VLOOKUP('Données projet'!$B$13,Paramètres!$A$1:$I$89,3,0)*0.475*44/12</f>
        <v>6.0538733006623911E-8</v>
      </c>
      <c r="DI140" s="24">
        <f t="shared" si="123"/>
        <v>69.309657696944285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70">
        <f t="shared" si="110"/>
        <v>256.66666666666669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6.5224999999999937</v>
      </c>
      <c r="N141" s="14">
        <f>IF('Données projet'!$A$36&gt;35,N140+M141-V140,IF(A141&lt;'Données projet'!$A$36,$K$205^A141,IF(A141='Données projet'!$A$36,'Données projet'!$B$36,N140+M141-V140)))</f>
        <v>314.09249999999997</v>
      </c>
      <c r="O141" s="14">
        <f>N141*VLOOKUP('Données projet'!$B$9,Paramètres!$A$1:$I$89,3,0)*VLOOKUP('Données projet'!$B$9,Paramètres!$A$1:$I$89,5,0)</f>
        <v>284.19089399999996</v>
      </c>
      <c r="P141" s="14">
        <f t="shared" si="141"/>
        <v>67.851898019027914</v>
      </c>
      <c r="Q141" s="22">
        <f t="shared" si="108"/>
        <v>613.14119609980673</v>
      </c>
      <c r="R141" s="62">
        <f t="shared" si="109"/>
        <v>906.47452943314011</v>
      </c>
      <c r="S141" s="62">
        <f ca="1">AVERAGE(OFFSET($R$3,0,0,'Données projet'!$E$9+1,1))-AVERAGE(OFFSET($H$3,0,0,'Données projet'!$E$9+1,1))</f>
        <v>441.6145113257511</v>
      </c>
      <c r="T141" s="62">
        <f t="shared" si="142"/>
        <v>295.8399381972477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53.048575586082137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53.048575586082137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-4.5474735088646412E-13</v>
      </c>
      <c r="AJ141" s="14">
        <f>AI141*VLOOKUP('Données projet'!$B$10,Paramètres!$A$1:$I$89,3,0)*VLOOKUP('Données projet'!$B$10,Paramètres!$A$1:$I$89,5,0)</f>
        <v>-3.9017322706058626E-13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623.31285537237943</v>
      </c>
      <c r="AO141" s="62">
        <f t="shared" si="144"/>
        <v>462.33909258902241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132.55869560682547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132.55869560682547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-1.7053025658242404E-13</v>
      </c>
      <c r="BE141" s="14">
        <f>BD141*VLOOKUP('Données projet'!$B$11,Paramètres!$A$1:$I$89,3,0)*VLOOKUP('Données projet'!$B$11,Paramètres!$A$1:$I$89,5,0)</f>
        <v>-1.3567387213697657E-13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299.10536994156814</v>
      </c>
      <c r="BJ141" s="62">
        <f t="shared" si="146"/>
        <v>292.57799203101769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38.479545680845341</v>
      </c>
      <c r="BQ141" s="23">
        <f>EXP(-LN(2)/25)*BQ140+(1-EXP(-LN(2)/25))/(LN(2)/25)*Calculateur!BL141*Calculateur!BN141*VLOOKUP('Données projet'!$B$11,Paramètres!$A$1:$I$89,3,0)*0.475*44/12</f>
        <v>0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38.479545680845341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2.8421709430404007E-14</v>
      </c>
      <c r="BZ141" s="14">
        <f>BY141*VLOOKUP('Données projet'!$B$12,Paramètres!$A$1:$I$89,3,0)*VLOOKUP('Données projet'!$B$12,Paramètres!$A$1:$I$89,5,0)</f>
        <v>2.2168933355715127E-14</v>
      </c>
      <c r="CA141" s="14">
        <f t="shared" si="147"/>
        <v>3.9687356123668477E-13</v>
      </c>
      <c r="CB141" s="22">
        <f t="shared" si="118"/>
        <v>7.2983234474842979E-13</v>
      </c>
      <c r="CC141" s="62">
        <f t="shared" si="119"/>
        <v>293.33333333333405</v>
      </c>
      <c r="CD141" s="62">
        <f ca="1">AVERAGE(OFFSET($CC$3,0,0,'Données projet'!$E$12+1,1))-AVERAGE(OFFSET($H$3,0,0,'Données projet'!$E$12+1,1))</f>
        <v>197.51529454208725</v>
      </c>
      <c r="CE141" s="62">
        <f t="shared" si="148"/>
        <v>196.65362486387215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20.384500270985694</v>
      </c>
      <c r="CL141" s="23">
        <f>EXP(-LN(2)/25)*CL140+(1-EXP(-LN(2)/25))/(LN(2)/25)*Calculateur!CG141*Calculateur!CI141*VLOOKUP('Données projet'!$B$12,Paramètres!$A$1:$I$89,3,0)*0.475*44/12</f>
        <v>0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20.384500270985694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-5.6843418860808015E-14</v>
      </c>
      <c r="CU141" s="18">
        <f>CT141*VLOOKUP('Données projet'!$B$13,Paramètres!$A$1:$I$89,3,0)*VLOOKUP('Données projet'!$B$13,Paramètres!$A$1:$I$89,5,0)</f>
        <v>-3.1036506698001178E-14</v>
      </c>
      <c r="CV141" s="14" t="e">
        <f t="shared" si="149"/>
        <v>#NUM!</v>
      </c>
      <c r="CW141" s="22" t="e">
        <f t="shared" si="121"/>
        <v>#NUM!</v>
      </c>
      <c r="CX141" s="62" t="e">
        <f t="shared" si="122"/>
        <v>#NUM!</v>
      </c>
      <c r="CY141" s="62">
        <f ca="1">AVERAGE(OFFSET($CX$3,0,0,'Données projet'!$E$13+1,1))-AVERAGE(OFFSET($H$3,0,0,'Données projet'!$E$13+1,1))</f>
        <v>303.14853302260451</v>
      </c>
      <c r="CZ141" s="62">
        <f t="shared" si="150"/>
        <v>298.74602928001929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59.980259718488362</v>
      </c>
      <c r="DG141" s="23">
        <f>EXP(-LN(2)/25)*DG140+(1-EXP(-LN(2)/25))/(LN(2)/25)*Calculateur!DB141*Calculateur!DD141*VLOOKUP('Données projet'!$B$13,Paramètres!$A$1:$I$89,3,0)*0.475*44/12</f>
        <v>7.9073892202069525</v>
      </c>
      <c r="DH141" s="23">
        <f>EXP(-LN(2)/2)*DH140+(1-EXP(-LN(2)/2))/(LN(2)/2)*DB141*DE141*VLOOKUP('Données projet'!$B$13,Paramètres!$A$1:$I$89,3,0)*0.475*44/12</f>
        <v>4.2807348633425637E-8</v>
      </c>
      <c r="DI141" s="24">
        <f t="shared" si="123"/>
        <v>67.887648981502664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70">
        <f t="shared" si="110"/>
        <v>256.66666666666669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6.5224999999999937</v>
      </c>
      <c r="N142" s="14">
        <f>IF('Données projet'!$A$36&gt;35,N141+M142-V141,IF(A142&lt;'Données projet'!$A$36,$K$205^A142,IF(A142='Données projet'!$A$36,'Données projet'!$B$36,N141+M142-V141)))</f>
        <v>320.61499999999995</v>
      </c>
      <c r="O142" s="14">
        <f>N142*VLOOKUP('Données projet'!$B$9,Paramètres!$A$1:$I$89,3,0)*VLOOKUP('Données projet'!$B$9,Paramètres!$A$1:$I$89,5,0)</f>
        <v>290.09245199999992</v>
      </c>
      <c r="P142" s="14">
        <f t="shared" si="141"/>
        <v>69.095418791455359</v>
      </c>
      <c r="Q142" s="22">
        <f t="shared" si="108"/>
        <v>625.58554162845132</v>
      </c>
      <c r="R142" s="62">
        <f t="shared" si="109"/>
        <v>918.9188749617847</v>
      </c>
      <c r="S142" s="62">
        <f ca="1">AVERAGE(OFFSET($R$3,0,0,'Données projet'!$E$9+1,1))-AVERAGE(OFFSET($H$3,0,0,'Données projet'!$E$9+1,1))</f>
        <v>441.6145113257511</v>
      </c>
      <c r="T142" s="62">
        <f t="shared" si="142"/>
        <v>295.8399381972477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52.008325375275241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52.008325375275241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-4.5474735088646412E-13</v>
      </c>
      <c r="AJ142" s="14">
        <f>AI142*VLOOKUP('Données projet'!$B$10,Paramètres!$A$1:$I$89,3,0)*VLOOKUP('Données projet'!$B$10,Paramètres!$A$1:$I$89,5,0)</f>
        <v>-3.9017322706058626E-13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623.31285537237943</v>
      </c>
      <c r="AO142" s="62">
        <f t="shared" si="144"/>
        <v>462.33909258902241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129.95930043879639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129.95930043879639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-1.7053025658242404E-13</v>
      </c>
      <c r="BE142" s="14">
        <f>BD142*VLOOKUP('Données projet'!$B$11,Paramètres!$A$1:$I$89,3,0)*VLOOKUP('Données projet'!$B$11,Paramètres!$A$1:$I$89,5,0)</f>
        <v>-1.3567387213697657E-13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299.10536994156814</v>
      </c>
      <c r="BJ142" s="62">
        <f t="shared" si="146"/>
        <v>292.57799203101769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37.724985260249341</v>
      </c>
      <c r="BQ142" s="23">
        <f>EXP(-LN(2)/25)*BQ141+(1-EXP(-LN(2)/25))/(LN(2)/25)*Calculateur!BL142*Calculateur!BN142*VLOOKUP('Données projet'!$B$11,Paramètres!$A$1:$I$89,3,0)*0.475*44/12</f>
        <v>0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37.724985260249341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2.8421709430404007E-14</v>
      </c>
      <c r="BZ142" s="14">
        <f>BY142*VLOOKUP('Données projet'!$B$12,Paramètres!$A$1:$I$89,3,0)*VLOOKUP('Données projet'!$B$12,Paramètres!$A$1:$I$89,5,0)</f>
        <v>2.2168933355715127E-14</v>
      </c>
      <c r="CA142" s="14">
        <f t="shared" si="147"/>
        <v>3.9687356123668477E-13</v>
      </c>
      <c r="CB142" s="22">
        <f t="shared" si="118"/>
        <v>7.2983234474842979E-13</v>
      </c>
      <c r="CC142" s="62">
        <f t="shared" si="119"/>
        <v>293.33333333333405</v>
      </c>
      <c r="CD142" s="62">
        <f ca="1">AVERAGE(OFFSET($CC$3,0,0,'Données projet'!$E$12+1,1))-AVERAGE(OFFSET($H$3,0,0,'Données projet'!$E$12+1,1))</f>
        <v>197.51529454208725</v>
      </c>
      <c r="CE142" s="62">
        <f t="shared" si="148"/>
        <v>196.65362486387215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19.98477265398914</v>
      </c>
      <c r="CL142" s="23">
        <f>EXP(-LN(2)/25)*CL141+(1-EXP(-LN(2)/25))/(LN(2)/25)*Calculateur!CG142*Calculateur!CI142*VLOOKUP('Données projet'!$B$12,Paramètres!$A$1:$I$89,3,0)*0.475*44/12</f>
        <v>0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19.98477265398914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-5.6843418860808015E-14</v>
      </c>
      <c r="CU142" s="18">
        <f>CT142*VLOOKUP('Données projet'!$B$13,Paramètres!$A$1:$I$89,3,0)*VLOOKUP('Données projet'!$B$13,Paramètres!$A$1:$I$89,5,0)</f>
        <v>-3.1036506698001178E-14</v>
      </c>
      <c r="CV142" s="14" t="e">
        <f t="shared" si="149"/>
        <v>#NUM!</v>
      </c>
      <c r="CW142" s="22" t="e">
        <f t="shared" si="121"/>
        <v>#NUM!</v>
      </c>
      <c r="CX142" s="62" t="e">
        <f t="shared" si="122"/>
        <v>#NUM!</v>
      </c>
      <c r="CY142" s="62">
        <f ca="1">AVERAGE(OFFSET($CX$3,0,0,'Données projet'!$E$13+1,1))-AVERAGE(OFFSET($H$3,0,0,'Données projet'!$E$13+1,1))</f>
        <v>303.14853302260451</v>
      </c>
      <c r="CZ142" s="62">
        <f t="shared" si="150"/>
        <v>298.74602928001929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58.804083409754831</v>
      </c>
      <c r="DG142" s="23">
        <f>EXP(-LN(2)/25)*DG141+(1-EXP(-LN(2)/25))/(LN(2)/25)*Calculateur!DB142*Calculateur!DD142*VLOOKUP('Données projet'!$B$13,Paramètres!$A$1:$I$89,3,0)*0.475*44/12</f>
        <v>7.6911612461488668</v>
      </c>
      <c r="DH142" s="23">
        <f>EXP(-LN(2)/2)*DH141+(1-EXP(-LN(2)/2))/(LN(2)/2)*DB142*DE142*VLOOKUP('Données projet'!$B$13,Paramètres!$A$1:$I$89,3,0)*0.475*44/12</f>
        <v>3.0269366503311956E-8</v>
      </c>
      <c r="DI142" s="24">
        <f t="shared" si="123"/>
        <v>66.495244686173066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70">
        <f t="shared" si="110"/>
        <v>256.66666666666669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6.5224999999999937</v>
      </c>
      <c r="N143" s="14">
        <f>IF('Données projet'!$A$36&gt;35,N142+M143-V142,IF(A143&lt;'Données projet'!$A$36,$K$205^A143,IF(A143='Données projet'!$A$36,'Données projet'!$B$36,N142+M143-V142)))</f>
        <v>327.13749999999993</v>
      </c>
      <c r="O143" s="14">
        <f>N143*VLOOKUP('Données projet'!$B$9,Paramètres!$A$1:$I$89,3,0)*VLOOKUP('Données projet'!$B$9,Paramètres!$A$1:$I$89,5,0)</f>
        <v>295.99400999999995</v>
      </c>
      <c r="P143" s="14">
        <f t="shared" si="141"/>
        <v>70.335998165580676</v>
      </c>
      <c r="Q143" s="22">
        <f t="shared" si="108"/>
        <v>638.02476422171958</v>
      </c>
      <c r="R143" s="62">
        <f t="shared" si="109"/>
        <v>931.35809755505284</v>
      </c>
      <c r="S143" s="62">
        <f ca="1">AVERAGE(OFFSET($R$3,0,0,'Données projet'!$E$9+1,1))-AVERAGE(OFFSET($H$3,0,0,'Données projet'!$E$9+1,1))</f>
        <v>441.6145113257511</v>
      </c>
      <c r="T143" s="62">
        <f t="shared" si="142"/>
        <v>295.8399381972477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50.988473836612293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50.988473836612293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-4.5474735088646412E-13</v>
      </c>
      <c r="AJ143" s="14">
        <f>AI143*VLOOKUP('Données projet'!$B$10,Paramètres!$A$1:$I$89,3,0)*VLOOKUP('Données projet'!$B$10,Paramètres!$A$1:$I$89,5,0)</f>
        <v>-3.9017322706058626E-13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623.31285537237943</v>
      </c>
      <c r="AO143" s="62">
        <f t="shared" si="144"/>
        <v>462.33909258902241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127.41087782453786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127.41087782453786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-1.7053025658242404E-13</v>
      </c>
      <c r="BE143" s="14">
        <f>BD143*VLOOKUP('Données projet'!$B$11,Paramètres!$A$1:$I$89,3,0)*VLOOKUP('Données projet'!$B$11,Paramètres!$A$1:$I$89,5,0)</f>
        <v>-1.3567387213697657E-13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299.10536994156814</v>
      </c>
      <c r="BJ143" s="62">
        <f t="shared" si="146"/>
        <v>292.57799203101769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36.985221309264816</v>
      </c>
      <c r="BQ143" s="23">
        <f>EXP(-LN(2)/25)*BQ142+(1-EXP(-LN(2)/25))/(LN(2)/25)*Calculateur!BL143*Calculateur!BN143*VLOOKUP('Données projet'!$B$11,Paramètres!$A$1:$I$89,3,0)*0.475*44/12</f>
        <v>0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36.985221309264816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2.8421709430404007E-14</v>
      </c>
      <c r="BZ143" s="14">
        <f>BY143*VLOOKUP('Données projet'!$B$12,Paramètres!$A$1:$I$89,3,0)*VLOOKUP('Données projet'!$B$12,Paramètres!$A$1:$I$89,5,0)</f>
        <v>2.2168933355715127E-14</v>
      </c>
      <c r="CA143" s="14">
        <f t="shared" si="147"/>
        <v>3.9687356123668477E-13</v>
      </c>
      <c r="CB143" s="22">
        <f t="shared" si="118"/>
        <v>7.2983234474842979E-13</v>
      </c>
      <c r="CC143" s="62">
        <f t="shared" si="119"/>
        <v>293.33333333333405</v>
      </c>
      <c r="CD143" s="62">
        <f ca="1">AVERAGE(OFFSET($CC$3,0,0,'Données projet'!$E$12+1,1))-AVERAGE(OFFSET($H$3,0,0,'Données projet'!$E$12+1,1))</f>
        <v>197.51529454208725</v>
      </c>
      <c r="CE143" s="62">
        <f t="shared" si="148"/>
        <v>196.65362486387215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19.592883451752119</v>
      </c>
      <c r="CL143" s="23">
        <f>EXP(-LN(2)/25)*CL142+(1-EXP(-LN(2)/25))/(LN(2)/25)*Calculateur!CG143*Calculateur!CI143*VLOOKUP('Données projet'!$B$12,Paramètres!$A$1:$I$89,3,0)*0.475*44/12</f>
        <v>0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19.592883451752119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-5.6843418860808015E-14</v>
      </c>
      <c r="CU143" s="18">
        <f>CT143*VLOOKUP('Données projet'!$B$13,Paramètres!$A$1:$I$89,3,0)*VLOOKUP('Données projet'!$B$13,Paramètres!$A$1:$I$89,5,0)</f>
        <v>-3.1036506698001178E-14</v>
      </c>
      <c r="CV143" s="14" t="e">
        <f t="shared" si="149"/>
        <v>#NUM!</v>
      </c>
      <c r="CW143" s="22" t="e">
        <f t="shared" si="121"/>
        <v>#NUM!</v>
      </c>
      <c r="CX143" s="62" t="e">
        <f t="shared" si="122"/>
        <v>#NUM!</v>
      </c>
      <c r="CY143" s="62">
        <f ca="1">AVERAGE(OFFSET($CX$3,0,0,'Données projet'!$E$13+1,1))-AVERAGE(OFFSET($H$3,0,0,'Données projet'!$E$13+1,1))</f>
        <v>303.14853302260451</v>
      </c>
      <c r="CZ143" s="62">
        <f t="shared" si="150"/>
        <v>298.74602928001929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57.65097120103885</v>
      </c>
      <c r="DG143" s="23">
        <f>EXP(-LN(2)/25)*DG142+(1-EXP(-LN(2)/25))/(LN(2)/25)*Calculateur!DB143*Calculateur!DD143*VLOOKUP('Données projet'!$B$13,Paramètres!$A$1:$I$89,3,0)*0.475*44/12</f>
        <v>7.4808460374123342</v>
      </c>
      <c r="DH143" s="23">
        <f>EXP(-LN(2)/2)*DH142+(1-EXP(-LN(2)/2))/(LN(2)/2)*DB143*DE143*VLOOKUP('Données projet'!$B$13,Paramètres!$A$1:$I$89,3,0)*0.475*44/12</f>
        <v>2.1403674316712818E-8</v>
      </c>
      <c r="DI143" s="24">
        <f t="shared" si="123"/>
        <v>65.13181725985487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70">
        <f t="shared" si="110"/>
        <v>256.66666666666669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6.5224999999999937</v>
      </c>
      <c r="N144" s="14">
        <f>IF('Données projet'!$A$36&gt;35,N143+M144-V143,IF(A144&lt;'Données projet'!$A$36,$K$205^A144,IF(A144='Données projet'!$A$36,'Données projet'!$B$36,N143+M144-V143)))</f>
        <v>333.65999999999991</v>
      </c>
      <c r="O144" s="14">
        <f>N144*VLOOKUP('Données projet'!$B$9,Paramètres!$A$1:$I$89,3,0)*VLOOKUP('Données projet'!$B$9,Paramètres!$A$1:$I$89,5,0)</f>
        <v>301.89556799999991</v>
      </c>
      <c r="P144" s="14">
        <f t="shared" si="141"/>
        <v>71.573701546508047</v>
      </c>
      <c r="Q144" s="22">
        <f t="shared" si="108"/>
        <v>650.45897779350139</v>
      </c>
      <c r="R144" s="62">
        <f t="shared" si="109"/>
        <v>943.79231112683465</v>
      </c>
      <c r="S144" s="62">
        <f ca="1">AVERAGE(OFFSET($R$3,0,0,'Données projet'!$E$9+1,1))-AVERAGE(OFFSET($H$3,0,0,'Données projet'!$E$9+1,1))</f>
        <v>441.6145113257511</v>
      </c>
      <c r="T144" s="62">
        <f t="shared" si="142"/>
        <v>295.8399381972477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49.988620964574508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49.988620964574508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-4.5474735088646412E-13</v>
      </c>
      <c r="AJ144" s="14">
        <f>AI144*VLOOKUP('Données projet'!$B$10,Paramètres!$A$1:$I$89,3,0)*VLOOKUP('Données projet'!$B$10,Paramètres!$A$1:$I$89,5,0)</f>
        <v>-3.9017322706058626E-13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623.31285537237943</v>
      </c>
      <c r="AO144" s="62">
        <f t="shared" si="144"/>
        <v>462.33909258902241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124.91242822336064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124.91242822336064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-1.7053025658242404E-13</v>
      </c>
      <c r="BE144" s="14">
        <f>BD144*VLOOKUP('Données projet'!$B$11,Paramètres!$A$1:$I$89,3,0)*VLOOKUP('Données projet'!$B$11,Paramètres!$A$1:$I$89,5,0)</f>
        <v>-1.3567387213697657E-13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299.10536994156814</v>
      </c>
      <c r="BJ144" s="62">
        <f t="shared" si="146"/>
        <v>292.57799203101769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36.259963678147642</v>
      </c>
      <c r="BQ144" s="23">
        <f>EXP(-LN(2)/25)*BQ143+(1-EXP(-LN(2)/25))/(LN(2)/25)*Calculateur!BL144*Calculateur!BN144*VLOOKUP('Données projet'!$B$11,Paramètres!$A$1:$I$89,3,0)*0.475*44/12</f>
        <v>0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36.259963678147642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2.8421709430404007E-14</v>
      </c>
      <c r="BZ144" s="14">
        <f>BY144*VLOOKUP('Données projet'!$B$12,Paramètres!$A$1:$I$89,3,0)*VLOOKUP('Données projet'!$B$12,Paramètres!$A$1:$I$89,5,0)</f>
        <v>2.2168933355715127E-14</v>
      </c>
      <c r="CA144" s="14">
        <f t="shared" si="147"/>
        <v>3.9687356123668477E-13</v>
      </c>
      <c r="CB144" s="22">
        <f t="shared" si="118"/>
        <v>7.2983234474842979E-13</v>
      </c>
      <c r="CC144" s="62">
        <f t="shared" si="119"/>
        <v>293.33333333333405</v>
      </c>
      <c r="CD144" s="62">
        <f ca="1">AVERAGE(OFFSET($CC$3,0,0,'Données projet'!$E$12+1,1))-AVERAGE(OFFSET($H$3,0,0,'Données projet'!$E$12+1,1))</f>
        <v>197.51529454208725</v>
      </c>
      <c r="CE144" s="62">
        <f t="shared" si="148"/>
        <v>196.65362486387215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19.208678957742155</v>
      </c>
      <c r="CL144" s="23">
        <f>EXP(-LN(2)/25)*CL143+(1-EXP(-LN(2)/25))/(LN(2)/25)*Calculateur!CG144*Calculateur!CI144*VLOOKUP('Données projet'!$B$12,Paramètres!$A$1:$I$89,3,0)*0.475*44/12</f>
        <v>0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19.208678957742155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-5.6843418860808015E-14</v>
      </c>
      <c r="CU144" s="18">
        <f>CT144*VLOOKUP('Données projet'!$B$13,Paramètres!$A$1:$I$89,3,0)*VLOOKUP('Données projet'!$B$13,Paramètres!$A$1:$I$89,5,0)</f>
        <v>-3.1036506698001178E-14</v>
      </c>
      <c r="CV144" s="14" t="e">
        <f t="shared" si="149"/>
        <v>#NUM!</v>
      </c>
      <c r="CW144" s="22" t="e">
        <f t="shared" si="121"/>
        <v>#NUM!</v>
      </c>
      <c r="CX144" s="62" t="e">
        <f t="shared" si="122"/>
        <v>#NUM!</v>
      </c>
      <c r="CY144" s="62">
        <f ca="1">AVERAGE(OFFSET($CX$3,0,0,'Données projet'!$E$13+1,1))-AVERAGE(OFFSET($H$3,0,0,'Données projet'!$E$13+1,1))</f>
        <v>303.14853302260451</v>
      </c>
      <c r="CZ144" s="62">
        <f t="shared" si="150"/>
        <v>298.74602928001929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56.520470819406789</v>
      </c>
      <c r="DG144" s="23">
        <f>EXP(-LN(2)/25)*DG143+(1-EXP(-LN(2)/25))/(LN(2)/25)*Calculateur!DB144*Calculateur!DD144*VLOOKUP('Données projet'!$B$13,Paramètres!$A$1:$I$89,3,0)*0.475*44/12</f>
        <v>7.2762819091186985</v>
      </c>
      <c r="DH144" s="23">
        <f>EXP(-LN(2)/2)*DH143+(1-EXP(-LN(2)/2))/(LN(2)/2)*DB144*DE144*VLOOKUP('Données projet'!$B$13,Paramètres!$A$1:$I$89,3,0)*0.475*44/12</f>
        <v>1.5134683251655978E-8</v>
      </c>
      <c r="DI144" s="24">
        <f t="shared" si="123"/>
        <v>63.796752743660171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70">
        <f t="shared" si="110"/>
        <v>256.66666666666669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6.5224999999999937</v>
      </c>
      <c r="N145" s="14">
        <f>IF('Données projet'!$A$36&gt;35,N144+M145-V144,IF(A145&lt;'Données projet'!$A$36,$K$205^A145,IF(A145='Données projet'!$A$36,'Données projet'!$B$36,N144+M145-V144)))</f>
        <v>340.18249999999989</v>
      </c>
      <c r="O145" s="14">
        <f>N145*VLOOKUP('Données projet'!$B$9,Paramètres!$A$1:$I$89,3,0)*VLOOKUP('Données projet'!$B$9,Paramètres!$A$1:$I$89,5,0)</f>
        <v>307.79712599999993</v>
      </c>
      <c r="P145" s="14">
        <f t="shared" si="141"/>
        <v>72.808591635954159</v>
      </c>
      <c r="Q145" s="22">
        <f t="shared" si="108"/>
        <v>662.88829154928669</v>
      </c>
      <c r="R145" s="62">
        <f t="shared" si="109"/>
        <v>956.22162488262006</v>
      </c>
      <c r="S145" s="62">
        <f ca="1">AVERAGE(OFFSET($R$3,0,0,'Données projet'!$E$9+1,1))-AVERAGE(OFFSET($H$3,0,0,'Données projet'!$E$9+1,1))</f>
        <v>441.6145113257511</v>
      </c>
      <c r="T145" s="62">
        <f t="shared" si="142"/>
        <v>295.8399381972477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49.008374597507348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49.008374597507348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-4.5474735088646412E-13</v>
      </c>
      <c r="AJ145" s="14">
        <f>AI145*VLOOKUP('Données projet'!$B$10,Paramètres!$A$1:$I$89,3,0)*VLOOKUP('Données projet'!$B$10,Paramètres!$A$1:$I$89,5,0)</f>
        <v>-3.9017322706058626E-13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623.31285537237943</v>
      </c>
      <c r="AO145" s="62">
        <f t="shared" si="144"/>
        <v>462.33909258902241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122.46297169495871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122.46297169495871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-1.7053025658242404E-13</v>
      </c>
      <c r="BE145" s="14">
        <f>BD145*VLOOKUP('Données projet'!$B$11,Paramètres!$A$1:$I$89,3,0)*VLOOKUP('Données projet'!$B$11,Paramètres!$A$1:$I$89,5,0)</f>
        <v>-1.3567387213697657E-13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299.10536994156814</v>
      </c>
      <c r="BJ145" s="62">
        <f t="shared" si="146"/>
        <v>292.57799203101769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35.548927906813198</v>
      </c>
      <c r="BQ145" s="23">
        <f>EXP(-LN(2)/25)*BQ144+(1-EXP(-LN(2)/25))/(LN(2)/25)*Calculateur!BL145*Calculateur!BN145*VLOOKUP('Données projet'!$B$11,Paramètres!$A$1:$I$89,3,0)*0.475*44/12</f>
        <v>0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35.548927906813198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2.8421709430404007E-14</v>
      </c>
      <c r="BZ145" s="14">
        <f>BY145*VLOOKUP('Données projet'!$B$12,Paramètres!$A$1:$I$89,3,0)*VLOOKUP('Données projet'!$B$12,Paramètres!$A$1:$I$89,5,0)</f>
        <v>2.2168933355715127E-14</v>
      </c>
      <c r="CA145" s="14">
        <f t="shared" si="147"/>
        <v>3.9687356123668477E-13</v>
      </c>
      <c r="CB145" s="22">
        <f t="shared" si="118"/>
        <v>7.2983234474842979E-13</v>
      </c>
      <c r="CC145" s="62">
        <f t="shared" si="119"/>
        <v>293.33333333333405</v>
      </c>
      <c r="CD145" s="62">
        <f ca="1">AVERAGE(OFFSET($CC$3,0,0,'Données projet'!$E$12+1,1))-AVERAGE(OFFSET($H$3,0,0,'Données projet'!$E$12+1,1))</f>
        <v>197.51529454208725</v>
      </c>
      <c r="CE145" s="62">
        <f t="shared" si="148"/>
        <v>196.65362486387215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18.832008479518123</v>
      </c>
      <c r="CL145" s="23">
        <f>EXP(-LN(2)/25)*CL144+(1-EXP(-LN(2)/25))/(LN(2)/25)*Calculateur!CG145*Calculateur!CI145*VLOOKUP('Données projet'!$B$12,Paramètres!$A$1:$I$89,3,0)*0.475*44/12</f>
        <v>0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18.832008479518123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-5.6843418860808015E-14</v>
      </c>
      <c r="CU145" s="18">
        <f>CT145*VLOOKUP('Données projet'!$B$13,Paramètres!$A$1:$I$89,3,0)*VLOOKUP('Données projet'!$B$13,Paramètres!$A$1:$I$89,5,0)</f>
        <v>-3.1036506698001178E-14</v>
      </c>
      <c r="CV145" s="14" t="e">
        <f t="shared" si="149"/>
        <v>#NUM!</v>
      </c>
      <c r="CW145" s="22" t="e">
        <f t="shared" si="121"/>
        <v>#NUM!</v>
      </c>
      <c r="CX145" s="62" t="e">
        <f t="shared" si="122"/>
        <v>#NUM!</v>
      </c>
      <c r="CY145" s="62">
        <f ca="1">AVERAGE(OFFSET($CX$3,0,0,'Données projet'!$E$13+1,1))-AVERAGE(OFFSET($H$3,0,0,'Données projet'!$E$13+1,1))</f>
        <v>303.14853302260451</v>
      </c>
      <c r="CZ145" s="62">
        <f t="shared" si="150"/>
        <v>298.74602928001929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55.412138860721392</v>
      </c>
      <c r="DG145" s="23">
        <f>EXP(-LN(2)/25)*DG144+(1-EXP(-LN(2)/25))/(LN(2)/25)*Calculateur!DB145*Calculateur!DD145*VLOOKUP('Données projet'!$B$13,Paramètres!$A$1:$I$89,3,0)*0.475*44/12</f>
        <v>7.0773115976708123</v>
      </c>
      <c r="DH145" s="23">
        <f>EXP(-LN(2)/2)*DH144+(1-EXP(-LN(2)/2))/(LN(2)/2)*DB145*DE145*VLOOKUP('Données projet'!$B$13,Paramètres!$A$1:$I$89,3,0)*0.475*44/12</f>
        <v>1.0701837158356409E-8</v>
      </c>
      <c r="DI145" s="24">
        <f t="shared" si="123"/>
        <v>62.489450469094045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70">
        <f t="shared" si="110"/>
        <v>256.66666666666669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6.5224999999999937</v>
      </c>
      <c r="N146" s="14">
        <f>IF('Données projet'!$A$36&gt;35,N145+M146-V145,IF(A146&lt;'Données projet'!$A$36,$K$205^A146,IF(A146='Données projet'!$A$36,'Données projet'!$B$36,N145+M146-V145)))</f>
        <v>346.70499999999987</v>
      </c>
      <c r="O146" s="14">
        <f>N146*VLOOKUP('Données projet'!$B$9,Paramètres!$A$1:$I$89,3,0)*VLOOKUP('Données projet'!$B$9,Paramètres!$A$1:$I$89,5,0)</f>
        <v>313.69868399999984</v>
      </c>
      <c r="P146" s="14">
        <f t="shared" si="141"/>
        <v>74.040728593641816</v>
      </c>
      <c r="Q146" s="22">
        <f t="shared" si="108"/>
        <v>675.31281026725912</v>
      </c>
      <c r="R146" s="62">
        <f t="shared" si="109"/>
        <v>968.6461436005925</v>
      </c>
      <c r="S146" s="62">
        <f ca="1">AVERAGE(OFFSET($R$3,0,0,'Données projet'!$E$9+1,1))-AVERAGE(OFFSET($H$3,0,0,'Données projet'!$E$9+1,1))</f>
        <v>441.6145113257511</v>
      </c>
      <c r="T146" s="62">
        <f t="shared" si="142"/>
        <v>295.8399381972477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48.047350263807125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48.047350263807125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-4.5474735088646412E-13</v>
      </c>
      <c r="AJ146" s="14">
        <f>AI146*VLOOKUP('Données projet'!$B$10,Paramètres!$A$1:$I$89,3,0)*VLOOKUP('Données projet'!$B$10,Paramètres!$A$1:$I$89,5,0)</f>
        <v>-3.9017322706058626E-13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623.31285537237943</v>
      </c>
      <c r="AO146" s="62">
        <f t="shared" si="144"/>
        <v>462.33909258902241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120.06154751505778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120.06154751505778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-1.7053025658242404E-13</v>
      </c>
      <c r="BE146" s="14">
        <f>BD146*VLOOKUP('Données projet'!$B$11,Paramètres!$A$1:$I$89,3,0)*VLOOKUP('Données projet'!$B$11,Paramètres!$A$1:$I$89,5,0)</f>
        <v>-1.3567387213697657E-13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299.10536994156814</v>
      </c>
      <c r="BJ146" s="62">
        <f t="shared" si="146"/>
        <v>292.57799203101769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34.851835113265622</v>
      </c>
      <c r="BQ146" s="23">
        <f>EXP(-LN(2)/25)*BQ145+(1-EXP(-LN(2)/25))/(LN(2)/25)*Calculateur!BL146*Calculateur!BN146*VLOOKUP('Données projet'!$B$11,Paramètres!$A$1:$I$89,3,0)*0.475*44/12</f>
        <v>0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34.851835113265622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2.8421709430404007E-14</v>
      </c>
      <c r="BZ146" s="14">
        <f>BY146*VLOOKUP('Données projet'!$B$12,Paramètres!$A$1:$I$89,3,0)*VLOOKUP('Données projet'!$B$12,Paramètres!$A$1:$I$89,5,0)</f>
        <v>2.2168933355715127E-14</v>
      </c>
      <c r="CA146" s="14">
        <f t="shared" si="147"/>
        <v>3.9687356123668477E-13</v>
      </c>
      <c r="CB146" s="22">
        <f t="shared" si="118"/>
        <v>7.2983234474842979E-13</v>
      </c>
      <c r="CC146" s="62">
        <f t="shared" si="119"/>
        <v>293.33333333333405</v>
      </c>
      <c r="CD146" s="62">
        <f ca="1">AVERAGE(OFFSET($CC$3,0,0,'Données projet'!$E$12+1,1))-AVERAGE(OFFSET($H$3,0,0,'Données projet'!$E$12+1,1))</f>
        <v>197.51529454208725</v>
      </c>
      <c r="CE146" s="62">
        <f t="shared" si="148"/>
        <v>196.65362486387215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18.462724279625757</v>
      </c>
      <c r="CL146" s="23">
        <f>EXP(-LN(2)/25)*CL145+(1-EXP(-LN(2)/25))/(LN(2)/25)*Calculateur!CG146*Calculateur!CI146*VLOOKUP('Données projet'!$B$12,Paramètres!$A$1:$I$89,3,0)*0.475*44/12</f>
        <v>0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18.462724279625757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-5.6843418860808015E-14</v>
      </c>
      <c r="CU146" s="18">
        <f>CT146*VLOOKUP('Données projet'!$B$13,Paramètres!$A$1:$I$89,3,0)*VLOOKUP('Données projet'!$B$13,Paramètres!$A$1:$I$89,5,0)</f>
        <v>-3.1036506698001178E-14</v>
      </c>
      <c r="CV146" s="14" t="e">
        <f t="shared" si="149"/>
        <v>#NUM!</v>
      </c>
      <c r="CW146" s="22" t="e">
        <f t="shared" si="121"/>
        <v>#NUM!</v>
      </c>
      <c r="CX146" s="62" t="e">
        <f t="shared" si="122"/>
        <v>#NUM!</v>
      </c>
      <c r="CY146" s="62">
        <f ca="1">AVERAGE(OFFSET($CX$3,0,0,'Données projet'!$E$13+1,1))-AVERAGE(OFFSET($H$3,0,0,'Données projet'!$E$13+1,1))</f>
        <v>303.14853302260451</v>
      </c>
      <c r="CZ146" s="62">
        <f t="shared" si="150"/>
        <v>298.74602928001929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54.32554061573007</v>
      </c>
      <c r="DG146" s="23">
        <f>EXP(-LN(2)/25)*DG145+(1-EXP(-LN(2)/25))/(LN(2)/25)*Calculateur!DB146*Calculateur!DD146*VLOOKUP('Données projet'!$B$13,Paramètres!$A$1:$I$89,3,0)*0.475*44/12</f>
        <v>6.8837821398528627</v>
      </c>
      <c r="DH146" s="23">
        <f>EXP(-LN(2)/2)*DH145+(1-EXP(-LN(2)/2))/(LN(2)/2)*DB146*DE146*VLOOKUP('Données projet'!$B$13,Paramètres!$A$1:$I$89,3,0)*0.475*44/12</f>
        <v>7.5673416258279889E-9</v>
      </c>
      <c r="DI146" s="24">
        <f t="shared" si="123"/>
        <v>61.209322763150276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70">
        <f t="shared" si="110"/>
        <v>256.66666666666669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6.5224999999999937</v>
      </c>
      <c r="N147" s="14">
        <f>IF('Données projet'!$A$36&gt;35,N146+M147-V146,IF(A147&lt;'Données projet'!$A$36,$K$205^A147,IF(A147='Données projet'!$A$36,'Données projet'!$B$36,N146+M147-V146)))</f>
        <v>353.22749999999985</v>
      </c>
      <c r="O147" s="14">
        <f>N147*VLOOKUP('Données projet'!$B$9,Paramètres!$A$1:$I$89,3,0)*VLOOKUP('Données projet'!$B$9,Paramètres!$A$1:$I$89,5,0)</f>
        <v>319.60024199999987</v>
      </c>
      <c r="P147" s="14">
        <f t="shared" si="141"/>
        <v>75.270170186204851</v>
      </c>
      <c r="Q147" s="22">
        <f t="shared" si="108"/>
        <v>687.73263455763981</v>
      </c>
      <c r="R147" s="62">
        <f t="shared" si="109"/>
        <v>981.06596789097307</v>
      </c>
      <c r="S147" s="62">
        <f ca="1">AVERAGE(OFFSET($R$3,0,0,'Données projet'!$E$9+1,1))-AVERAGE(OFFSET($H$3,0,0,'Données projet'!$E$9+1,1))</f>
        <v>441.6145113257511</v>
      </c>
      <c r="T147" s="62">
        <f t="shared" si="142"/>
        <v>295.8399381972477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47.105171031123803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47.105171031123803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-4.5474735088646412E-13</v>
      </c>
      <c r="AJ147" s="14">
        <f>AI147*VLOOKUP('Données projet'!$B$10,Paramètres!$A$1:$I$89,3,0)*VLOOKUP('Données projet'!$B$10,Paramètres!$A$1:$I$89,5,0)</f>
        <v>-3.9017322706058626E-13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623.31285537237943</v>
      </c>
      <c r="AO147" s="62">
        <f t="shared" si="144"/>
        <v>462.33909258902241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117.70721379860059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117.70721379860059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-1.7053025658242404E-13</v>
      </c>
      <c r="BE147" s="14">
        <f>BD147*VLOOKUP('Données projet'!$B$11,Paramètres!$A$1:$I$89,3,0)*VLOOKUP('Données projet'!$B$11,Paramètres!$A$1:$I$89,5,0)</f>
        <v>-1.3567387213697657E-13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299.10536994156814</v>
      </c>
      <c r="BJ147" s="62">
        <f t="shared" si="146"/>
        <v>292.57799203101769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34.168411884214898</v>
      </c>
      <c r="BQ147" s="23">
        <f>EXP(-LN(2)/25)*BQ146+(1-EXP(-LN(2)/25))/(LN(2)/25)*Calculateur!BL147*Calculateur!BN147*VLOOKUP('Données projet'!$B$11,Paramètres!$A$1:$I$89,3,0)*0.475*44/12</f>
        <v>0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34.168411884214898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2.8421709430404007E-14</v>
      </c>
      <c r="BZ147" s="14">
        <f>BY147*VLOOKUP('Données projet'!$B$12,Paramètres!$A$1:$I$89,3,0)*VLOOKUP('Données projet'!$B$12,Paramètres!$A$1:$I$89,5,0)</f>
        <v>2.2168933355715127E-14</v>
      </c>
      <c r="CA147" s="14">
        <f t="shared" si="147"/>
        <v>3.9687356123668477E-13</v>
      </c>
      <c r="CB147" s="22">
        <f t="shared" si="118"/>
        <v>7.2983234474842979E-13</v>
      </c>
      <c r="CC147" s="62">
        <f t="shared" si="119"/>
        <v>293.33333333333405</v>
      </c>
      <c r="CD147" s="62">
        <f ca="1">AVERAGE(OFFSET($CC$3,0,0,'Données projet'!$E$12+1,1))-AVERAGE(OFFSET($H$3,0,0,'Données projet'!$E$12+1,1))</f>
        <v>197.51529454208725</v>
      </c>
      <c r="CE147" s="62">
        <f t="shared" si="148"/>
        <v>196.65362486387215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18.100681517652159</v>
      </c>
      <c r="CL147" s="23">
        <f>EXP(-LN(2)/25)*CL146+(1-EXP(-LN(2)/25))/(LN(2)/25)*Calculateur!CG147*Calculateur!CI147*VLOOKUP('Données projet'!$B$12,Paramètres!$A$1:$I$89,3,0)*0.475*44/12</f>
        <v>0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18.100681517652159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-5.6843418860808015E-14</v>
      </c>
      <c r="CU147" s="18">
        <f>CT147*VLOOKUP('Données projet'!$B$13,Paramètres!$A$1:$I$89,3,0)*VLOOKUP('Données projet'!$B$13,Paramètres!$A$1:$I$89,5,0)</f>
        <v>-3.1036506698001178E-14</v>
      </c>
      <c r="CV147" s="14" t="e">
        <f t="shared" si="149"/>
        <v>#NUM!</v>
      </c>
      <c r="CW147" s="22" t="e">
        <f t="shared" si="121"/>
        <v>#NUM!</v>
      </c>
      <c r="CX147" s="62" t="e">
        <f t="shared" si="122"/>
        <v>#NUM!</v>
      </c>
      <c r="CY147" s="62">
        <f ca="1">AVERAGE(OFFSET($CX$3,0,0,'Données projet'!$E$13+1,1))-AVERAGE(OFFSET($H$3,0,0,'Données projet'!$E$13+1,1))</f>
        <v>303.14853302260451</v>
      </c>
      <c r="CZ147" s="62">
        <f t="shared" si="150"/>
        <v>298.74602928001929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53.26024989956354</v>
      </c>
      <c r="DG147" s="23">
        <f>EXP(-LN(2)/25)*DG146+(1-EXP(-LN(2)/25))/(LN(2)/25)*Calculateur!DB147*Calculateur!DD147*VLOOKUP('Données projet'!$B$13,Paramètres!$A$1:$I$89,3,0)*0.475*44/12</f>
        <v>6.6955447552362166</v>
      </c>
      <c r="DH147" s="23">
        <f>EXP(-LN(2)/2)*DH146+(1-EXP(-LN(2)/2))/(LN(2)/2)*DB147*DE147*VLOOKUP('Données projet'!$B$13,Paramètres!$A$1:$I$89,3,0)*0.475*44/12</f>
        <v>5.3509185791782046E-9</v>
      </c>
      <c r="DI147" s="24">
        <f t="shared" si="123"/>
        <v>59.95579466015068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70">
        <f t="shared" si="110"/>
        <v>256.66666666666669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6.5224999999999937</v>
      </c>
      <c r="N148" s="14">
        <f>IF('Données projet'!$A$36&gt;35,N147+M148-V147,IF(A148&lt;'Données projet'!$A$36,$K$205^A148,IF(A148='Données projet'!$A$36,'Données projet'!$B$36,N147+M148-V147)))</f>
        <v>359.74999999999983</v>
      </c>
      <c r="O148" s="14">
        <f>N148*VLOOKUP('Données projet'!$B$9,Paramètres!$A$1:$I$89,3,0)*VLOOKUP('Données projet'!$B$9,Paramètres!$A$1:$I$89,5,0)</f>
        <v>325.50179999999983</v>
      </c>
      <c r="P148" s="14">
        <f t="shared" si="141"/>
        <v>76.496971924782571</v>
      </c>
      <c r="Q148" s="22">
        <f t="shared" si="108"/>
        <v>700.14786110232933</v>
      </c>
      <c r="R148" s="62">
        <f t="shared" si="109"/>
        <v>993.4811944356627</v>
      </c>
      <c r="S148" s="62">
        <f ca="1">AVERAGE(OFFSET($R$3,0,0,'Données projet'!$E$9+1,1))-AVERAGE(OFFSET($H$3,0,0,'Données projet'!$E$9+1,1))</f>
        <v>441.6145113257511</v>
      </c>
      <c r="T148" s="62">
        <f t="shared" si="142"/>
        <v>295.8399381972477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46.181467358520813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46.181467358520813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-4.5474735088646412E-13</v>
      </c>
      <c r="AJ148" s="14">
        <f>AI148*VLOOKUP('Données projet'!$B$10,Paramètres!$A$1:$I$89,3,0)*VLOOKUP('Données projet'!$B$10,Paramètres!$A$1:$I$89,5,0)</f>
        <v>-3.9017322706058626E-13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623.31285537237943</v>
      </c>
      <c r="AO148" s="62">
        <f t="shared" si="144"/>
        <v>462.33909258902241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115.39904713032135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115.39904713032135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-1.7053025658242404E-13</v>
      </c>
      <c r="BE148" s="14">
        <f>BD148*VLOOKUP('Données projet'!$B$11,Paramètres!$A$1:$I$89,3,0)*VLOOKUP('Données projet'!$B$11,Paramètres!$A$1:$I$89,5,0)</f>
        <v>-1.3567387213697657E-13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299.10536994156814</v>
      </c>
      <c r="BJ148" s="62">
        <f t="shared" si="146"/>
        <v>292.57799203101769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33.498390167838849</v>
      </c>
      <c r="BQ148" s="23">
        <f>EXP(-LN(2)/25)*BQ147+(1-EXP(-LN(2)/25))/(LN(2)/25)*Calculateur!BL148*Calculateur!BN148*VLOOKUP('Données projet'!$B$11,Paramètres!$A$1:$I$89,3,0)*0.475*44/12</f>
        <v>0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33.498390167838849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2.8421709430404007E-14</v>
      </c>
      <c r="BZ148" s="14">
        <f>BY148*VLOOKUP('Données projet'!$B$12,Paramètres!$A$1:$I$89,3,0)*VLOOKUP('Données projet'!$B$12,Paramètres!$A$1:$I$89,5,0)</f>
        <v>2.2168933355715127E-14</v>
      </c>
      <c r="CA148" s="14">
        <f t="shared" si="147"/>
        <v>3.9687356123668477E-13</v>
      </c>
      <c r="CB148" s="22">
        <f t="shared" si="118"/>
        <v>7.2983234474842979E-13</v>
      </c>
      <c r="CC148" s="62">
        <f t="shared" si="119"/>
        <v>293.33333333333405</v>
      </c>
      <c r="CD148" s="62">
        <f ca="1">AVERAGE(OFFSET($CC$3,0,0,'Données projet'!$E$12+1,1))-AVERAGE(OFFSET($H$3,0,0,'Données projet'!$E$12+1,1))</f>
        <v>197.51529454208725</v>
      </c>
      <c r="CE148" s="62">
        <f t="shared" si="148"/>
        <v>196.65362486387215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17.745738193416585</v>
      </c>
      <c r="CL148" s="23">
        <f>EXP(-LN(2)/25)*CL147+(1-EXP(-LN(2)/25))/(LN(2)/25)*Calculateur!CG148*Calculateur!CI148*VLOOKUP('Données projet'!$B$12,Paramètres!$A$1:$I$89,3,0)*0.475*44/12</f>
        <v>0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17.745738193416585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-5.6843418860808015E-14</v>
      </c>
      <c r="CU148" s="18">
        <f>CT148*VLOOKUP('Données projet'!$B$13,Paramètres!$A$1:$I$89,3,0)*VLOOKUP('Données projet'!$B$13,Paramètres!$A$1:$I$89,5,0)</f>
        <v>-3.1036506698001178E-14</v>
      </c>
      <c r="CV148" s="14" t="e">
        <f t="shared" si="149"/>
        <v>#NUM!</v>
      </c>
      <c r="CW148" s="22" t="e">
        <f t="shared" si="121"/>
        <v>#NUM!</v>
      </c>
      <c r="CX148" s="62" t="e">
        <f t="shared" si="122"/>
        <v>#NUM!</v>
      </c>
      <c r="CY148" s="62">
        <f ca="1">AVERAGE(OFFSET($CX$3,0,0,'Données projet'!$E$13+1,1))-AVERAGE(OFFSET($H$3,0,0,'Données projet'!$E$13+1,1))</f>
        <v>303.14853302260451</v>
      </c>
      <c r="CZ148" s="62">
        <f t="shared" si="150"/>
        <v>298.74602928001929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52.215848884577859</v>
      </c>
      <c r="DG148" s="23">
        <f>EXP(-LN(2)/25)*DG147+(1-EXP(-LN(2)/25))/(LN(2)/25)*Calculateur!DB148*Calculateur!DD148*VLOOKUP('Données projet'!$B$13,Paramètres!$A$1:$I$89,3,0)*0.475*44/12</f>
        <v>6.5124547318008865</v>
      </c>
      <c r="DH148" s="23">
        <f>EXP(-LN(2)/2)*DH147+(1-EXP(-LN(2)/2))/(LN(2)/2)*DB148*DE148*VLOOKUP('Données projet'!$B$13,Paramètres!$A$1:$I$89,3,0)*0.475*44/12</f>
        <v>3.7836708129139945E-9</v>
      </c>
      <c r="DI148" s="24">
        <f t="shared" si="123"/>
        <v>58.728303620162414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70">
        <f t="shared" si="110"/>
        <v>256.66666666666669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6.5224999999999937</v>
      </c>
      <c r="N149" s="14">
        <f>IF('Données projet'!$A$36&gt;35,N148+M149-V148,IF(A149&lt;'Données projet'!$A$36,$K$205^A149,IF(A149='Données projet'!$A$36,'Données projet'!$B$36,N148+M149-V148)))</f>
        <v>366.27249999999981</v>
      </c>
      <c r="O149" s="14">
        <f>N149*VLOOKUP('Données projet'!$B$9,Paramètres!$A$1:$I$89,3,0)*VLOOKUP('Données projet'!$B$9,Paramètres!$A$1:$I$89,5,0)</f>
        <v>331.4033579999998</v>
      </c>
      <c r="P149" s="14">
        <f t="shared" si="141"/>
        <v>77.721187192355004</v>
      </c>
      <c r="Q149" s="22">
        <f t="shared" si="108"/>
        <v>712.55858287668445</v>
      </c>
      <c r="R149" s="62">
        <f t="shared" si="109"/>
        <v>1005.8919162100178</v>
      </c>
      <c r="S149" s="62">
        <f ca="1">AVERAGE(OFFSET($R$3,0,0,'Données projet'!$E$9+1,1))-AVERAGE(OFFSET($H$3,0,0,'Données projet'!$E$9+1,1))</f>
        <v>441.6145113257511</v>
      </c>
      <c r="T149" s="62">
        <f t="shared" si="142"/>
        <v>295.8399381972477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45.275876951533959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45.275876951533959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-4.5474735088646412E-13</v>
      </c>
      <c r="AJ149" s="14">
        <f>AI149*VLOOKUP('Données projet'!$B$10,Paramètres!$A$1:$I$89,3,0)*VLOOKUP('Données projet'!$B$10,Paramètres!$A$1:$I$89,5,0)</f>
        <v>-3.9017322706058626E-13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623.31285537237943</v>
      </c>
      <c r="AO149" s="62">
        <f t="shared" si="144"/>
        <v>462.33909258902241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113.13614220256441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113.13614220256441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-1.7053025658242404E-13</v>
      </c>
      <c r="BE149" s="14">
        <f>BD149*VLOOKUP('Données projet'!$B$11,Paramètres!$A$1:$I$89,3,0)*VLOOKUP('Données projet'!$B$11,Paramètres!$A$1:$I$89,5,0)</f>
        <v>-1.3567387213697657E-13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299.10536994156814</v>
      </c>
      <c r="BJ149" s="62">
        <f t="shared" si="146"/>
        <v>292.57799203101769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32.841507168648036</v>
      </c>
      <c r="BQ149" s="23">
        <f>EXP(-LN(2)/25)*BQ148+(1-EXP(-LN(2)/25))/(LN(2)/25)*Calculateur!BL149*Calculateur!BN149*VLOOKUP('Données projet'!$B$11,Paramètres!$A$1:$I$89,3,0)*0.475*44/12</f>
        <v>0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32.841507168648036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2.8421709430404007E-14</v>
      </c>
      <c r="BZ149" s="14">
        <f>BY149*VLOOKUP('Données projet'!$B$12,Paramètres!$A$1:$I$89,3,0)*VLOOKUP('Données projet'!$B$12,Paramètres!$A$1:$I$89,5,0)</f>
        <v>2.2168933355715127E-14</v>
      </c>
      <c r="CA149" s="14">
        <f t="shared" si="147"/>
        <v>3.9687356123668477E-13</v>
      </c>
      <c r="CB149" s="22">
        <f t="shared" si="118"/>
        <v>7.2983234474842979E-13</v>
      </c>
      <c r="CC149" s="62">
        <f t="shared" si="119"/>
        <v>293.33333333333405</v>
      </c>
      <c r="CD149" s="62">
        <f ca="1">AVERAGE(OFFSET($CC$3,0,0,'Données projet'!$E$12+1,1))-AVERAGE(OFFSET($H$3,0,0,'Données projet'!$E$12+1,1))</f>
        <v>197.51529454208725</v>
      </c>
      <c r="CE149" s="62">
        <f t="shared" si="148"/>
        <v>196.65362486387215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17.397755091275219</v>
      </c>
      <c r="CL149" s="23">
        <f>EXP(-LN(2)/25)*CL148+(1-EXP(-LN(2)/25))/(LN(2)/25)*Calculateur!CG149*Calculateur!CI149*VLOOKUP('Données projet'!$B$12,Paramètres!$A$1:$I$89,3,0)*0.475*44/12</f>
        <v>0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17.397755091275219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-5.6843418860808015E-14</v>
      </c>
      <c r="CU149" s="18">
        <f>CT149*VLOOKUP('Données projet'!$B$13,Paramètres!$A$1:$I$89,3,0)*VLOOKUP('Données projet'!$B$13,Paramètres!$A$1:$I$89,5,0)</f>
        <v>-3.1036506698001178E-14</v>
      </c>
      <c r="CV149" s="14" t="e">
        <f t="shared" si="149"/>
        <v>#NUM!</v>
      </c>
      <c r="CW149" s="22" t="e">
        <f t="shared" si="121"/>
        <v>#NUM!</v>
      </c>
      <c r="CX149" s="62" t="e">
        <f t="shared" si="122"/>
        <v>#NUM!</v>
      </c>
      <c r="CY149" s="62">
        <f ca="1">AVERAGE(OFFSET($CX$3,0,0,'Données projet'!$E$13+1,1))-AVERAGE(OFFSET($H$3,0,0,'Données projet'!$E$13+1,1))</f>
        <v>303.14853302260451</v>
      </c>
      <c r="CZ149" s="62">
        <f t="shared" si="150"/>
        <v>298.74602928001929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51.191927936474329</v>
      </c>
      <c r="DG149" s="23">
        <f>EXP(-LN(2)/25)*DG148+(1-EXP(-LN(2)/25))/(LN(2)/25)*Calculateur!DB149*Calculateur!DD149*VLOOKUP('Données projet'!$B$13,Paramètres!$A$1:$I$89,3,0)*0.475*44/12</f>
        <v>6.334371314684681</v>
      </c>
      <c r="DH149" s="23">
        <f>EXP(-LN(2)/2)*DH148+(1-EXP(-LN(2)/2))/(LN(2)/2)*DB149*DE149*VLOOKUP('Données projet'!$B$13,Paramètres!$A$1:$I$89,3,0)*0.475*44/12</f>
        <v>2.6754592895891023E-9</v>
      </c>
      <c r="DI149" s="24">
        <f t="shared" si="123"/>
        <v>57.526299253834466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70">
        <f t="shared" si="110"/>
        <v>256.66666666666669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6.5224999999999937</v>
      </c>
      <c r="N150" s="14">
        <f>IF('Données projet'!$A$36&gt;35,N149+M150-V149,IF(A150&lt;'Données projet'!$A$36,$K$205^A150,IF(A150='Données projet'!$A$36,'Données projet'!$B$36,N149+M150-V149)))</f>
        <v>372.79499999999979</v>
      </c>
      <c r="O150" s="14">
        <f>N150*VLOOKUP('Données projet'!$B$9,Paramètres!$A$1:$I$89,3,0)*VLOOKUP('Données projet'!$B$9,Paramètres!$A$1:$I$89,5,0)</f>
        <v>337.30491599999982</v>
      </c>
      <c r="P150" s="14">
        <f t="shared" si="141"/>
        <v>78.942867361749492</v>
      </c>
      <c r="Q150" s="22">
        <f t="shared" si="108"/>
        <v>724.96488935504669</v>
      </c>
      <c r="R150" s="62">
        <f t="shared" si="109"/>
        <v>1018.2982226883801</v>
      </c>
      <c r="S150" s="62">
        <f ca="1">AVERAGE(OFFSET($R$3,0,0,'Données projet'!$E$9+1,1))-AVERAGE(OFFSET($H$3,0,0,'Données projet'!$E$9+1,1))</f>
        <v>441.6145113257511</v>
      </c>
      <c r="T150" s="62">
        <f t="shared" si="142"/>
        <v>295.8399381972477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44.388044620072506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44.388044620072506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-4.5474735088646412E-13</v>
      </c>
      <c r="AJ150" s="14">
        <f>AI150*VLOOKUP('Données projet'!$B$10,Paramètres!$A$1:$I$89,3,0)*VLOOKUP('Données projet'!$B$10,Paramètres!$A$1:$I$89,5,0)</f>
        <v>-3.9017322706058626E-13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623.31285537237943</v>
      </c>
      <c r="AO150" s="62">
        <f t="shared" si="144"/>
        <v>462.33909258902241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110.91761146020507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110.91761146020507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-1.7053025658242404E-13</v>
      </c>
      <c r="BE150" s="14">
        <f>BD150*VLOOKUP('Données projet'!$B$11,Paramètres!$A$1:$I$89,3,0)*VLOOKUP('Données projet'!$B$11,Paramètres!$A$1:$I$89,5,0)</f>
        <v>-1.3567387213697657E-13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299.10536994156814</v>
      </c>
      <c r="BJ150" s="62">
        <f t="shared" si="146"/>
        <v>292.57799203101769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32.197505244412291</v>
      </c>
      <c r="BQ150" s="23">
        <f>EXP(-LN(2)/25)*BQ149+(1-EXP(-LN(2)/25))/(LN(2)/25)*Calculateur!BL150*Calculateur!BN150*VLOOKUP('Données projet'!$B$11,Paramètres!$A$1:$I$89,3,0)*0.475*44/12</f>
        <v>0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32.197505244412291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2.8421709430404007E-14</v>
      </c>
      <c r="BZ150" s="14">
        <f>BY150*VLOOKUP('Données projet'!$B$12,Paramètres!$A$1:$I$89,3,0)*VLOOKUP('Données projet'!$B$12,Paramètres!$A$1:$I$89,5,0)</f>
        <v>2.2168933355715127E-14</v>
      </c>
      <c r="CA150" s="14">
        <f t="shared" si="147"/>
        <v>3.9687356123668477E-13</v>
      </c>
      <c r="CB150" s="22">
        <f t="shared" si="118"/>
        <v>7.2983234474842979E-13</v>
      </c>
      <c r="CC150" s="62">
        <f t="shared" si="119"/>
        <v>293.33333333333405</v>
      </c>
      <c r="CD150" s="62">
        <f ca="1">AVERAGE(OFFSET($CC$3,0,0,'Données projet'!$E$12+1,1))-AVERAGE(OFFSET($H$3,0,0,'Données projet'!$E$12+1,1))</f>
        <v>197.51529454208725</v>
      </c>
      <c r="CE150" s="62">
        <f t="shared" si="148"/>
        <v>196.65362486387215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17.056595725518111</v>
      </c>
      <c r="CL150" s="23">
        <f>EXP(-LN(2)/25)*CL149+(1-EXP(-LN(2)/25))/(LN(2)/25)*Calculateur!CG150*Calculateur!CI150*VLOOKUP('Données projet'!$B$12,Paramètres!$A$1:$I$89,3,0)*0.475*44/12</f>
        <v>0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17.056595725518111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-5.6843418860808015E-14</v>
      </c>
      <c r="CU150" s="18">
        <f>CT150*VLOOKUP('Données projet'!$B$13,Paramètres!$A$1:$I$89,3,0)*VLOOKUP('Données projet'!$B$13,Paramètres!$A$1:$I$89,5,0)</f>
        <v>-3.1036506698001178E-14</v>
      </c>
      <c r="CV150" s="14" t="e">
        <f t="shared" si="149"/>
        <v>#NUM!</v>
      </c>
      <c r="CW150" s="22" t="e">
        <f t="shared" si="121"/>
        <v>#NUM!</v>
      </c>
      <c r="CX150" s="62" t="e">
        <f t="shared" si="122"/>
        <v>#NUM!</v>
      </c>
      <c r="CY150" s="62">
        <f ca="1">AVERAGE(OFFSET($CX$3,0,0,'Données projet'!$E$13+1,1))-AVERAGE(OFFSET($H$3,0,0,'Données projet'!$E$13+1,1))</f>
        <v>303.14853302260451</v>
      </c>
      <c r="CZ150" s="62">
        <f t="shared" si="150"/>
        <v>298.74602928001929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50.188085453632993</v>
      </c>
      <c r="DG150" s="23">
        <f>EXP(-LN(2)/25)*DG149+(1-EXP(-LN(2)/25))/(LN(2)/25)*Calculateur!DB150*Calculateur!DD150*VLOOKUP('Données projet'!$B$13,Paramètres!$A$1:$I$89,3,0)*0.475*44/12</f>
        <v>6.1611575979745181</v>
      </c>
      <c r="DH150" s="23">
        <f>EXP(-LN(2)/2)*DH149+(1-EXP(-LN(2)/2))/(LN(2)/2)*DB150*DE150*VLOOKUP('Données projet'!$B$13,Paramètres!$A$1:$I$89,3,0)*0.475*44/12</f>
        <v>1.8918354064569972E-9</v>
      </c>
      <c r="DI150" s="24">
        <f t="shared" si="123"/>
        <v>56.349243053499343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70">
        <f t="shared" si="110"/>
        <v>256.66666666666669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6.5224999999999937</v>
      </c>
      <c r="N151" s="14">
        <f>IF('Données projet'!$A$36&gt;35,N150+M151-V150,IF(A151&lt;'Données projet'!$A$36,$K$205^A151,IF(A151='Données projet'!$A$36,'Données projet'!$B$36,N150+M151-V150)))</f>
        <v>379.31749999999977</v>
      </c>
      <c r="O151" s="14">
        <f>N151*VLOOKUP('Données projet'!$B$9,Paramètres!$A$1:$I$89,3,0)*VLOOKUP('Données projet'!$B$9,Paramètres!$A$1:$I$89,5,0)</f>
        <v>343.20647399999979</v>
      </c>
      <c r="P151" s="14">
        <f t="shared" si="141"/>
        <v>80.162061905155412</v>
      </c>
      <c r="Q151" s="22">
        <f t="shared" si="108"/>
        <v>737.36686670147856</v>
      </c>
      <c r="R151" s="62">
        <f t="shared" si="109"/>
        <v>1030.7002000348118</v>
      </c>
      <c r="S151" s="62">
        <f ca="1">AVERAGE(OFFSET($R$3,0,0,'Données projet'!$E$9+1,1))-AVERAGE(OFFSET($H$3,0,0,'Données projet'!$E$9+1,1))</f>
        <v>441.6145113257511</v>
      </c>
      <c r="T151" s="62">
        <f t="shared" si="142"/>
        <v>295.8399381972477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43.517622139106763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43.517622139106763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-4.5474735088646412E-13</v>
      </c>
      <c r="AJ151" s="14">
        <f>AI151*VLOOKUP('Données projet'!$B$10,Paramètres!$A$1:$I$89,3,0)*VLOOKUP('Données projet'!$B$10,Paramètres!$A$1:$I$89,5,0)</f>
        <v>-3.9017322706058626E-13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623.31285537237943</v>
      </c>
      <c r="AO151" s="62">
        <f t="shared" si="144"/>
        <v>462.33909258902241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108.74258475253325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108.74258475253325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-1.7053025658242404E-13</v>
      </c>
      <c r="BE151" s="14">
        <f>BD151*VLOOKUP('Données projet'!$B$11,Paramètres!$A$1:$I$89,3,0)*VLOOKUP('Données projet'!$B$11,Paramètres!$A$1:$I$89,5,0)</f>
        <v>-1.3567387213697657E-13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299.10536994156814</v>
      </c>
      <c r="BJ151" s="62">
        <f t="shared" si="146"/>
        <v>292.57799203101769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31.566131805108419</v>
      </c>
      <c r="BQ151" s="23">
        <f>EXP(-LN(2)/25)*BQ150+(1-EXP(-LN(2)/25))/(LN(2)/25)*Calculateur!BL151*Calculateur!BN151*VLOOKUP('Données projet'!$B$11,Paramètres!$A$1:$I$89,3,0)*0.475*44/12</f>
        <v>0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31.566131805108419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2.8421709430404007E-14</v>
      </c>
      <c r="BZ151" s="14">
        <f>BY151*VLOOKUP('Données projet'!$B$12,Paramètres!$A$1:$I$89,3,0)*VLOOKUP('Données projet'!$B$12,Paramètres!$A$1:$I$89,5,0)</f>
        <v>2.2168933355715127E-14</v>
      </c>
      <c r="CA151" s="14">
        <f t="shared" si="147"/>
        <v>3.9687356123668477E-13</v>
      </c>
      <c r="CB151" s="22">
        <f t="shared" si="118"/>
        <v>7.2983234474842979E-13</v>
      </c>
      <c r="CC151" s="62">
        <f t="shared" si="119"/>
        <v>293.33333333333405</v>
      </c>
      <c r="CD151" s="62">
        <f ca="1">AVERAGE(OFFSET($CC$3,0,0,'Données projet'!$E$12+1,1))-AVERAGE(OFFSET($H$3,0,0,'Données projet'!$E$12+1,1))</f>
        <v>197.51529454208725</v>
      </c>
      <c r="CE151" s="62">
        <f t="shared" si="148"/>
        <v>196.65362486387215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16.722126286836833</v>
      </c>
      <c r="CL151" s="23">
        <f>EXP(-LN(2)/25)*CL150+(1-EXP(-LN(2)/25))/(LN(2)/25)*Calculateur!CG151*Calculateur!CI151*VLOOKUP('Données projet'!$B$12,Paramètres!$A$1:$I$89,3,0)*0.475*44/12</f>
        <v>0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16.722126286836833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-5.6843418860808015E-14</v>
      </c>
      <c r="CU151" s="18">
        <f>CT151*VLOOKUP('Données projet'!$B$13,Paramètres!$A$1:$I$89,3,0)*VLOOKUP('Données projet'!$B$13,Paramètres!$A$1:$I$89,5,0)</f>
        <v>-3.1036506698001178E-14</v>
      </c>
      <c r="CV151" s="14" t="e">
        <f t="shared" si="149"/>
        <v>#NUM!</v>
      </c>
      <c r="CW151" s="22" t="e">
        <f t="shared" si="121"/>
        <v>#NUM!</v>
      </c>
      <c r="CX151" s="62" t="e">
        <f t="shared" si="122"/>
        <v>#NUM!</v>
      </c>
      <c r="CY151" s="62">
        <f ca="1">AVERAGE(OFFSET($CX$3,0,0,'Données projet'!$E$13+1,1))-AVERAGE(OFFSET($H$3,0,0,'Données projet'!$E$13+1,1))</f>
        <v>303.14853302260451</v>
      </c>
      <c r="CZ151" s="62">
        <f t="shared" si="150"/>
        <v>298.74602928001929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49.203927709596719</v>
      </c>
      <c r="DG151" s="23">
        <f>EXP(-LN(2)/25)*DG150+(1-EXP(-LN(2)/25))/(LN(2)/25)*Calculateur!DB151*Calculateur!DD151*VLOOKUP('Données projet'!$B$13,Paramètres!$A$1:$I$89,3,0)*0.475*44/12</f>
        <v>5.9926804194567085</v>
      </c>
      <c r="DH151" s="23">
        <f>EXP(-LN(2)/2)*DH150+(1-EXP(-LN(2)/2))/(LN(2)/2)*DB151*DE151*VLOOKUP('Données projet'!$B$13,Paramètres!$A$1:$I$89,3,0)*0.475*44/12</f>
        <v>1.3377296447945511E-9</v>
      </c>
      <c r="DI151" s="24">
        <f t="shared" si="123"/>
        <v>55.196608130391162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70">
        <f t="shared" si="110"/>
        <v>256.66666666666669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>
        <f>VLOOKUP(A152,'Données projet'!$A$35:$I$55,2,0)</f>
        <v>385.84</v>
      </c>
      <c r="L152" s="13">
        <f>VLOOKUP(A152,'Données projet'!$A$35:$I$55,9,0)</f>
        <v>6.5224999999999937</v>
      </c>
      <c r="M152" s="13">
        <f t="array" ref="M152">INDEX(L:L,MIN(IF(ISNUMBER(L152:L348),ROW(L152:L348),"")))</f>
        <v>6.5224999999999937</v>
      </c>
      <c r="N152" s="14">
        <f>IF('Données projet'!$A$36&gt;35,N151+M152-V151,IF(A152&lt;'Données projet'!$A$36,$K$205^A152,IF(A152='Données projet'!$A$36,'Données projet'!$B$36,N151+M152-V151)))</f>
        <v>385.83999999999975</v>
      </c>
      <c r="O152" s="14">
        <f>N152*VLOOKUP('Données projet'!$B$9,Paramètres!$A$1:$I$89,3,0)*VLOOKUP('Données projet'!$B$9,Paramètres!$A$1:$I$89,5,0)</f>
        <v>349.10803199999975</v>
      </c>
      <c r="P152" s="14">
        <f t="shared" si="141"/>
        <v>81.378818495893242</v>
      </c>
      <c r="Q152" s="22">
        <f t="shared" si="108"/>
        <v>749.76459794701361</v>
      </c>
      <c r="R152" s="62">
        <f t="shared" si="109"/>
        <v>1043.097931280347</v>
      </c>
      <c r="S152" s="62">
        <f ca="1">AVERAGE(OFFSET($R$3,0,0,'Données projet'!$E$9+1,1))-AVERAGE(OFFSET($H$3,0,0,'Données projet'!$E$9+1,1))</f>
        <v>441.6145113257511</v>
      </c>
      <c r="T152" s="62">
        <f t="shared" si="142"/>
        <v>295.8399381972477</v>
      </c>
      <c r="U152" s="16">
        <f>IF(ISNA(VLOOKUP(A152,'Données projet'!$A$35:$I$55,3,0)),0,VLOOKUP(A152,'Données projet'!$A$35:$I$55,3,0))</f>
        <v>12</v>
      </c>
      <c r="V152" s="16">
        <f>IF(ISNA(VLOOKUP(A152,'Données projet'!$A$35:$I$55,4,0)),0,VLOOKUP(A152,'Données projet'!$A$35:$I$55,4,0))</f>
        <v>153.56</v>
      </c>
      <c r="W152" s="17">
        <f>IF(ISNA(VLOOKUP(A152,'Données projet'!$A$35:$I$55,5,0)),0%,VLOOKUP(A152,'Données projet'!$A$35:$I$55,5,0)*VLOOKUP('Données projet'!$B$9,Paramètres!$A$1:$I$89,7,0))</f>
        <v>0.30099999999999999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88.896440554595856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88.896440554595856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-4.5474735088646412E-13</v>
      </c>
      <c r="AJ152" s="14">
        <f>AI152*VLOOKUP('Données projet'!$B$10,Paramètres!$A$1:$I$89,3,0)*VLOOKUP('Données projet'!$B$10,Paramètres!$A$1:$I$89,5,0)</f>
        <v>-3.9017322706058626E-13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623.31285537237943</v>
      </c>
      <c r="AO152" s="62">
        <f t="shared" si="144"/>
        <v>462.33909258902241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106.61020899196357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106.61020899196357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-1.7053025658242404E-13</v>
      </c>
      <c r="BE152" s="14">
        <f>BD152*VLOOKUP('Données projet'!$B$11,Paramètres!$A$1:$I$89,3,0)*VLOOKUP('Données projet'!$B$11,Paramètres!$A$1:$I$89,5,0)</f>
        <v>-1.3567387213697657E-13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299.10536994156814</v>
      </c>
      <c r="BJ152" s="62">
        <f t="shared" si="146"/>
        <v>292.57799203101769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30.947139213849525</v>
      </c>
      <c r="BQ152" s="23">
        <f>EXP(-LN(2)/25)*BQ151+(1-EXP(-LN(2)/25))/(LN(2)/25)*Calculateur!BL152*Calculateur!BN152*VLOOKUP('Données projet'!$B$11,Paramètres!$A$1:$I$89,3,0)*0.475*44/12</f>
        <v>0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30.947139213849525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2.8421709430404007E-14</v>
      </c>
      <c r="BZ152" s="14">
        <f>BY152*VLOOKUP('Données projet'!$B$12,Paramètres!$A$1:$I$89,3,0)*VLOOKUP('Données projet'!$B$12,Paramètres!$A$1:$I$89,5,0)</f>
        <v>2.2168933355715127E-14</v>
      </c>
      <c r="CA152" s="14">
        <f t="shared" si="147"/>
        <v>3.9687356123668477E-13</v>
      </c>
      <c r="CB152" s="22">
        <f t="shared" si="118"/>
        <v>7.2983234474842979E-13</v>
      </c>
      <c r="CC152" s="62">
        <f t="shared" si="119"/>
        <v>293.33333333333405</v>
      </c>
      <c r="CD152" s="62">
        <f ca="1">AVERAGE(OFFSET($CC$3,0,0,'Données projet'!$E$12+1,1))-AVERAGE(OFFSET($H$3,0,0,'Données projet'!$E$12+1,1))</f>
        <v>197.51529454208725</v>
      </c>
      <c r="CE152" s="62">
        <f t="shared" si="148"/>
        <v>196.65362486387215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16.394215589841881</v>
      </c>
      <c r="CL152" s="23">
        <f>EXP(-LN(2)/25)*CL151+(1-EXP(-LN(2)/25))/(LN(2)/25)*Calculateur!CG152*Calculateur!CI152*VLOOKUP('Données projet'!$B$12,Paramètres!$A$1:$I$89,3,0)*0.475*44/12</f>
        <v>0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16.394215589841881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-5.6843418860808015E-14</v>
      </c>
      <c r="CU152" s="18">
        <f>CT152*VLOOKUP('Données projet'!$B$13,Paramètres!$A$1:$I$89,3,0)*VLOOKUP('Données projet'!$B$13,Paramètres!$A$1:$I$89,5,0)</f>
        <v>-3.1036506698001178E-14</v>
      </c>
      <c r="CV152" s="14" t="e">
        <f t="shared" si="149"/>
        <v>#NUM!</v>
      </c>
      <c r="CW152" s="22" t="e">
        <f t="shared" si="121"/>
        <v>#NUM!</v>
      </c>
      <c r="CX152" s="62" t="e">
        <f t="shared" si="122"/>
        <v>#NUM!</v>
      </c>
      <c r="CY152" s="62">
        <f ca="1">AVERAGE(OFFSET($CX$3,0,0,'Données projet'!$E$13+1,1))-AVERAGE(OFFSET($H$3,0,0,'Données projet'!$E$13+1,1))</f>
        <v>303.14853302260451</v>
      </c>
      <c r="CZ152" s="62">
        <f t="shared" si="150"/>
        <v>298.74602928001929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48.239068698644047</v>
      </c>
      <c r="DG152" s="23">
        <f>EXP(-LN(2)/25)*DG151+(1-EXP(-LN(2)/25))/(LN(2)/25)*Calculateur!DB152*Calculateur!DD152*VLOOKUP('Données projet'!$B$13,Paramètres!$A$1:$I$89,3,0)*0.475*44/12</f>
        <v>5.8288102582452979</v>
      </c>
      <c r="DH152" s="23">
        <f>EXP(-LN(2)/2)*DH151+(1-EXP(-LN(2)/2))/(LN(2)/2)*DB152*DE152*VLOOKUP('Données projet'!$B$13,Paramètres!$A$1:$I$89,3,0)*0.475*44/12</f>
        <v>9.4591770322849862E-10</v>
      </c>
      <c r="DI152" s="24">
        <f t="shared" si="123"/>
        <v>54.067878957835262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70">
        <f t="shared" si="110"/>
        <v>256.66666666666669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3.8900000000000077</v>
      </c>
      <c r="N153" s="14">
        <f>IF('Données projet'!$A$36&gt;35,N152+M153-V152,IF(A153&lt;'Données projet'!$A$36,$K$205^A153,IF(A153='Données projet'!$A$36,'Données projet'!$B$36,N152+M153-V152)))</f>
        <v>236.16999999999973</v>
      </c>
      <c r="O153" s="14">
        <f>N153*VLOOKUP('Données projet'!$B$9,Paramètres!$A$1:$I$89,3,0)*VLOOKUP('Données projet'!$B$9,Paramètres!$A$1:$I$89,5,0)</f>
        <v>213.68661599999973</v>
      </c>
      <c r="P153" s="14">
        <f t="shared" si="141"/>
        <v>52.740386260338589</v>
      </c>
      <c r="Q153" s="22">
        <f t="shared" si="108"/>
        <v>464.02702893675587</v>
      </c>
      <c r="R153" s="62">
        <f t="shared" si="109"/>
        <v>757.36036227008913</v>
      </c>
      <c r="S153" s="62">
        <f ca="1">AVERAGE(OFFSET($R$3,0,0,'Données projet'!$E$9+1,1))-AVERAGE(OFFSET($H$3,0,0,'Données projet'!$E$9+1,1))</f>
        <v>441.6145113257511</v>
      </c>
      <c r="T153" s="62">
        <f t="shared" si="142"/>
        <v>295.8399381972477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87.153235576795041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87.153235576795041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-4.5474735088646412E-13</v>
      </c>
      <c r="AJ153" s="14">
        <f>AI153*VLOOKUP('Données projet'!$B$10,Paramètres!$A$1:$I$89,3,0)*VLOOKUP('Données projet'!$B$10,Paramètres!$A$1:$I$89,5,0)</f>
        <v>-3.9017322706058626E-13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623.31285537237943</v>
      </c>
      <c r="AO153" s="62">
        <f t="shared" si="144"/>
        <v>462.33909258902241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104.51964781943789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104.51964781943789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-1.7053025658242404E-13</v>
      </c>
      <c r="BE153" s="14">
        <f>BD153*VLOOKUP('Données projet'!$B$11,Paramètres!$A$1:$I$89,3,0)*VLOOKUP('Données projet'!$B$11,Paramètres!$A$1:$I$89,5,0)</f>
        <v>-1.3567387213697657E-13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299.10536994156814</v>
      </c>
      <c r="BJ153" s="62">
        <f t="shared" si="146"/>
        <v>292.57799203101769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30.340284689757016</v>
      </c>
      <c r="BQ153" s="23">
        <f>EXP(-LN(2)/25)*BQ152+(1-EXP(-LN(2)/25))/(LN(2)/25)*Calculateur!BL153*Calculateur!BN153*VLOOKUP('Données projet'!$B$11,Paramètres!$A$1:$I$89,3,0)*0.475*44/12</f>
        <v>0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30.340284689757016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2.8421709430404007E-14</v>
      </c>
      <c r="BZ153" s="14">
        <f>BY153*VLOOKUP('Données projet'!$B$12,Paramètres!$A$1:$I$89,3,0)*VLOOKUP('Données projet'!$B$12,Paramètres!$A$1:$I$89,5,0)</f>
        <v>2.2168933355715127E-14</v>
      </c>
      <c r="CA153" s="14">
        <f t="shared" si="147"/>
        <v>3.9687356123668477E-13</v>
      </c>
      <c r="CB153" s="22">
        <f t="shared" si="118"/>
        <v>7.2983234474842979E-13</v>
      </c>
      <c r="CC153" s="62">
        <f t="shared" si="119"/>
        <v>293.33333333333405</v>
      </c>
      <c r="CD153" s="62">
        <f ca="1">AVERAGE(OFFSET($CC$3,0,0,'Données projet'!$E$12+1,1))-AVERAGE(OFFSET($H$3,0,0,'Données projet'!$E$12+1,1))</f>
        <v>197.51529454208725</v>
      </c>
      <c r="CE153" s="62">
        <f t="shared" si="148"/>
        <v>196.65362486387215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16.072735021609226</v>
      </c>
      <c r="CL153" s="23">
        <f>EXP(-LN(2)/25)*CL152+(1-EXP(-LN(2)/25))/(LN(2)/25)*Calculateur!CG153*Calculateur!CI153*VLOOKUP('Données projet'!$B$12,Paramètres!$A$1:$I$89,3,0)*0.475*44/12</f>
        <v>0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16.072735021609226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-5.6843418860808015E-14</v>
      </c>
      <c r="CU153" s="18">
        <f>CT153*VLOOKUP('Données projet'!$B$13,Paramètres!$A$1:$I$89,3,0)*VLOOKUP('Données projet'!$B$13,Paramètres!$A$1:$I$89,5,0)</f>
        <v>-3.1036506698001178E-14</v>
      </c>
      <c r="CV153" s="14" t="e">
        <f t="shared" si="149"/>
        <v>#NUM!</v>
      </c>
      <c r="CW153" s="22" t="e">
        <f t="shared" si="121"/>
        <v>#NUM!</v>
      </c>
      <c r="CX153" s="62" t="e">
        <f t="shared" si="122"/>
        <v>#NUM!</v>
      </c>
      <c r="CY153" s="62">
        <f ca="1">AVERAGE(OFFSET($CX$3,0,0,'Données projet'!$E$13+1,1))-AVERAGE(OFFSET($H$3,0,0,'Données projet'!$E$13+1,1))</f>
        <v>303.14853302260451</v>
      </c>
      <c r="CZ153" s="62">
        <f t="shared" si="150"/>
        <v>298.74602928001929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47.293129984390269</v>
      </c>
      <c r="DG153" s="23">
        <f>EXP(-LN(2)/25)*DG152+(1-EXP(-LN(2)/25))/(LN(2)/25)*Calculateur!DB153*Calculateur!DD153*VLOOKUP('Données projet'!$B$13,Paramètres!$A$1:$I$89,3,0)*0.475*44/12</f>
        <v>5.6694211352097703</v>
      </c>
      <c r="DH153" s="23">
        <f>EXP(-LN(2)/2)*DH152+(1-EXP(-LN(2)/2))/(LN(2)/2)*DB153*DE153*VLOOKUP('Données projet'!$B$13,Paramètres!$A$1:$I$89,3,0)*0.475*44/12</f>
        <v>6.6886482239727557E-10</v>
      </c>
      <c r="DI153" s="24">
        <f t="shared" si="123"/>
        <v>52.962551120268898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70">
        <f t="shared" si="110"/>
        <v>256.66666666666669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3.8900000000000077</v>
      </c>
      <c r="N154" s="14">
        <f>IF('Données projet'!$A$36&gt;35,N153+M154-V153,IF(A154&lt;'Données projet'!$A$36,$K$205^A154,IF(A154='Données projet'!$A$36,'Données projet'!$B$36,N153+M154-V153)))</f>
        <v>240.05999999999975</v>
      </c>
      <c r="O154" s="14">
        <f>N154*VLOOKUP('Données projet'!$B$9,Paramètres!$A$1:$I$89,3,0)*VLOOKUP('Données projet'!$B$9,Paramètres!$A$1:$I$89,5,0)</f>
        <v>217.20628799999974</v>
      </c>
      <c r="P154" s="14">
        <f t="shared" si="141"/>
        <v>53.507235326386677</v>
      </c>
      <c r="Q154" s="22">
        <f t="shared" ref="Q154:Q203" si="162">(O154+P154)*0.475*44/12</f>
        <v>471.49271979345627</v>
      </c>
      <c r="R154" s="62">
        <f t="shared" si="109"/>
        <v>764.82605312678959</v>
      </c>
      <c r="S154" s="62">
        <f ca="1">AVERAGE(OFFSET($R$3,0,0,'Données projet'!$E$9+1,1))-AVERAGE(OFFSET($H$3,0,0,'Données projet'!$E$9+1,1))</f>
        <v>441.6145113257511</v>
      </c>
      <c r="T154" s="62">
        <f t="shared" si="142"/>
        <v>295.8399381972477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85.444213785358855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85.444213785358855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-4.5474735088646412E-13</v>
      </c>
      <c r="AJ154" s="14">
        <f>AI154*VLOOKUP('Données projet'!$B$10,Paramètres!$A$1:$I$89,3,0)*VLOOKUP('Données projet'!$B$10,Paramètres!$A$1:$I$89,5,0)</f>
        <v>-3.9017322706058626E-13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623.31285537237943</v>
      </c>
      <c r="AO154" s="62">
        <f t="shared" si="144"/>
        <v>462.33909258902241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102.47008127638902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102.47008127638902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-1.7053025658242404E-13</v>
      </c>
      <c r="BE154" s="14">
        <f>BD154*VLOOKUP('Données projet'!$B$11,Paramètres!$A$1:$I$89,3,0)*VLOOKUP('Données projet'!$B$11,Paramètres!$A$1:$I$89,5,0)</f>
        <v>-1.3567387213697657E-13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299.10536994156814</v>
      </c>
      <c r="BJ154" s="62">
        <f t="shared" si="146"/>
        <v>292.57799203101769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29.745330212737251</v>
      </c>
      <c r="BQ154" s="23">
        <f>EXP(-LN(2)/25)*BQ153+(1-EXP(-LN(2)/25))/(LN(2)/25)*Calculateur!BL154*Calculateur!BN154*VLOOKUP('Données projet'!$B$11,Paramètres!$A$1:$I$89,3,0)*0.475*44/12</f>
        <v>0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29.745330212737251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2.8421709430404007E-14</v>
      </c>
      <c r="BZ154" s="14">
        <f>BY154*VLOOKUP('Données projet'!$B$12,Paramètres!$A$1:$I$89,3,0)*VLOOKUP('Données projet'!$B$12,Paramètres!$A$1:$I$89,5,0)</f>
        <v>2.2168933355715127E-14</v>
      </c>
      <c r="CA154" s="14">
        <f t="shared" ref="CA154:CA203" si="170">EXP(-1.0587+0.8836*LN(BZ154)+0.284)</f>
        <v>3.9687356123668477E-13</v>
      </c>
      <c r="CB154" s="22">
        <f t="shared" ref="CB154:CB203" si="171">(BZ154+CA154)*0.475*44/12</f>
        <v>7.2983234474842979E-13</v>
      </c>
      <c r="CC154" s="62">
        <f t="shared" si="119"/>
        <v>293.33333333333405</v>
      </c>
      <c r="CD154" s="62">
        <f ca="1">AVERAGE(OFFSET($CC$3,0,0,'Données projet'!$E$12+1,1))-AVERAGE(OFFSET($H$3,0,0,'Données projet'!$E$12+1,1))</f>
        <v>197.51529454208725</v>
      </c>
      <c r="CE154" s="62">
        <f t="shared" si="148"/>
        <v>196.65362486387215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15.757558491235827</v>
      </c>
      <c r="CL154" s="23">
        <f>EXP(-LN(2)/25)*CL153+(1-EXP(-LN(2)/25))/(LN(2)/25)*Calculateur!CG154*Calculateur!CI154*VLOOKUP('Données projet'!$B$12,Paramètres!$A$1:$I$89,3,0)*0.475*44/12</f>
        <v>0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15.757558491235827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-5.6843418860808015E-14</v>
      </c>
      <c r="CU154" s="18">
        <f>CT154*VLOOKUP('Données projet'!$B$13,Paramètres!$A$1:$I$89,3,0)*VLOOKUP('Données projet'!$B$13,Paramètres!$A$1:$I$89,5,0)</f>
        <v>-3.1036506698001178E-14</v>
      </c>
      <c r="CV154" s="14" t="e">
        <f t="shared" ref="CV154:CV203" si="173">EXP(-1.0587+0.8836*LN(CU154)+0.284)</f>
        <v>#NUM!</v>
      </c>
      <c r="CW154" s="22" t="e">
        <f t="shared" ref="CW154:CW203" si="174">(CU154+CV154)*0.475*44/12</f>
        <v>#NUM!</v>
      </c>
      <c r="CX154" s="62" t="e">
        <f t="shared" si="122"/>
        <v>#NUM!</v>
      </c>
      <c r="CY154" s="62">
        <f ca="1">AVERAGE(OFFSET($CX$3,0,0,'Données projet'!$E$13+1,1))-AVERAGE(OFFSET($H$3,0,0,'Données projet'!$E$13+1,1))</f>
        <v>303.14853302260451</v>
      </c>
      <c r="CZ154" s="62">
        <f t="shared" si="150"/>
        <v>298.74602928001929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46.365740551357362</v>
      </c>
      <c r="DG154" s="23">
        <f>EXP(-LN(2)/25)*DG153+(1-EXP(-LN(2)/25))/(LN(2)/25)*Calculateur!DB154*Calculateur!DD154*VLOOKUP('Données projet'!$B$13,Paramètres!$A$1:$I$89,3,0)*0.475*44/12</f>
        <v>5.5143905161255589</v>
      </c>
      <c r="DH154" s="23">
        <f>EXP(-LN(2)/2)*DH153+(1-EXP(-LN(2)/2))/(LN(2)/2)*DB154*DE154*VLOOKUP('Données projet'!$B$13,Paramètres!$A$1:$I$89,3,0)*0.475*44/12</f>
        <v>4.7295885161424931E-10</v>
      </c>
      <c r="DI154" s="24">
        <f t="shared" ref="DI154:DI203" si="175">SUM(DF154:DH154)</f>
        <v>51.88013106795588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70">
        <f t="shared" si="110"/>
        <v>256.66666666666669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3.8900000000000077</v>
      </c>
      <c r="N155" s="14">
        <f>IF('Données projet'!$A$36&gt;35,N154+M155-V154,IF(A155&lt;'Données projet'!$A$36,$K$205^A155,IF(A155='Données projet'!$A$36,'Données projet'!$B$36,N154+M155-V154)))</f>
        <v>243.94999999999976</v>
      </c>
      <c r="O155" s="14">
        <f>N155*VLOOKUP('Données projet'!$B$9,Paramètres!$A$1:$I$89,3,0)*VLOOKUP('Données projet'!$B$9,Paramètres!$A$1:$I$89,5,0)</f>
        <v>220.72595999999976</v>
      </c>
      <c r="P155" s="14">
        <f t="shared" si="141"/>
        <v>54.272639274623444</v>
      </c>
      <c r="Q155" s="22">
        <f t="shared" si="162"/>
        <v>478.95589373663535</v>
      </c>
      <c r="R155" s="62">
        <f t="shared" si="109"/>
        <v>772.28922706996866</v>
      </c>
      <c r="S155" s="62">
        <f ca="1">AVERAGE(OFFSET($R$3,0,0,'Données projet'!$E$9+1,1))-AVERAGE(OFFSET($H$3,0,0,'Données projet'!$E$9+1,1))</f>
        <v>441.6145113257511</v>
      </c>
      <c r="T155" s="62">
        <f t="shared" si="142"/>
        <v>295.8399381972477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83.768704868852367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83.768704868852367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-4.5474735088646412E-13</v>
      </c>
      <c r="AJ155" s="14">
        <f>AI155*VLOOKUP('Données projet'!$B$10,Paramètres!$A$1:$I$89,3,0)*VLOOKUP('Données projet'!$B$10,Paramètres!$A$1:$I$89,5,0)</f>
        <v>-3.9017322706058626E-13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623.31285537237943</v>
      </c>
      <c r="AO155" s="62">
        <f t="shared" si="144"/>
        <v>462.33909258902241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100.46070548313719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100.46070548313719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-1.7053025658242404E-13</v>
      </c>
      <c r="BE155" s="14">
        <f>BD155*VLOOKUP('Données projet'!$B$11,Paramètres!$A$1:$I$89,3,0)*VLOOKUP('Données projet'!$B$11,Paramètres!$A$1:$I$89,5,0)</f>
        <v>-1.3567387213697657E-13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299.10536994156814</v>
      </c>
      <c r="BJ155" s="62">
        <f t="shared" si="146"/>
        <v>292.57799203101769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29.162042430125446</v>
      </c>
      <c r="BQ155" s="23">
        <f>EXP(-LN(2)/25)*BQ154+(1-EXP(-LN(2)/25))/(LN(2)/25)*Calculateur!BL155*Calculateur!BN155*VLOOKUP('Données projet'!$B$11,Paramètres!$A$1:$I$89,3,0)*0.475*44/12</f>
        <v>0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29.162042430125446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2.8421709430404007E-14</v>
      </c>
      <c r="BZ155" s="14">
        <f>BY155*VLOOKUP('Données projet'!$B$12,Paramètres!$A$1:$I$89,3,0)*VLOOKUP('Données projet'!$B$12,Paramètres!$A$1:$I$89,5,0)</f>
        <v>2.2168933355715127E-14</v>
      </c>
      <c r="CA155" s="14">
        <f t="shared" si="170"/>
        <v>3.9687356123668477E-13</v>
      </c>
      <c r="CB155" s="22">
        <f t="shared" si="171"/>
        <v>7.2983234474842979E-13</v>
      </c>
      <c r="CC155" s="62">
        <f t="shared" si="119"/>
        <v>293.33333333333405</v>
      </c>
      <c r="CD155" s="62">
        <f ca="1">AVERAGE(OFFSET($CC$3,0,0,'Données projet'!$E$12+1,1))-AVERAGE(OFFSET($H$3,0,0,'Données projet'!$E$12+1,1))</f>
        <v>197.51529454208725</v>
      </c>
      <c r="CE155" s="62">
        <f t="shared" si="148"/>
        <v>196.65362486387215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15.448562380384349</v>
      </c>
      <c r="CL155" s="23">
        <f>EXP(-LN(2)/25)*CL154+(1-EXP(-LN(2)/25))/(LN(2)/25)*Calculateur!CG155*Calculateur!CI155*VLOOKUP('Données projet'!$B$12,Paramètres!$A$1:$I$89,3,0)*0.475*44/12</f>
        <v>0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15.448562380384349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-5.6843418860808015E-14</v>
      </c>
      <c r="CU155" s="18">
        <f>CT155*VLOOKUP('Données projet'!$B$13,Paramètres!$A$1:$I$89,3,0)*VLOOKUP('Données projet'!$B$13,Paramètres!$A$1:$I$89,5,0)</f>
        <v>-3.1036506698001178E-14</v>
      </c>
      <c r="CV155" s="14" t="e">
        <f t="shared" si="173"/>
        <v>#NUM!</v>
      </c>
      <c r="CW155" s="22" t="e">
        <f t="shared" si="174"/>
        <v>#NUM!</v>
      </c>
      <c r="CX155" s="62" t="e">
        <f t="shared" si="122"/>
        <v>#NUM!</v>
      </c>
      <c r="CY155" s="62">
        <f ca="1">AVERAGE(OFFSET($CX$3,0,0,'Données projet'!$E$13+1,1))-AVERAGE(OFFSET($H$3,0,0,'Données projet'!$E$13+1,1))</f>
        <v>303.14853302260451</v>
      </c>
      <c r="CZ155" s="62">
        <f t="shared" si="150"/>
        <v>298.74602928001929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45.456536659454535</v>
      </c>
      <c r="DG155" s="23">
        <f>EXP(-LN(2)/25)*DG154+(1-EXP(-LN(2)/25))/(LN(2)/25)*Calculateur!DB155*Calculateur!DD155*VLOOKUP('Données projet'!$B$13,Paramètres!$A$1:$I$89,3,0)*0.475*44/12</f>
        <v>5.3635992174729115</v>
      </c>
      <c r="DH155" s="23">
        <f>EXP(-LN(2)/2)*DH154+(1-EXP(-LN(2)/2))/(LN(2)/2)*DB155*DE155*VLOOKUP('Données projet'!$B$13,Paramètres!$A$1:$I$89,3,0)*0.475*44/12</f>
        <v>3.3443241119863779E-10</v>
      </c>
      <c r="DI155" s="24">
        <f t="shared" si="175"/>
        <v>50.820135877261876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70">
        <f t="shared" si="110"/>
        <v>256.66666666666669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>
        <f>VLOOKUP(A156,'Données projet'!$A$35:$I$55,2,0)</f>
        <v>247.84</v>
      </c>
      <c r="L156" s="13">
        <f>VLOOKUP(A156,'Données projet'!$A$35:$I$55,9,0)</f>
        <v>3.8900000000000077</v>
      </c>
      <c r="M156" s="13">
        <f t="array" ref="M156">INDEX(L:L,MIN(IF(ISNUMBER(L156:L352),ROW(L156:L352),"")))</f>
        <v>3.8900000000000077</v>
      </c>
      <c r="N156" s="14">
        <f>IF('Données projet'!$A$36&gt;35,N155+M156-V155,IF(A156&lt;'Données projet'!$A$36,$K$205^A156,IF(A156='Données projet'!$A$36,'Données projet'!$B$36,N155+M156-V155)))</f>
        <v>247.83999999999978</v>
      </c>
      <c r="O156" s="14">
        <f>N156*VLOOKUP('Données projet'!$B$9,Paramètres!$A$1:$I$89,3,0)*VLOOKUP('Données projet'!$B$9,Paramètres!$A$1:$I$89,5,0)</f>
        <v>224.24563199999977</v>
      </c>
      <c r="P156" s="14">
        <f t="shared" si="141"/>
        <v>55.036623809359014</v>
      </c>
      <c r="Q156" s="22">
        <f t="shared" si="162"/>
        <v>486.41659553463325</v>
      </c>
      <c r="R156" s="62">
        <f t="shared" si="109"/>
        <v>779.74992886796656</v>
      </c>
      <c r="S156" s="62">
        <f ca="1">AVERAGE(OFFSET($R$3,0,0,'Données projet'!$E$9+1,1))-AVERAGE(OFFSET($H$3,0,0,'Données projet'!$E$9+1,1))</f>
        <v>441.6145113257511</v>
      </c>
      <c r="T156" s="62">
        <f t="shared" si="142"/>
        <v>295.8399381972477</v>
      </c>
      <c r="U156" s="16">
        <f>IF(ISNA(VLOOKUP(A156,'Données projet'!$A$35:$I$55,3,0)),0,VLOOKUP(A156,'Données projet'!$A$35:$I$55,3,0))</f>
        <v>13</v>
      </c>
      <c r="V156" s="16">
        <f>IF(ISNA(VLOOKUP(A156,'Données projet'!$A$35:$I$55,4,0)),0,VLOOKUP(A156,'Données projet'!$A$35:$I$55,4,0))</f>
        <v>89.29</v>
      </c>
      <c r="W156" s="17">
        <f>IF(ISNA(VLOOKUP(A156,'Données projet'!$A$35:$I$55,5,0)),0%,VLOOKUP(A156,'Données projet'!$A$35:$I$55,5,0)*VLOOKUP('Données projet'!$B$9,Paramètres!$A$1:$I$89,7,0))</f>
        <v>0.30099999999999999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109.00851244033525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109.00851244033525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-4.5474735088646412E-13</v>
      </c>
      <c r="AJ156" s="14">
        <f>AI156*VLOOKUP('Données projet'!$B$10,Paramètres!$A$1:$I$89,3,0)*VLOOKUP('Données projet'!$B$10,Paramètres!$A$1:$I$89,5,0)</f>
        <v>-3.9017322706058626E-13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623.31285537237943</v>
      </c>
      <c r="AO156" s="62">
        <f t="shared" si="144"/>
        <v>462.33909258902241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98.490732323592809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98.490732323592809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-1.7053025658242404E-13</v>
      </c>
      <c r="BE156" s="14">
        <f>BD156*VLOOKUP('Données projet'!$B$11,Paramètres!$A$1:$I$89,3,0)*VLOOKUP('Données projet'!$B$11,Paramètres!$A$1:$I$89,5,0)</f>
        <v>-1.3567387213697657E-13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299.10536994156814</v>
      </c>
      <c r="BJ156" s="62">
        <f t="shared" si="146"/>
        <v>292.57799203101769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28.59019256516024</v>
      </c>
      <c r="BQ156" s="23">
        <f>EXP(-LN(2)/25)*BQ155+(1-EXP(-LN(2)/25))/(LN(2)/25)*Calculateur!BL156*Calculateur!BN156*VLOOKUP('Données projet'!$B$11,Paramètres!$A$1:$I$89,3,0)*0.475*44/12</f>
        <v>0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28.59019256516024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2.8421709430404007E-14</v>
      </c>
      <c r="BZ156" s="14">
        <f>BY156*VLOOKUP('Données projet'!$B$12,Paramètres!$A$1:$I$89,3,0)*VLOOKUP('Données projet'!$B$12,Paramètres!$A$1:$I$89,5,0)</f>
        <v>2.2168933355715127E-14</v>
      </c>
      <c r="CA156" s="14">
        <f t="shared" si="170"/>
        <v>3.9687356123668477E-13</v>
      </c>
      <c r="CB156" s="22">
        <f t="shared" si="171"/>
        <v>7.2983234474842979E-13</v>
      </c>
      <c r="CC156" s="62">
        <f t="shared" si="119"/>
        <v>293.33333333333405</v>
      </c>
      <c r="CD156" s="62">
        <f ca="1">AVERAGE(OFFSET($CC$3,0,0,'Données projet'!$E$12+1,1))-AVERAGE(OFFSET($H$3,0,0,'Données projet'!$E$12+1,1))</f>
        <v>197.51529454208725</v>
      </c>
      <c r="CE156" s="62">
        <f t="shared" si="148"/>
        <v>196.65362486387215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15.145625494797651</v>
      </c>
      <c r="CL156" s="23">
        <f>EXP(-LN(2)/25)*CL155+(1-EXP(-LN(2)/25))/(LN(2)/25)*Calculateur!CG156*Calculateur!CI156*VLOOKUP('Données projet'!$B$12,Paramètres!$A$1:$I$89,3,0)*0.475*44/12</f>
        <v>0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15.145625494797651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-5.6843418860808015E-14</v>
      </c>
      <c r="CU156" s="18">
        <f>CT156*VLOOKUP('Données projet'!$B$13,Paramètres!$A$1:$I$89,3,0)*VLOOKUP('Données projet'!$B$13,Paramètres!$A$1:$I$89,5,0)</f>
        <v>-3.1036506698001178E-14</v>
      </c>
      <c r="CV156" s="14" t="e">
        <f t="shared" si="173"/>
        <v>#NUM!</v>
      </c>
      <c r="CW156" s="22" t="e">
        <f t="shared" si="174"/>
        <v>#NUM!</v>
      </c>
      <c r="CX156" s="62" t="e">
        <f t="shared" si="122"/>
        <v>#NUM!</v>
      </c>
      <c r="CY156" s="62">
        <f ca="1">AVERAGE(OFFSET($CX$3,0,0,'Données projet'!$E$13+1,1))-AVERAGE(OFFSET($H$3,0,0,'Données projet'!$E$13+1,1))</f>
        <v>303.14853302260451</v>
      </c>
      <c r="CZ156" s="62">
        <f t="shared" si="150"/>
        <v>298.74602928001929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44.565161701312306</v>
      </c>
      <c r="DG156" s="23">
        <f>EXP(-LN(2)/25)*DG155+(1-EXP(-LN(2)/25))/(LN(2)/25)*Calculateur!DB156*Calculateur!DD156*VLOOKUP('Données projet'!$B$13,Paramètres!$A$1:$I$89,3,0)*0.475*44/12</f>
        <v>5.2169313148116903</v>
      </c>
      <c r="DH156" s="23">
        <f>EXP(-LN(2)/2)*DH155+(1-EXP(-LN(2)/2))/(LN(2)/2)*DB156*DE156*VLOOKUP('Données projet'!$B$13,Paramètres!$A$1:$I$89,3,0)*0.475*44/12</f>
        <v>2.3647942580712465E-10</v>
      </c>
      <c r="DI156" s="24">
        <f t="shared" si="175"/>
        <v>49.782093016360477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70">
        <f t="shared" si="110"/>
        <v>256.66666666666669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2.3049999999999997</v>
      </c>
      <c r="N157" s="14">
        <f>IF('Données projet'!$A$36&gt;35,N156+M157-V156,IF(A157&lt;'Données projet'!$A$36,$K$205^A157,IF(A157='Données projet'!$A$36,'Données projet'!$B$36,N156+M157-V156)))</f>
        <v>160.85499999999979</v>
      </c>
      <c r="O157" s="14">
        <f>N157*VLOOKUP('Données projet'!$B$9,Paramètres!$A$1:$I$89,3,0)*VLOOKUP('Données projet'!$B$9,Paramètres!$A$1:$I$89,5,0)</f>
        <v>145.54160399999981</v>
      </c>
      <c r="P157" s="14">
        <f t="shared" si="141"/>
        <v>37.563626766587547</v>
      </c>
      <c r="Q157" s="22">
        <f t="shared" si="162"/>
        <v>318.90827691847295</v>
      </c>
      <c r="R157" s="62">
        <f t="shared" si="109"/>
        <v>612.24161025180626</v>
      </c>
      <c r="S157" s="62">
        <f ca="1">AVERAGE(OFFSET($R$3,0,0,'Données projet'!$E$9+1,1))-AVERAGE(OFFSET($H$3,0,0,'Données projet'!$E$9+1,1))</f>
        <v>441.6145113257511</v>
      </c>
      <c r="T157" s="62">
        <f t="shared" si="142"/>
        <v>295.8399381972477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106.87092200000767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106.87092200000767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-4.5474735088646412E-13</v>
      </c>
      <c r="AJ157" s="14">
        <f>AI157*VLOOKUP('Données projet'!$B$10,Paramètres!$A$1:$I$89,3,0)*VLOOKUP('Données projet'!$B$10,Paramètres!$A$1:$I$89,5,0)</f>
        <v>-3.9017322706058626E-13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623.31285537237943</v>
      </c>
      <c r="AO157" s="62">
        <f t="shared" si="144"/>
        <v>462.33909258902241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96.559389136142116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96.559389136142116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-1.7053025658242404E-13</v>
      </c>
      <c r="BE157" s="14">
        <f>BD157*VLOOKUP('Données projet'!$B$11,Paramètres!$A$1:$I$89,3,0)*VLOOKUP('Données projet'!$B$11,Paramètres!$A$1:$I$89,5,0)</f>
        <v>-1.3567387213697657E-13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299.10536994156814</v>
      </c>
      <c r="BJ157" s="62">
        <f t="shared" si="146"/>
        <v>292.57799203101769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28.029556327253026</v>
      </c>
      <c r="BQ157" s="23">
        <f>EXP(-LN(2)/25)*BQ156+(1-EXP(-LN(2)/25))/(LN(2)/25)*Calculateur!BL157*Calculateur!BN157*VLOOKUP('Données projet'!$B$11,Paramètres!$A$1:$I$89,3,0)*0.475*44/12</f>
        <v>0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28.029556327253026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2.8421709430404007E-14</v>
      </c>
      <c r="BZ157" s="14">
        <f>BY157*VLOOKUP('Données projet'!$B$12,Paramètres!$A$1:$I$89,3,0)*VLOOKUP('Données projet'!$B$12,Paramètres!$A$1:$I$89,5,0)</f>
        <v>2.2168933355715127E-14</v>
      </c>
      <c r="CA157" s="14">
        <f t="shared" si="170"/>
        <v>3.9687356123668477E-13</v>
      </c>
      <c r="CB157" s="22">
        <f t="shared" si="171"/>
        <v>7.2983234474842979E-13</v>
      </c>
      <c r="CC157" s="62">
        <f t="shared" si="119"/>
        <v>293.33333333333405</v>
      </c>
      <c r="CD157" s="62">
        <f ca="1">AVERAGE(OFFSET($CC$3,0,0,'Données projet'!$E$12+1,1))-AVERAGE(OFFSET($H$3,0,0,'Données projet'!$E$12+1,1))</f>
        <v>197.51529454208725</v>
      </c>
      <c r="CE157" s="62">
        <f t="shared" si="148"/>
        <v>196.65362486387215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14.848629016764052</v>
      </c>
      <c r="CL157" s="23">
        <f>EXP(-LN(2)/25)*CL156+(1-EXP(-LN(2)/25))/(LN(2)/25)*Calculateur!CG157*Calculateur!CI157*VLOOKUP('Données projet'!$B$12,Paramètres!$A$1:$I$89,3,0)*0.475*44/12</f>
        <v>0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14.848629016764052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-5.6843418860808015E-14</v>
      </c>
      <c r="CU157" s="18">
        <f>CT157*VLOOKUP('Données projet'!$B$13,Paramètres!$A$1:$I$89,3,0)*VLOOKUP('Données projet'!$B$13,Paramètres!$A$1:$I$89,5,0)</f>
        <v>-3.1036506698001178E-14</v>
      </c>
      <c r="CV157" s="14" t="e">
        <f t="shared" si="173"/>
        <v>#NUM!</v>
      </c>
      <c r="CW157" s="22" t="e">
        <f t="shared" si="174"/>
        <v>#NUM!</v>
      </c>
      <c r="CX157" s="62" t="e">
        <f t="shared" si="122"/>
        <v>#NUM!</v>
      </c>
      <c r="CY157" s="62">
        <f ca="1">AVERAGE(OFFSET($CX$3,0,0,'Données projet'!$E$13+1,1))-AVERAGE(OFFSET($H$3,0,0,'Données projet'!$E$13+1,1))</f>
        <v>303.14853302260451</v>
      </c>
      <c r="CZ157" s="62">
        <f t="shared" si="150"/>
        <v>298.74602928001929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43.691266062414201</v>
      </c>
      <c r="DG157" s="23">
        <f>EXP(-LN(2)/25)*DG156+(1-EXP(-LN(2)/25))/(LN(2)/25)*Calculateur!DB157*Calculateur!DD157*VLOOKUP('Données projet'!$B$13,Paramètres!$A$1:$I$89,3,0)*0.475*44/12</f>
        <v>5.0742740536616706</v>
      </c>
      <c r="DH157" s="23">
        <f>EXP(-LN(2)/2)*DH156+(1-EXP(-LN(2)/2))/(LN(2)/2)*DB157*DE157*VLOOKUP('Données projet'!$B$13,Paramètres!$A$1:$I$89,3,0)*0.475*44/12</f>
        <v>1.6721620559931889E-10</v>
      </c>
      <c r="DI157" s="24">
        <f t="shared" si="175"/>
        <v>48.765540116243088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70">
        <f t="shared" si="110"/>
        <v>256.66666666666669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2.3049999999999997</v>
      </c>
      <c r="N158" s="14">
        <f>IF('Données projet'!$A$36&gt;35,N157+M158-V157,IF(A158&lt;'Données projet'!$A$36,$K$205^A158,IF(A158='Données projet'!$A$36,'Données projet'!$B$36,N157+M158-V157)))</f>
        <v>163.1599999999998</v>
      </c>
      <c r="O158" s="14">
        <f>N158*VLOOKUP('Données projet'!$B$9,Paramètres!$A$1:$I$89,3,0)*VLOOKUP('Données projet'!$B$9,Paramètres!$A$1:$I$89,5,0)</f>
        <v>147.62716799999981</v>
      </c>
      <c r="P158" s="14">
        <f t="shared" si="141"/>
        <v>38.038851636013931</v>
      </c>
      <c r="Q158" s="22">
        <f t="shared" si="162"/>
        <v>323.36831753272389</v>
      </c>
      <c r="R158" s="62">
        <f t="shared" si="109"/>
        <v>616.70165086605721</v>
      </c>
      <c r="S158" s="62">
        <f ca="1">AVERAGE(OFFSET($R$3,0,0,'Données projet'!$E$9+1,1))-AVERAGE(OFFSET($H$3,0,0,'Données projet'!$E$9+1,1))</f>
        <v>441.6145113257511</v>
      </c>
      <c r="T158" s="62">
        <f t="shared" si="142"/>
        <v>295.8399381972477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104.77524840441347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104.77524840441347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-4.5474735088646412E-13</v>
      </c>
      <c r="AJ158" s="14">
        <f>AI158*VLOOKUP('Données projet'!$B$10,Paramètres!$A$1:$I$89,3,0)*VLOOKUP('Données projet'!$B$10,Paramètres!$A$1:$I$89,5,0)</f>
        <v>-3.9017322706058626E-13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623.31285537237943</v>
      </c>
      <c r="AO158" s="62">
        <f t="shared" si="144"/>
        <v>462.33909258902241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94.665918410594301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94.665918410594301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-1.7053025658242404E-13</v>
      </c>
      <c r="BE158" s="14">
        <f>BD158*VLOOKUP('Données projet'!$B$11,Paramètres!$A$1:$I$89,3,0)*VLOOKUP('Données projet'!$B$11,Paramètres!$A$1:$I$89,5,0)</f>
        <v>-1.3567387213697657E-13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299.10536994156814</v>
      </c>
      <c r="BJ158" s="62">
        <f t="shared" si="146"/>
        <v>292.57799203101769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27.47991382401683</v>
      </c>
      <c r="BQ158" s="23">
        <f>EXP(-LN(2)/25)*BQ157+(1-EXP(-LN(2)/25))/(LN(2)/25)*Calculateur!BL158*Calculateur!BN158*VLOOKUP('Données projet'!$B$11,Paramètres!$A$1:$I$89,3,0)*0.475*44/12</f>
        <v>0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27.47991382401683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2.8421709430404007E-14</v>
      </c>
      <c r="BZ158" s="14">
        <f>BY158*VLOOKUP('Données projet'!$B$12,Paramètres!$A$1:$I$89,3,0)*VLOOKUP('Données projet'!$B$12,Paramètres!$A$1:$I$89,5,0)</f>
        <v>2.2168933355715127E-14</v>
      </c>
      <c r="CA158" s="14">
        <f t="shared" si="170"/>
        <v>3.9687356123668477E-13</v>
      </c>
      <c r="CB158" s="22">
        <f t="shared" si="171"/>
        <v>7.2983234474842979E-13</v>
      </c>
      <c r="CC158" s="62">
        <f t="shared" si="119"/>
        <v>293.33333333333405</v>
      </c>
      <c r="CD158" s="62">
        <f ca="1">AVERAGE(OFFSET($CC$3,0,0,'Données projet'!$E$12+1,1))-AVERAGE(OFFSET($H$3,0,0,'Données projet'!$E$12+1,1))</f>
        <v>197.51529454208725</v>
      </c>
      <c r="CE158" s="62">
        <f t="shared" si="148"/>
        <v>196.65362486387215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14.557456458514727</v>
      </c>
      <c r="CL158" s="23">
        <f>EXP(-LN(2)/25)*CL157+(1-EXP(-LN(2)/25))/(LN(2)/25)*Calculateur!CG158*Calculateur!CI158*VLOOKUP('Données projet'!$B$12,Paramètres!$A$1:$I$89,3,0)*0.475*44/12</f>
        <v>0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14.557456458514727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-5.6843418860808015E-14</v>
      </c>
      <c r="CU158" s="18">
        <f>CT158*VLOOKUP('Données projet'!$B$13,Paramètres!$A$1:$I$89,3,0)*VLOOKUP('Données projet'!$B$13,Paramètres!$A$1:$I$89,5,0)</f>
        <v>-3.1036506698001178E-14</v>
      </c>
      <c r="CV158" s="14" t="e">
        <f t="shared" si="173"/>
        <v>#NUM!</v>
      </c>
      <c r="CW158" s="22" t="e">
        <f t="shared" si="174"/>
        <v>#NUM!</v>
      </c>
      <c r="CX158" s="62" t="e">
        <f t="shared" si="122"/>
        <v>#NUM!</v>
      </c>
      <c r="CY158" s="62">
        <f ca="1">AVERAGE(OFFSET($CX$3,0,0,'Données projet'!$E$13+1,1))-AVERAGE(OFFSET($H$3,0,0,'Données projet'!$E$13+1,1))</f>
        <v>303.14853302260451</v>
      </c>
      <c r="CZ158" s="62">
        <f t="shared" si="150"/>
        <v>298.74602928001929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42.834506983971181</v>
      </c>
      <c r="DG158" s="23">
        <f>EXP(-LN(2)/25)*DG157+(1-EXP(-LN(2)/25))/(LN(2)/25)*Calculateur!DB158*Calculateur!DD158*VLOOKUP('Données projet'!$B$13,Paramètres!$A$1:$I$89,3,0)*0.475*44/12</f>
        <v>4.935517762819817</v>
      </c>
      <c r="DH158" s="23">
        <f>EXP(-LN(2)/2)*DH157+(1-EXP(-LN(2)/2))/(LN(2)/2)*DB158*DE158*VLOOKUP('Données projet'!$B$13,Paramètres!$A$1:$I$89,3,0)*0.475*44/12</f>
        <v>1.1823971290356233E-10</v>
      </c>
      <c r="DI158" s="24">
        <f t="shared" si="175"/>
        <v>47.770024746909236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70">
        <f t="shared" si="110"/>
        <v>256.66666666666669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2.3049999999999997</v>
      </c>
      <c r="N159" s="14">
        <f>IF('Données projet'!$A$36&gt;35,N158+M159-V158,IF(A159&lt;'Données projet'!$A$36,$K$205^A159,IF(A159='Données projet'!$A$36,'Données projet'!$B$36,N158+M159-V158)))</f>
        <v>165.4649999999998</v>
      </c>
      <c r="O159" s="14">
        <f>N159*VLOOKUP('Données projet'!$B$9,Paramètres!$A$1:$I$89,3,0)*VLOOKUP('Données projet'!$B$9,Paramètres!$A$1:$I$89,5,0)</f>
        <v>149.71273199999982</v>
      </c>
      <c r="P159" s="14">
        <f t="shared" si="141"/>
        <v>38.513295655433602</v>
      </c>
      <c r="Q159" s="22">
        <f t="shared" si="162"/>
        <v>327.8269981665465</v>
      </c>
      <c r="R159" s="62">
        <f t="shared" si="109"/>
        <v>621.16033149987982</v>
      </c>
      <c r="S159" s="62">
        <f ca="1">AVERAGE(OFFSET($R$3,0,0,'Données projet'!$E$9+1,1))-AVERAGE(OFFSET($H$3,0,0,'Données projet'!$E$9+1,1))</f>
        <v>441.6145113257511</v>
      </c>
      <c r="T159" s="62">
        <f t="shared" si="142"/>
        <v>295.8399381972477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102.72066968979421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102.72066968979421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-4.5474735088646412E-13</v>
      </c>
      <c r="AJ159" s="14">
        <f>AI159*VLOOKUP('Données projet'!$B$10,Paramètres!$A$1:$I$89,3,0)*VLOOKUP('Données projet'!$B$10,Paramètres!$A$1:$I$89,5,0)</f>
        <v>-3.9017322706058626E-13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623.31285537237943</v>
      </c>
      <c r="AO159" s="62">
        <f t="shared" si="144"/>
        <v>462.33909258902241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92.80957749107138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92.80957749107138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-1.7053025658242404E-13</v>
      </c>
      <c r="BE159" s="14">
        <f>BD159*VLOOKUP('Données projet'!$B$11,Paramètres!$A$1:$I$89,3,0)*VLOOKUP('Données projet'!$B$11,Paramètres!$A$1:$I$89,5,0)</f>
        <v>-1.3567387213697657E-13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299.10536994156814</v>
      </c>
      <c r="BJ159" s="62">
        <f t="shared" si="146"/>
        <v>292.57799203101769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26.941049475020272</v>
      </c>
      <c r="BQ159" s="23">
        <f>EXP(-LN(2)/25)*BQ158+(1-EXP(-LN(2)/25))/(LN(2)/25)*Calculateur!BL159*Calculateur!BN159*VLOOKUP('Données projet'!$B$11,Paramètres!$A$1:$I$89,3,0)*0.475*44/12</f>
        <v>0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26.941049475020272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2.8421709430404007E-14</v>
      </c>
      <c r="BZ159" s="14">
        <f>BY159*VLOOKUP('Données projet'!$B$12,Paramètres!$A$1:$I$89,3,0)*VLOOKUP('Données projet'!$B$12,Paramètres!$A$1:$I$89,5,0)</f>
        <v>2.2168933355715127E-14</v>
      </c>
      <c r="CA159" s="14">
        <f t="shared" si="170"/>
        <v>3.9687356123668477E-13</v>
      </c>
      <c r="CB159" s="22">
        <f t="shared" si="171"/>
        <v>7.2983234474842979E-13</v>
      </c>
      <c r="CC159" s="62">
        <f t="shared" si="119"/>
        <v>293.33333333333405</v>
      </c>
      <c r="CD159" s="62">
        <f ca="1">AVERAGE(OFFSET($CC$3,0,0,'Données projet'!$E$12+1,1))-AVERAGE(OFFSET($H$3,0,0,'Données projet'!$E$12+1,1))</f>
        <v>197.51529454208725</v>
      </c>
      <c r="CE159" s="62">
        <f t="shared" si="148"/>
        <v>196.65362486387215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14.271993616534948</v>
      </c>
      <c r="CL159" s="23">
        <f>EXP(-LN(2)/25)*CL158+(1-EXP(-LN(2)/25))/(LN(2)/25)*Calculateur!CG159*Calculateur!CI159*VLOOKUP('Données projet'!$B$12,Paramètres!$A$1:$I$89,3,0)*0.475*44/12</f>
        <v>0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14.271993616534948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-5.6843418860808015E-14</v>
      </c>
      <c r="CU159" s="18">
        <f>CT159*VLOOKUP('Données projet'!$B$13,Paramètres!$A$1:$I$89,3,0)*VLOOKUP('Données projet'!$B$13,Paramètres!$A$1:$I$89,5,0)</f>
        <v>-3.1036506698001178E-14</v>
      </c>
      <c r="CV159" s="14" t="e">
        <f t="shared" si="173"/>
        <v>#NUM!</v>
      </c>
      <c r="CW159" s="22" t="e">
        <f t="shared" si="174"/>
        <v>#NUM!</v>
      </c>
      <c r="CX159" s="62" t="e">
        <f t="shared" si="122"/>
        <v>#NUM!</v>
      </c>
      <c r="CY159" s="62">
        <f ca="1">AVERAGE(OFFSET($CX$3,0,0,'Données projet'!$E$13+1,1))-AVERAGE(OFFSET($H$3,0,0,'Données projet'!$E$13+1,1))</f>
        <v>303.14853302260451</v>
      </c>
      <c r="CZ159" s="62">
        <f t="shared" si="150"/>
        <v>298.74602928001929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41.99454842848499</v>
      </c>
      <c r="DG159" s="23">
        <f>EXP(-LN(2)/25)*DG158+(1-EXP(-LN(2)/25))/(LN(2)/25)*Calculateur!DB159*Calculateur!DD159*VLOOKUP('Données projet'!$B$13,Paramètres!$A$1:$I$89,3,0)*0.475*44/12</f>
        <v>4.80055577004791</v>
      </c>
      <c r="DH159" s="23">
        <f>EXP(-LN(2)/2)*DH158+(1-EXP(-LN(2)/2))/(LN(2)/2)*DB159*DE159*VLOOKUP('Données projet'!$B$13,Paramètres!$A$1:$I$89,3,0)*0.475*44/12</f>
        <v>8.3608102799659447E-11</v>
      </c>
      <c r="DI159" s="24">
        <f t="shared" si="175"/>
        <v>46.795104198616507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70">
        <f t="shared" si="110"/>
        <v>256.66666666666669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>
        <f>VLOOKUP(A160,'Données projet'!$A$35:$I$55,2,0)</f>
        <v>167.77</v>
      </c>
      <c r="L160" s="13">
        <f>VLOOKUP(A160,'Données projet'!$A$35:$I$55,9,0)</f>
        <v>2.3049999999999997</v>
      </c>
      <c r="M160" s="13">
        <f t="array" ref="M160">INDEX(L:L,MIN(IF(ISNUMBER(L160:L356),ROW(L160:L356),"")))</f>
        <v>2.3049999999999997</v>
      </c>
      <c r="N160" s="14">
        <f>IF('Données projet'!$A$36&gt;35,N159+M160-V159,IF(A160&lt;'Données projet'!$A$36,$K$205^A160,IF(A160='Données projet'!$A$36,'Données projet'!$B$36,N159+M160-V159)))</f>
        <v>167.76999999999981</v>
      </c>
      <c r="O160" s="14">
        <f>N160*VLOOKUP('Données projet'!$B$9,Paramètres!$A$1:$I$89,3,0)*VLOOKUP('Données projet'!$B$9,Paramètres!$A$1:$I$89,5,0)</f>
        <v>151.79829599999982</v>
      </c>
      <c r="P160" s="14">
        <f t="shared" si="141"/>
        <v>38.986970959529849</v>
      </c>
      <c r="Q160" s="22">
        <f t="shared" si="162"/>
        <v>332.28433995451422</v>
      </c>
      <c r="R160" s="62">
        <f t="shared" si="109"/>
        <v>625.61767328784754</v>
      </c>
      <c r="S160" s="62">
        <f ca="1">AVERAGE(OFFSET($R$3,0,0,'Données projet'!$E$9+1,1))-AVERAGE(OFFSET($H$3,0,0,'Données projet'!$E$9+1,1))</f>
        <v>441.6145113257511</v>
      </c>
      <c r="T160" s="62">
        <f t="shared" si="142"/>
        <v>295.8399381972477</v>
      </c>
      <c r="U160" s="16">
        <f>IF(ISNA(VLOOKUP(A160,'Données projet'!$A$35:$I$55,3,0)),0,VLOOKUP(A160,'Données projet'!$A$35:$I$55,3,0))</f>
        <v>14</v>
      </c>
      <c r="V160" s="16">
        <f>IF(ISNA(VLOOKUP(A160,'Données projet'!$A$35:$I$55,4,0)),0,VLOOKUP(A160,'Données projet'!$A$35:$I$55,4,0))</f>
        <v>57.95</v>
      </c>
      <c r="W160" s="17">
        <f>IF(ISNA(VLOOKUP(A160,'Données projet'!$A$35:$I$55,5,0)),0%,VLOOKUP(A160,'Données projet'!$A$35:$I$55,5,0)*VLOOKUP('Données projet'!$B$9,Paramètres!$A$1:$I$89,7,0))</f>
        <v>0.30099999999999999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118.15333490147823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118.15333490147823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-4.5474735088646412E-13</v>
      </c>
      <c r="AJ160" s="14">
        <f>AI160*VLOOKUP('Données projet'!$B$10,Paramètres!$A$1:$I$89,3,0)*VLOOKUP('Données projet'!$B$10,Paramètres!$A$1:$I$89,5,0)</f>
        <v>-3.9017322706058626E-13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623.31285537237943</v>
      </c>
      <c r="AO160" s="62">
        <f t="shared" si="144"/>
        <v>462.33909258902241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90.989638284724137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90.989638284724137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-1.7053025658242404E-13</v>
      </c>
      <c r="BE160" s="14">
        <f>BD160*VLOOKUP('Données projet'!$B$11,Paramètres!$A$1:$I$89,3,0)*VLOOKUP('Données projet'!$B$11,Paramètres!$A$1:$I$89,5,0)</f>
        <v>-1.3567387213697657E-13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299.10536994156814</v>
      </c>
      <c r="BJ160" s="62">
        <f t="shared" si="146"/>
        <v>292.57799203101769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26.412751927232737</v>
      </c>
      <c r="BQ160" s="23">
        <f>EXP(-LN(2)/25)*BQ159+(1-EXP(-LN(2)/25))/(LN(2)/25)*Calculateur!BL160*Calculateur!BN160*VLOOKUP('Données projet'!$B$11,Paramètres!$A$1:$I$89,3,0)*0.475*44/12</f>
        <v>0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26.412751927232737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2.8421709430404007E-14</v>
      </c>
      <c r="BZ160" s="14">
        <f>BY160*VLOOKUP('Données projet'!$B$12,Paramètres!$A$1:$I$89,3,0)*VLOOKUP('Données projet'!$B$12,Paramètres!$A$1:$I$89,5,0)</f>
        <v>2.2168933355715127E-14</v>
      </c>
      <c r="CA160" s="14">
        <f t="shared" si="170"/>
        <v>3.9687356123668477E-13</v>
      </c>
      <c r="CB160" s="22">
        <f t="shared" si="171"/>
        <v>7.2983234474842979E-13</v>
      </c>
      <c r="CC160" s="62">
        <f t="shared" si="119"/>
        <v>293.33333333333405</v>
      </c>
      <c r="CD160" s="62">
        <f ca="1">AVERAGE(OFFSET($CC$3,0,0,'Données projet'!$E$12+1,1))-AVERAGE(OFFSET($H$3,0,0,'Données projet'!$E$12+1,1))</f>
        <v>197.51529454208725</v>
      </c>
      <c r="CE160" s="62">
        <f t="shared" si="148"/>
        <v>196.65362486387215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13.99212852677125</v>
      </c>
      <c r="CL160" s="23">
        <f>EXP(-LN(2)/25)*CL159+(1-EXP(-LN(2)/25))/(LN(2)/25)*Calculateur!CG160*Calculateur!CI160*VLOOKUP('Données projet'!$B$12,Paramètres!$A$1:$I$89,3,0)*0.475*44/12</f>
        <v>0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13.99212852677125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-5.6843418860808015E-14</v>
      </c>
      <c r="CU160" s="18">
        <f>CT160*VLOOKUP('Données projet'!$B$13,Paramètres!$A$1:$I$89,3,0)*VLOOKUP('Données projet'!$B$13,Paramètres!$A$1:$I$89,5,0)</f>
        <v>-3.1036506698001178E-14</v>
      </c>
      <c r="CV160" s="14" t="e">
        <f t="shared" si="173"/>
        <v>#NUM!</v>
      </c>
      <c r="CW160" s="22" t="e">
        <f t="shared" si="174"/>
        <v>#NUM!</v>
      </c>
      <c r="CX160" s="62" t="e">
        <f t="shared" si="122"/>
        <v>#NUM!</v>
      </c>
      <c r="CY160" s="62">
        <f ca="1">AVERAGE(OFFSET($CX$3,0,0,'Données projet'!$E$13+1,1))-AVERAGE(OFFSET($H$3,0,0,'Données projet'!$E$13+1,1))</f>
        <v>303.14853302260451</v>
      </c>
      <c r="CZ160" s="62">
        <f t="shared" si="150"/>
        <v>298.74602928001929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41.171060947947751</v>
      </c>
      <c r="DG160" s="23">
        <f>EXP(-LN(2)/25)*DG159+(1-EXP(-LN(2)/25))/(LN(2)/25)*Calculateur!DB160*Calculateur!DD160*VLOOKUP('Données projet'!$B$13,Paramètres!$A$1:$I$89,3,0)*0.475*44/12</f>
        <v>4.6692843200656942</v>
      </c>
      <c r="DH160" s="23">
        <f>EXP(-LN(2)/2)*DH159+(1-EXP(-LN(2)/2))/(LN(2)/2)*DB160*DE160*VLOOKUP('Données projet'!$B$13,Paramètres!$A$1:$I$89,3,0)*0.475*44/12</f>
        <v>5.9119856451781163E-11</v>
      </c>
      <c r="DI160" s="24">
        <f t="shared" si="175"/>
        <v>45.840345268072561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70">
        <f t="shared" si="110"/>
        <v>256.66666666666669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1.4024999999999999</v>
      </c>
      <c r="N161" s="14">
        <f>IF('Données projet'!$A$36&gt;35,N160+M161-V160,IF(A161&lt;'Données projet'!$A$36,$K$205^A161,IF(A161='Données projet'!$A$36,'Données projet'!$B$36,N160+M161-V160)))</f>
        <v>111.22249999999981</v>
      </c>
      <c r="O161" s="14">
        <f>N161*VLOOKUP('Données projet'!$B$9,Paramètres!$A$1:$I$89,3,0)*VLOOKUP('Données projet'!$B$9,Paramètres!$A$1:$I$89,5,0)</f>
        <v>100.63411799999983</v>
      </c>
      <c r="P161" s="14">
        <f t="shared" si="141"/>
        <v>27.113011795358872</v>
      </c>
      <c r="Q161" s="22">
        <f t="shared" si="162"/>
        <v>222.4929177269164</v>
      </c>
      <c r="R161" s="62">
        <f t="shared" si="109"/>
        <v>515.82625106024966</v>
      </c>
      <c r="S161" s="62">
        <f ca="1">AVERAGE(OFFSET($R$3,0,0,'Données projet'!$E$9+1,1))-AVERAGE(OFFSET($H$3,0,0,'Données projet'!$E$9+1,1))</f>
        <v>441.6145113257511</v>
      </c>
      <c r="T161" s="62">
        <f t="shared" si="142"/>
        <v>295.8399381972477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115.83642007047857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115.83642007047857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-4.5474735088646412E-13</v>
      </c>
      <c r="AJ161" s="14">
        <f>AI161*VLOOKUP('Données projet'!$B$10,Paramètres!$A$1:$I$89,3,0)*VLOOKUP('Données projet'!$B$10,Paramètres!$A$1:$I$89,5,0)</f>
        <v>-3.9017322706058626E-13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623.31285537237943</v>
      </c>
      <c r="AO161" s="62">
        <f t="shared" si="144"/>
        <v>462.33909258902241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89.205386976160057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89.205386976160057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-1.7053025658242404E-13</v>
      </c>
      <c r="BE161" s="14">
        <f>BD161*VLOOKUP('Données projet'!$B$11,Paramètres!$A$1:$I$89,3,0)*VLOOKUP('Données projet'!$B$11,Paramètres!$A$1:$I$89,5,0)</f>
        <v>-1.3567387213697657E-13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299.10536994156814</v>
      </c>
      <c r="BJ161" s="62">
        <f t="shared" si="146"/>
        <v>292.57799203101769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25.894813972127629</v>
      </c>
      <c r="BQ161" s="23">
        <f>EXP(-LN(2)/25)*BQ160+(1-EXP(-LN(2)/25))/(LN(2)/25)*Calculateur!BL161*Calculateur!BN161*VLOOKUP('Données projet'!$B$11,Paramètres!$A$1:$I$89,3,0)*0.475*44/12</f>
        <v>0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25.894813972127629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2.8421709430404007E-14</v>
      </c>
      <c r="BZ161" s="14">
        <f>BY161*VLOOKUP('Données projet'!$B$12,Paramètres!$A$1:$I$89,3,0)*VLOOKUP('Données projet'!$B$12,Paramètres!$A$1:$I$89,5,0)</f>
        <v>2.2168933355715127E-14</v>
      </c>
      <c r="CA161" s="14">
        <f t="shared" si="170"/>
        <v>3.9687356123668477E-13</v>
      </c>
      <c r="CB161" s="22">
        <f t="shared" si="171"/>
        <v>7.2983234474842979E-13</v>
      </c>
      <c r="CC161" s="62">
        <f t="shared" si="119"/>
        <v>293.33333333333405</v>
      </c>
      <c r="CD161" s="62">
        <f ca="1">AVERAGE(OFFSET($CC$3,0,0,'Données projet'!$E$12+1,1))-AVERAGE(OFFSET($H$3,0,0,'Données projet'!$E$12+1,1))</f>
        <v>197.51529454208725</v>
      </c>
      <c r="CE161" s="62">
        <f t="shared" si="148"/>
        <v>196.65362486387215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13.717751420716969</v>
      </c>
      <c r="CL161" s="23">
        <f>EXP(-LN(2)/25)*CL160+(1-EXP(-LN(2)/25))/(LN(2)/25)*Calculateur!CG161*Calculateur!CI161*VLOOKUP('Données projet'!$B$12,Paramètres!$A$1:$I$89,3,0)*0.475*44/12</f>
        <v>0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13.717751420716969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-5.6843418860808015E-14</v>
      </c>
      <c r="CU161" s="18">
        <f>CT161*VLOOKUP('Données projet'!$B$13,Paramètres!$A$1:$I$89,3,0)*VLOOKUP('Données projet'!$B$13,Paramètres!$A$1:$I$89,5,0)</f>
        <v>-3.1036506698001178E-14</v>
      </c>
      <c r="CV161" s="14" t="e">
        <f t="shared" si="173"/>
        <v>#NUM!</v>
      </c>
      <c r="CW161" s="22" t="e">
        <f t="shared" si="174"/>
        <v>#NUM!</v>
      </c>
      <c r="CX161" s="62" t="e">
        <f t="shared" si="122"/>
        <v>#NUM!</v>
      </c>
      <c r="CY161" s="62">
        <f ca="1">AVERAGE(OFFSET($CX$3,0,0,'Données projet'!$E$13+1,1))-AVERAGE(OFFSET($H$3,0,0,'Données projet'!$E$13+1,1))</f>
        <v>303.14853302260451</v>
      </c>
      <c r="CZ161" s="62">
        <f t="shared" si="150"/>
        <v>298.74602928001929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40.363721554626082</v>
      </c>
      <c r="DG161" s="23">
        <f>EXP(-LN(2)/25)*DG160+(1-EXP(-LN(2)/25))/(LN(2)/25)*Calculateur!DB161*Calculateur!DD161*VLOOKUP('Données projet'!$B$13,Paramètres!$A$1:$I$89,3,0)*0.475*44/12</f>
        <v>4.541602494786507</v>
      </c>
      <c r="DH161" s="23">
        <f>EXP(-LN(2)/2)*DH160+(1-EXP(-LN(2)/2))/(LN(2)/2)*DB161*DE161*VLOOKUP('Données projet'!$B$13,Paramètres!$A$1:$I$89,3,0)*0.475*44/12</f>
        <v>4.1804051399829723E-11</v>
      </c>
      <c r="DI161" s="24">
        <f t="shared" si="175"/>
        <v>44.905324049454393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70">
        <f t="shared" si="110"/>
        <v>256.66666666666669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1.4024999999999999</v>
      </c>
      <c r="N162" s="14">
        <f>IF('Données projet'!$A$36&gt;35,N161+M162-V161,IF(A162&lt;'Données projet'!$A$36,$K$205^A162,IF(A162='Données projet'!$A$36,'Données projet'!$B$36,N161+M162-V161)))</f>
        <v>112.62499999999982</v>
      </c>
      <c r="O162" s="14">
        <f>N162*VLOOKUP('Données projet'!$B$9,Paramètres!$A$1:$I$89,3,0)*VLOOKUP('Données projet'!$B$9,Paramètres!$A$1:$I$89,5,0)</f>
        <v>101.90309999999984</v>
      </c>
      <c r="P162" s="14">
        <f t="shared" si="141"/>
        <v>27.414886227568356</v>
      </c>
      <c r="Q162" s="22">
        <f t="shared" si="162"/>
        <v>225.22882601301455</v>
      </c>
      <c r="R162" s="62">
        <f t="shared" si="109"/>
        <v>518.56215934634793</v>
      </c>
      <c r="S162" s="62">
        <f ca="1">AVERAGE(OFFSET($R$3,0,0,'Données projet'!$E$9+1,1))-AVERAGE(OFFSET($H$3,0,0,'Données projet'!$E$9+1,1))</f>
        <v>441.6145113257511</v>
      </c>
      <c r="T162" s="62">
        <f t="shared" si="142"/>
        <v>295.8399381972477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113.5649385261363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113.5649385261363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-4.5474735088646412E-13</v>
      </c>
      <c r="AJ162" s="14">
        <f>AI162*VLOOKUP('Données projet'!$B$10,Paramètres!$A$1:$I$89,3,0)*VLOOKUP('Données projet'!$B$10,Paramètres!$A$1:$I$89,5,0)</f>
        <v>-3.9017322706058626E-13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623.31285537237943</v>
      </c>
      <c r="AO162" s="62">
        <f t="shared" si="144"/>
        <v>462.33909258902241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87.456123747471082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87.456123747471082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-1.7053025658242404E-13</v>
      </c>
      <c r="BE162" s="14">
        <f>BD162*VLOOKUP('Données projet'!$B$11,Paramètres!$A$1:$I$89,3,0)*VLOOKUP('Données projet'!$B$11,Paramètres!$A$1:$I$89,5,0)</f>
        <v>-1.3567387213697657E-13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299.10536994156814</v>
      </c>
      <c r="BJ162" s="62">
        <f t="shared" si="146"/>
        <v>292.57799203101769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25.387032464411174</v>
      </c>
      <c r="BQ162" s="23">
        <f>EXP(-LN(2)/25)*BQ161+(1-EXP(-LN(2)/25))/(LN(2)/25)*Calculateur!BL162*Calculateur!BN162*VLOOKUP('Données projet'!$B$11,Paramètres!$A$1:$I$89,3,0)*0.475*44/12</f>
        <v>0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25.387032464411174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2.8421709430404007E-14</v>
      </c>
      <c r="BZ162" s="14">
        <f>BY162*VLOOKUP('Données projet'!$B$12,Paramètres!$A$1:$I$89,3,0)*VLOOKUP('Données projet'!$B$12,Paramètres!$A$1:$I$89,5,0)</f>
        <v>2.2168933355715127E-14</v>
      </c>
      <c r="CA162" s="14">
        <f t="shared" si="170"/>
        <v>3.9687356123668477E-13</v>
      </c>
      <c r="CB162" s="22">
        <f t="shared" si="171"/>
        <v>7.2983234474842979E-13</v>
      </c>
      <c r="CC162" s="62">
        <f t="shared" si="119"/>
        <v>293.33333333333405</v>
      </c>
      <c r="CD162" s="62">
        <f ca="1">AVERAGE(OFFSET($CC$3,0,0,'Données projet'!$E$12+1,1))-AVERAGE(OFFSET($H$3,0,0,'Données projet'!$E$12+1,1))</f>
        <v>197.51529454208725</v>
      </c>
      <c r="CE162" s="62">
        <f t="shared" si="148"/>
        <v>196.65362486387215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13.448754682358903</v>
      </c>
      <c r="CL162" s="23">
        <f>EXP(-LN(2)/25)*CL161+(1-EXP(-LN(2)/25))/(LN(2)/25)*Calculateur!CG162*Calculateur!CI162*VLOOKUP('Données projet'!$B$12,Paramètres!$A$1:$I$89,3,0)*0.475*44/12</f>
        <v>0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13.448754682358903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-5.6843418860808015E-14</v>
      </c>
      <c r="CU162" s="18">
        <f>CT162*VLOOKUP('Données projet'!$B$13,Paramètres!$A$1:$I$89,3,0)*VLOOKUP('Données projet'!$B$13,Paramètres!$A$1:$I$89,5,0)</f>
        <v>-3.1036506698001178E-14</v>
      </c>
      <c r="CV162" s="14" t="e">
        <f t="shared" si="173"/>
        <v>#NUM!</v>
      </c>
      <c r="CW162" s="22" t="e">
        <f t="shared" si="174"/>
        <v>#NUM!</v>
      </c>
      <c r="CX162" s="62" t="e">
        <f t="shared" si="122"/>
        <v>#NUM!</v>
      </c>
      <c r="CY162" s="62">
        <f ca="1">AVERAGE(OFFSET($CX$3,0,0,'Données projet'!$E$13+1,1))-AVERAGE(OFFSET($H$3,0,0,'Données projet'!$E$13+1,1))</f>
        <v>303.14853302260451</v>
      </c>
      <c r="CZ162" s="62">
        <f t="shared" si="150"/>
        <v>298.74602928001929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39.572213594379043</v>
      </c>
      <c r="DG162" s="23">
        <f>EXP(-LN(2)/25)*DG161+(1-EXP(-LN(2)/25))/(LN(2)/25)*Calculateur!DB162*Calculateur!DD162*VLOOKUP('Données projet'!$B$13,Paramètres!$A$1:$I$89,3,0)*0.475*44/12</f>
        <v>4.4174121357340743</v>
      </c>
      <c r="DH162" s="23">
        <f>EXP(-LN(2)/2)*DH161+(1-EXP(-LN(2)/2))/(LN(2)/2)*DB162*DE162*VLOOKUP('Données projet'!$B$13,Paramètres!$A$1:$I$89,3,0)*0.475*44/12</f>
        <v>2.9559928225890582E-11</v>
      </c>
      <c r="DI162" s="24">
        <f t="shared" si="175"/>
        <v>43.989625730142677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70">
        <f t="shared" si="110"/>
        <v>256.66666666666669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1.4024999999999999</v>
      </c>
      <c r="N163" s="14">
        <f>IF('Données projet'!$A$36&gt;35,N162+M163-V162,IF(A163&lt;'Données projet'!$A$36,$K$205^A163,IF(A163='Données projet'!$A$36,'Données projet'!$B$36,N162+M163-V162)))</f>
        <v>114.02749999999982</v>
      </c>
      <c r="O163" s="14">
        <f>N163*VLOOKUP('Données projet'!$B$9,Paramètres!$A$1:$I$89,3,0)*VLOOKUP('Données projet'!$B$9,Paramètres!$A$1:$I$89,5,0)</f>
        <v>103.17208199999983</v>
      </c>
      <c r="P163" s="14">
        <f t="shared" si="141"/>
        <v>27.716323394967262</v>
      </c>
      <c r="Q163" s="22">
        <f t="shared" si="162"/>
        <v>227.96397272956767</v>
      </c>
      <c r="R163" s="62">
        <f t="shared" si="109"/>
        <v>521.29730606290104</v>
      </c>
      <c r="S163" s="62">
        <f ca="1">AVERAGE(OFFSET($R$3,0,0,'Données projet'!$E$9+1,1))-AVERAGE(OFFSET($H$3,0,0,'Données projet'!$E$9+1,1))</f>
        <v>441.6145113257511</v>
      </c>
      <c r="T163" s="62">
        <f t="shared" si="142"/>
        <v>295.8399381972477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111.33799934941165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111.33799934941165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-4.5474735088646412E-13</v>
      </c>
      <c r="AJ163" s="14">
        <f>AI163*VLOOKUP('Données projet'!$B$10,Paramètres!$A$1:$I$89,3,0)*VLOOKUP('Données projet'!$B$10,Paramètres!$A$1:$I$89,5,0)</f>
        <v>-3.9017322706058626E-13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623.31285537237943</v>
      </c>
      <c r="AO163" s="62">
        <f t="shared" si="144"/>
        <v>462.33909258902241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85.741162503751482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85.741162503751482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-1.7053025658242404E-13</v>
      </c>
      <c r="BE163" s="14">
        <f>BD163*VLOOKUP('Données projet'!$B$11,Paramètres!$A$1:$I$89,3,0)*VLOOKUP('Données projet'!$B$11,Paramètres!$A$1:$I$89,5,0)</f>
        <v>-1.3567387213697657E-13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299.10536994156814</v>
      </c>
      <c r="BJ163" s="62">
        <f t="shared" si="146"/>
        <v>292.57799203101769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24.8892082423449</v>
      </c>
      <c r="BQ163" s="23">
        <f>EXP(-LN(2)/25)*BQ162+(1-EXP(-LN(2)/25))/(LN(2)/25)*Calculateur!BL163*Calculateur!BN163*VLOOKUP('Données projet'!$B$11,Paramètres!$A$1:$I$89,3,0)*0.475*44/12</f>
        <v>0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24.8892082423449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2.8421709430404007E-14</v>
      </c>
      <c r="BZ163" s="14">
        <f>BY163*VLOOKUP('Données projet'!$B$12,Paramètres!$A$1:$I$89,3,0)*VLOOKUP('Données projet'!$B$12,Paramètres!$A$1:$I$89,5,0)</f>
        <v>2.2168933355715127E-14</v>
      </c>
      <c r="CA163" s="14">
        <f t="shared" si="170"/>
        <v>3.9687356123668477E-13</v>
      </c>
      <c r="CB163" s="22">
        <f t="shared" si="171"/>
        <v>7.2983234474842979E-13</v>
      </c>
      <c r="CC163" s="62">
        <f t="shared" si="119"/>
        <v>293.33333333333405</v>
      </c>
      <c r="CD163" s="62">
        <f ca="1">AVERAGE(OFFSET($CC$3,0,0,'Données projet'!$E$12+1,1))-AVERAGE(OFFSET($H$3,0,0,'Données projet'!$E$12+1,1))</f>
        <v>197.51529454208725</v>
      </c>
      <c r="CE163" s="62">
        <f t="shared" si="148"/>
        <v>196.65362486387215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13.185032805968229</v>
      </c>
      <c r="CL163" s="23">
        <f>EXP(-LN(2)/25)*CL162+(1-EXP(-LN(2)/25))/(LN(2)/25)*Calculateur!CG163*Calculateur!CI163*VLOOKUP('Données projet'!$B$12,Paramètres!$A$1:$I$89,3,0)*0.475*44/12</f>
        <v>0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13.185032805968229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-5.6843418860808015E-14</v>
      </c>
      <c r="CU163" s="18">
        <f>CT163*VLOOKUP('Données projet'!$B$13,Paramètres!$A$1:$I$89,3,0)*VLOOKUP('Données projet'!$B$13,Paramètres!$A$1:$I$89,5,0)</f>
        <v>-3.1036506698001178E-14</v>
      </c>
      <c r="CV163" s="14" t="e">
        <f t="shared" si="173"/>
        <v>#NUM!</v>
      </c>
      <c r="CW163" s="22" t="e">
        <f t="shared" si="174"/>
        <v>#NUM!</v>
      </c>
      <c r="CX163" s="62" t="e">
        <f t="shared" si="122"/>
        <v>#NUM!</v>
      </c>
      <c r="CY163" s="62">
        <f ca="1">AVERAGE(OFFSET($CX$3,0,0,'Données projet'!$E$13+1,1))-AVERAGE(OFFSET($H$3,0,0,'Données projet'!$E$13+1,1))</f>
        <v>303.14853302260451</v>
      </c>
      <c r="CZ163" s="62">
        <f t="shared" si="150"/>
        <v>298.74602928001929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38.796226622460267</v>
      </c>
      <c r="DG163" s="23">
        <f>EXP(-LN(2)/25)*DG162+(1-EXP(-LN(2)/25))/(LN(2)/25)*Calculateur!DB163*Calculateur!DD163*VLOOKUP('Données projet'!$B$13,Paramètres!$A$1:$I$89,3,0)*0.475*44/12</f>
        <v>4.296617768580818</v>
      </c>
      <c r="DH163" s="23">
        <f>EXP(-LN(2)/2)*DH162+(1-EXP(-LN(2)/2))/(LN(2)/2)*DB163*DE163*VLOOKUP('Données projet'!$B$13,Paramètres!$A$1:$I$89,3,0)*0.475*44/12</f>
        <v>2.0902025699914862E-11</v>
      </c>
      <c r="DI163" s="24">
        <f t="shared" si="175"/>
        <v>43.092844391061988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70">
        <f t="shared" si="110"/>
        <v>256.66666666666669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>
        <f>VLOOKUP(A164,'Données projet'!$A$35:$I$55,2,0)</f>
        <v>115.43</v>
      </c>
      <c r="L164" s="13">
        <f>VLOOKUP(A164,'Données projet'!$A$35:$I$55,9,0)</f>
        <v>1.4024999999999999</v>
      </c>
      <c r="M164" s="13">
        <f t="array" ref="M164">INDEX(L:L,MIN(IF(ISNUMBER(L164:L360),ROW(L164:L360),"")))</f>
        <v>1.4024999999999999</v>
      </c>
      <c r="N164" s="14">
        <f>IF('Données projet'!$A$36&gt;35,N163+M164-V163,IF(A164&lt;'Données projet'!$A$36,$K$205^A164,IF(A164='Données projet'!$A$36,'Données projet'!$B$36,N163+M164-V163)))</f>
        <v>115.42999999999982</v>
      </c>
      <c r="O164" s="14">
        <f>N164*VLOOKUP('Données projet'!$B$9,Paramètres!$A$1:$I$89,3,0)*VLOOKUP('Données projet'!$B$9,Paramètres!$A$1:$I$89,5,0)</f>
        <v>104.44106399999984</v>
      </c>
      <c r="P164" s="14">
        <f t="shared" si="141"/>
        <v>28.017329297798057</v>
      </c>
      <c r="Q164" s="22">
        <f t="shared" si="162"/>
        <v>230.69836832699798</v>
      </c>
      <c r="R164" s="62">
        <f t="shared" si="109"/>
        <v>524.03170166033124</v>
      </c>
      <c r="S164" s="62">
        <f ca="1">AVERAGE(OFFSET($R$3,0,0,'Données projet'!$E$9+1,1))-AVERAGE(OFFSET($H$3,0,0,'Données projet'!$E$9+1,1))</f>
        <v>441.6145113257511</v>
      </c>
      <c r="T164" s="62">
        <f t="shared" si="142"/>
        <v>295.8399381972477</v>
      </c>
      <c r="U164" s="16">
        <f>IF(ISNA(VLOOKUP(A164,'Données projet'!$A$35:$I$55,3,0)),0,VLOOKUP(A164,'Données projet'!$A$35:$I$55,3,0))</f>
        <v>15</v>
      </c>
      <c r="V164" s="16">
        <f>IF(ISNA(VLOOKUP(A164,'Données projet'!$A$35:$I$55,4,0)),0,VLOOKUP(A164,'Données projet'!$A$35:$I$55,4,0))</f>
        <v>115.43</v>
      </c>
      <c r="W164" s="17">
        <f>IF(ISNA(VLOOKUP(A164,'Données projet'!$A$35:$I$55,5,0)),0%,VLOOKUP(A164,'Données projet'!$A$35:$I$55,5,0)*VLOOKUP('Données projet'!$B$9,Paramètres!$A$1:$I$89,7,0))</f>
        <v>0.34400000000000003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148.87176600630715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148.87176600630715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-4.5474735088646412E-13</v>
      </c>
      <c r="AJ164" s="14">
        <f>AI164*VLOOKUP('Données projet'!$B$10,Paramètres!$A$1:$I$89,3,0)*VLOOKUP('Données projet'!$B$10,Paramètres!$A$1:$I$89,5,0)</f>
        <v>-3.9017322706058626E-13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623.31285537237943</v>
      </c>
      <c r="AO164" s="62">
        <f t="shared" si="144"/>
        <v>462.33909258902241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84.059830603998151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84.059830603998151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-1.7053025658242404E-13</v>
      </c>
      <c r="BE164" s="14">
        <f>BD164*VLOOKUP('Données projet'!$B$11,Paramètres!$A$1:$I$89,3,0)*VLOOKUP('Données projet'!$B$11,Paramètres!$A$1:$I$89,5,0)</f>
        <v>-1.3567387213697657E-13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299.10536994156814</v>
      </c>
      <c r="BJ164" s="62">
        <f t="shared" si="146"/>
        <v>292.57799203101769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24.401146049630555</v>
      </c>
      <c r="BQ164" s="23">
        <f>EXP(-LN(2)/25)*BQ163+(1-EXP(-LN(2)/25))/(LN(2)/25)*Calculateur!BL164*Calculateur!BN164*VLOOKUP('Données projet'!$B$11,Paramètres!$A$1:$I$89,3,0)*0.475*44/12</f>
        <v>0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24.401146049630555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2.8421709430404007E-14</v>
      </c>
      <c r="BZ164" s="14">
        <f>BY164*VLOOKUP('Données projet'!$B$12,Paramètres!$A$1:$I$89,3,0)*VLOOKUP('Données projet'!$B$12,Paramètres!$A$1:$I$89,5,0)</f>
        <v>2.2168933355715127E-14</v>
      </c>
      <c r="CA164" s="14">
        <f t="shared" si="170"/>
        <v>3.9687356123668477E-13</v>
      </c>
      <c r="CB164" s="22">
        <f t="shared" si="171"/>
        <v>7.2983234474842979E-13</v>
      </c>
      <c r="CC164" s="62">
        <f t="shared" si="119"/>
        <v>293.33333333333405</v>
      </c>
      <c r="CD164" s="62">
        <f ca="1">AVERAGE(OFFSET($CC$3,0,0,'Données projet'!$E$12+1,1))-AVERAGE(OFFSET($H$3,0,0,'Données projet'!$E$12+1,1))</f>
        <v>197.51529454208725</v>
      </c>
      <c r="CE164" s="62">
        <f t="shared" si="148"/>
        <v>196.65362486387215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12.926482354719115</v>
      </c>
      <c r="CL164" s="23">
        <f>EXP(-LN(2)/25)*CL163+(1-EXP(-LN(2)/25))/(LN(2)/25)*Calculateur!CG164*Calculateur!CI164*VLOOKUP('Données projet'!$B$12,Paramètres!$A$1:$I$89,3,0)*0.475*44/12</f>
        <v>0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12.926482354719115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-5.6843418860808015E-14</v>
      </c>
      <c r="CU164" s="18">
        <f>CT164*VLOOKUP('Données projet'!$B$13,Paramètres!$A$1:$I$89,3,0)*VLOOKUP('Données projet'!$B$13,Paramètres!$A$1:$I$89,5,0)</f>
        <v>-3.1036506698001178E-14</v>
      </c>
      <c r="CV164" s="14" t="e">
        <f t="shared" si="173"/>
        <v>#NUM!</v>
      </c>
      <c r="CW164" s="22" t="e">
        <f t="shared" si="174"/>
        <v>#NUM!</v>
      </c>
      <c r="CX164" s="62" t="e">
        <f t="shared" si="122"/>
        <v>#NUM!</v>
      </c>
      <c r="CY164" s="62">
        <f ca="1">AVERAGE(OFFSET($CX$3,0,0,'Données projet'!$E$13+1,1))-AVERAGE(OFFSET($H$3,0,0,'Données projet'!$E$13+1,1))</f>
        <v>303.14853302260451</v>
      </c>
      <c r="CZ164" s="62">
        <f t="shared" si="150"/>
        <v>298.74602928001929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38.035456281755501</v>
      </c>
      <c r="DG164" s="23">
        <f>EXP(-LN(2)/25)*DG163+(1-EXP(-LN(2)/25))/(LN(2)/25)*Calculateur!DB164*Calculateur!DD164*VLOOKUP('Données projet'!$B$13,Paramètres!$A$1:$I$89,3,0)*0.475*44/12</f>
        <v>4.1791265297496674</v>
      </c>
      <c r="DH164" s="23">
        <f>EXP(-LN(2)/2)*DH163+(1-EXP(-LN(2)/2))/(LN(2)/2)*DB164*DE164*VLOOKUP('Données projet'!$B$13,Paramètres!$A$1:$I$89,3,0)*0.475*44/12</f>
        <v>1.4779964112945291E-11</v>
      </c>
      <c r="DI164" s="24">
        <f t="shared" si="175"/>
        <v>42.214582811519946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70">
        <f t="shared" si="110"/>
        <v>256.66666666666669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-1.8474111129762605E-13</v>
      </c>
      <c r="O165" s="14">
        <f>N165*VLOOKUP('Données projet'!$B$9,Paramètres!$A$1:$I$89,3,0)*VLOOKUP('Données projet'!$B$9,Paramètres!$A$1:$I$89,5,0)</f>
        <v>-1.6715375750209204E-13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441.6145113257511</v>
      </c>
      <c r="T165" s="62">
        <f t="shared" si="142"/>
        <v>295.8399381972477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145.95248147773469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145.95248147773469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-4.5474735088646412E-13</v>
      </c>
      <c r="AJ165" s="14">
        <f>AI165*VLOOKUP('Données projet'!$B$10,Paramètres!$A$1:$I$89,3,0)*VLOOKUP('Données projet'!$B$10,Paramètres!$A$1:$I$89,5,0)</f>
        <v>-3.9017322706058626E-13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623.31285537237943</v>
      </c>
      <c r="AO165" s="62">
        <f t="shared" si="144"/>
        <v>462.33909258902241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82.411468597287779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82.411468597287779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-1.7053025658242404E-13</v>
      </c>
      <c r="BE165" s="14">
        <f>BD165*VLOOKUP('Données projet'!$B$11,Paramètres!$A$1:$I$89,3,0)*VLOOKUP('Données projet'!$B$11,Paramètres!$A$1:$I$89,5,0)</f>
        <v>-1.3567387213697657E-13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299.10536994156814</v>
      </c>
      <c r="BJ165" s="62">
        <f t="shared" si="146"/>
        <v>292.57799203101769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23.922654458826791</v>
      </c>
      <c r="BQ165" s="23">
        <f>EXP(-LN(2)/25)*BQ164+(1-EXP(-LN(2)/25))/(LN(2)/25)*Calculateur!BL165*Calculateur!BN165*VLOOKUP('Données projet'!$B$11,Paramètres!$A$1:$I$89,3,0)*0.475*44/12</f>
        <v>0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23.922654458826791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2.8421709430404007E-14</v>
      </c>
      <c r="BZ165" s="14">
        <f>BY165*VLOOKUP('Données projet'!$B$12,Paramètres!$A$1:$I$89,3,0)*VLOOKUP('Données projet'!$B$12,Paramètres!$A$1:$I$89,5,0)</f>
        <v>2.2168933355715127E-14</v>
      </c>
      <c r="CA165" s="14">
        <f t="shared" si="170"/>
        <v>3.9687356123668477E-13</v>
      </c>
      <c r="CB165" s="22">
        <f t="shared" si="171"/>
        <v>7.2983234474842979E-13</v>
      </c>
      <c r="CC165" s="62">
        <f t="shared" si="119"/>
        <v>293.33333333333405</v>
      </c>
      <c r="CD165" s="62">
        <f ca="1">AVERAGE(OFFSET($CC$3,0,0,'Données projet'!$E$12+1,1))-AVERAGE(OFFSET($H$3,0,0,'Données projet'!$E$12+1,1))</f>
        <v>197.51529454208725</v>
      </c>
      <c r="CE165" s="62">
        <f t="shared" si="148"/>
        <v>196.65362486387215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12.673001920118791</v>
      </c>
      <c r="CL165" s="23">
        <f>EXP(-LN(2)/25)*CL164+(1-EXP(-LN(2)/25))/(LN(2)/25)*Calculateur!CG165*Calculateur!CI165*VLOOKUP('Données projet'!$B$12,Paramètres!$A$1:$I$89,3,0)*0.475*44/12</f>
        <v>0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12.673001920118791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-5.6843418860808015E-14</v>
      </c>
      <c r="CU165" s="18">
        <f>CT165*VLOOKUP('Données projet'!$B$13,Paramètres!$A$1:$I$89,3,0)*VLOOKUP('Données projet'!$B$13,Paramètres!$A$1:$I$89,5,0)</f>
        <v>-3.1036506698001178E-14</v>
      </c>
      <c r="CV165" s="14" t="e">
        <f t="shared" si="173"/>
        <v>#NUM!</v>
      </c>
      <c r="CW165" s="22" t="e">
        <f t="shared" si="174"/>
        <v>#NUM!</v>
      </c>
      <c r="CX165" s="62" t="e">
        <f t="shared" si="122"/>
        <v>#NUM!</v>
      </c>
      <c r="CY165" s="62">
        <f ca="1">AVERAGE(OFFSET($CX$3,0,0,'Données projet'!$E$13+1,1))-AVERAGE(OFFSET($H$3,0,0,'Données projet'!$E$13+1,1))</f>
        <v>303.14853302260451</v>
      </c>
      <c r="CZ165" s="62">
        <f t="shared" si="150"/>
        <v>298.74602928001929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37.28960418340786</v>
      </c>
      <c r="DG165" s="23">
        <f>EXP(-LN(2)/25)*DG164+(1-EXP(-LN(2)/25))/(LN(2)/25)*Calculateur!DB165*Calculateur!DD165*VLOOKUP('Données projet'!$B$13,Paramètres!$A$1:$I$89,3,0)*0.475*44/12</f>
        <v>4.06484809502295</v>
      </c>
      <c r="DH165" s="23">
        <f>EXP(-LN(2)/2)*DH164+(1-EXP(-LN(2)/2))/(LN(2)/2)*DB165*DE165*VLOOKUP('Données projet'!$B$13,Paramètres!$A$1:$I$89,3,0)*0.475*44/12</f>
        <v>1.0451012849957431E-11</v>
      </c>
      <c r="DI165" s="24">
        <f t="shared" si="175"/>
        <v>41.354452278441265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70">
        <f t="shared" si="110"/>
        <v>256.66666666666669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-1.8474111129762605E-13</v>
      </c>
      <c r="O166" s="14">
        <f>N166*VLOOKUP('Données projet'!$B$9,Paramètres!$A$1:$I$89,3,0)*VLOOKUP('Données projet'!$B$9,Paramètres!$A$1:$I$89,5,0)</f>
        <v>-1.6715375750209204E-13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441.6145113257511</v>
      </c>
      <c r="T166" s="62">
        <f t="shared" si="142"/>
        <v>295.8399381972477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143.0904423381798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143.0904423381798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-4.5474735088646412E-13</v>
      </c>
      <c r="AJ166" s="14">
        <f>AI166*VLOOKUP('Données projet'!$B$10,Paramètres!$A$1:$I$89,3,0)*VLOOKUP('Données projet'!$B$10,Paramètres!$A$1:$I$89,5,0)</f>
        <v>-3.9017322706058626E-13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623.31285537237943</v>
      </c>
      <c r="AO166" s="62">
        <f t="shared" si="144"/>
        <v>462.33909258902241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80.79542996412745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80.79542996412745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-1.7053025658242404E-13</v>
      </c>
      <c r="BE166" s="14">
        <f>BD166*VLOOKUP('Données projet'!$B$11,Paramètres!$A$1:$I$89,3,0)*VLOOKUP('Données projet'!$B$11,Paramètres!$A$1:$I$89,5,0)</f>
        <v>-1.3567387213697657E-13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299.10536994156814</v>
      </c>
      <c r="BJ166" s="62">
        <f t="shared" si="146"/>
        <v>292.57799203101769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23.45354579626764</v>
      </c>
      <c r="BQ166" s="23">
        <f>EXP(-LN(2)/25)*BQ165+(1-EXP(-LN(2)/25))/(LN(2)/25)*Calculateur!BL166*Calculateur!BN166*VLOOKUP('Données projet'!$B$11,Paramètres!$A$1:$I$89,3,0)*0.475*44/12</f>
        <v>0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23.45354579626764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2.8421709430404007E-14</v>
      </c>
      <c r="BZ166" s="14">
        <f>BY166*VLOOKUP('Données projet'!$B$12,Paramètres!$A$1:$I$89,3,0)*VLOOKUP('Données projet'!$B$12,Paramètres!$A$1:$I$89,5,0)</f>
        <v>2.2168933355715127E-14</v>
      </c>
      <c r="CA166" s="14">
        <f t="shared" si="170"/>
        <v>3.9687356123668477E-13</v>
      </c>
      <c r="CB166" s="22">
        <f t="shared" si="171"/>
        <v>7.2983234474842979E-13</v>
      </c>
      <c r="CC166" s="62">
        <f t="shared" si="119"/>
        <v>293.33333333333405</v>
      </c>
      <c r="CD166" s="62">
        <f ca="1">AVERAGE(OFFSET($CC$3,0,0,'Données projet'!$E$12+1,1))-AVERAGE(OFFSET($H$3,0,0,'Données projet'!$E$12+1,1))</f>
        <v>197.51529454208725</v>
      </c>
      <c r="CE166" s="62">
        <f t="shared" si="148"/>
        <v>196.65362486387215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12.424492082233181</v>
      </c>
      <c r="CL166" s="23">
        <f>EXP(-LN(2)/25)*CL165+(1-EXP(-LN(2)/25))/(LN(2)/25)*Calculateur!CG166*Calculateur!CI166*VLOOKUP('Données projet'!$B$12,Paramètres!$A$1:$I$89,3,0)*0.475*44/12</f>
        <v>0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12.424492082233181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-5.6843418860808015E-14</v>
      </c>
      <c r="CU166" s="18">
        <f>CT166*VLOOKUP('Données projet'!$B$13,Paramètres!$A$1:$I$89,3,0)*VLOOKUP('Données projet'!$B$13,Paramètres!$A$1:$I$89,5,0)</f>
        <v>-3.1036506698001178E-14</v>
      </c>
      <c r="CV166" s="14" t="e">
        <f t="shared" si="173"/>
        <v>#NUM!</v>
      </c>
      <c r="CW166" s="22" t="e">
        <f t="shared" si="174"/>
        <v>#NUM!</v>
      </c>
      <c r="CX166" s="62" t="e">
        <f t="shared" si="122"/>
        <v>#NUM!</v>
      </c>
      <c r="CY166" s="62">
        <f ca="1">AVERAGE(OFFSET($CX$3,0,0,'Données projet'!$E$13+1,1))-AVERAGE(OFFSET($H$3,0,0,'Données projet'!$E$13+1,1))</f>
        <v>303.14853302260451</v>
      </c>
      <c r="CZ166" s="62">
        <f t="shared" si="150"/>
        <v>298.74602928001929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36.558377789783961</v>
      </c>
      <c r="DG166" s="23">
        <f>EXP(-LN(2)/25)*DG165+(1-EXP(-LN(2)/25))/(LN(2)/25)*Calculateur!DB166*Calculateur!DD166*VLOOKUP('Données projet'!$B$13,Paramètres!$A$1:$I$89,3,0)*0.475*44/12</f>
        <v>3.9536946101034762</v>
      </c>
      <c r="DH166" s="23">
        <f>EXP(-LN(2)/2)*DH165+(1-EXP(-LN(2)/2))/(LN(2)/2)*DB166*DE166*VLOOKUP('Données projet'!$B$13,Paramètres!$A$1:$I$89,3,0)*0.475*44/12</f>
        <v>7.3899820564726454E-12</v>
      </c>
      <c r="DI166" s="24">
        <f t="shared" si="175"/>
        <v>40.512072399894826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70">
        <f t="shared" si="110"/>
        <v>256.66666666666669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-1.8474111129762605E-13</v>
      </c>
      <c r="O167" s="14">
        <f>N167*VLOOKUP('Données projet'!$B$9,Paramètres!$A$1:$I$89,3,0)*VLOOKUP('Données projet'!$B$9,Paramètres!$A$1:$I$89,5,0)</f>
        <v>-1.6715375750209204E-13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441.6145113257511</v>
      </c>
      <c r="T167" s="62">
        <f t="shared" si="142"/>
        <v>295.8399381972477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140.28452604048007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140.28452604048007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-4.5474735088646412E-13</v>
      </c>
      <c r="AJ167" s="14">
        <f>AI167*VLOOKUP('Données projet'!$B$10,Paramètres!$A$1:$I$89,3,0)*VLOOKUP('Données projet'!$B$10,Paramètres!$A$1:$I$89,5,0)</f>
        <v>-3.9017322706058626E-13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623.31285537237943</v>
      </c>
      <c r="AO167" s="62">
        <f t="shared" si="144"/>
        <v>462.33909258902241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79.211080862877154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79.211080862877154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-1.7053025658242404E-13</v>
      </c>
      <c r="BE167" s="14">
        <f>BD167*VLOOKUP('Données projet'!$B$11,Paramètres!$A$1:$I$89,3,0)*VLOOKUP('Données projet'!$B$11,Paramètres!$A$1:$I$89,5,0)</f>
        <v>-1.3567387213697657E-13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299.10536994156814</v>
      </c>
      <c r="BJ167" s="62">
        <f t="shared" si="146"/>
        <v>292.57799203101769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22.993636068453242</v>
      </c>
      <c r="BQ167" s="23">
        <f>EXP(-LN(2)/25)*BQ166+(1-EXP(-LN(2)/25))/(LN(2)/25)*Calculateur!BL167*Calculateur!BN167*VLOOKUP('Données projet'!$B$11,Paramètres!$A$1:$I$89,3,0)*0.475*44/12</f>
        <v>0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22.993636068453242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2.8421709430404007E-14</v>
      </c>
      <c r="BZ167" s="14">
        <f>BY167*VLOOKUP('Données projet'!$B$12,Paramètres!$A$1:$I$89,3,0)*VLOOKUP('Données projet'!$B$12,Paramètres!$A$1:$I$89,5,0)</f>
        <v>2.2168933355715127E-14</v>
      </c>
      <c r="CA167" s="14">
        <f t="shared" si="170"/>
        <v>3.9687356123668477E-13</v>
      </c>
      <c r="CB167" s="22">
        <f t="shared" si="171"/>
        <v>7.2983234474842979E-13</v>
      </c>
      <c r="CC167" s="62">
        <f t="shared" si="119"/>
        <v>293.33333333333405</v>
      </c>
      <c r="CD167" s="62">
        <f ca="1">AVERAGE(OFFSET($CC$3,0,0,'Données projet'!$E$12+1,1))-AVERAGE(OFFSET($H$3,0,0,'Données projet'!$E$12+1,1))</f>
        <v>197.51529454208725</v>
      </c>
      <c r="CE167" s="62">
        <f t="shared" si="148"/>
        <v>196.65362486387215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12.180855370692473</v>
      </c>
      <c r="CL167" s="23">
        <f>EXP(-LN(2)/25)*CL166+(1-EXP(-LN(2)/25))/(LN(2)/25)*Calculateur!CG167*Calculateur!CI167*VLOOKUP('Données projet'!$B$12,Paramètres!$A$1:$I$89,3,0)*0.475*44/12</f>
        <v>0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12.180855370692473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-5.6843418860808015E-14</v>
      </c>
      <c r="CU167" s="18">
        <f>CT167*VLOOKUP('Données projet'!$B$13,Paramètres!$A$1:$I$89,3,0)*VLOOKUP('Données projet'!$B$13,Paramètres!$A$1:$I$89,5,0)</f>
        <v>-3.1036506698001178E-14</v>
      </c>
      <c r="CV167" s="14" t="e">
        <f t="shared" si="173"/>
        <v>#NUM!</v>
      </c>
      <c r="CW167" s="22" t="e">
        <f t="shared" si="174"/>
        <v>#NUM!</v>
      </c>
      <c r="CX167" s="62" t="e">
        <f t="shared" si="122"/>
        <v>#NUM!</v>
      </c>
      <c r="CY167" s="62">
        <f ca="1">AVERAGE(OFFSET($CX$3,0,0,'Données projet'!$E$13+1,1))-AVERAGE(OFFSET($H$3,0,0,'Données projet'!$E$13+1,1))</f>
        <v>303.14853302260451</v>
      </c>
      <c r="CZ167" s="62">
        <f t="shared" si="150"/>
        <v>298.74602928001929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35.841490299734964</v>
      </c>
      <c r="DG167" s="23">
        <f>EXP(-LN(2)/25)*DG166+(1-EXP(-LN(2)/25))/(LN(2)/25)*Calculateur!DB167*Calculateur!DD167*VLOOKUP('Données projet'!$B$13,Paramètres!$A$1:$I$89,3,0)*0.475*44/12</f>
        <v>3.8455806230744334</v>
      </c>
      <c r="DH167" s="23">
        <f>EXP(-LN(2)/2)*DH166+(1-EXP(-LN(2)/2))/(LN(2)/2)*DB167*DE167*VLOOKUP('Données projet'!$B$13,Paramètres!$A$1:$I$89,3,0)*0.475*44/12</f>
        <v>5.2255064249787154E-12</v>
      </c>
      <c r="DI167" s="24">
        <f t="shared" si="175"/>
        <v>39.68707092281462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70">
        <f t="shared" si="110"/>
        <v>256.66666666666669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-1.8474111129762605E-13</v>
      </c>
      <c r="O168" s="14">
        <f>N168*VLOOKUP('Données projet'!$B$9,Paramètres!$A$1:$I$89,3,0)*VLOOKUP('Données projet'!$B$9,Paramètres!$A$1:$I$89,5,0)</f>
        <v>-1.6715375750209204E-13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441.6145113257511</v>
      </c>
      <c r="T168" s="62">
        <f t="shared" si="142"/>
        <v>295.8399381972477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137.53363204993829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137.53363204993829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-4.5474735088646412E-13</v>
      </c>
      <c r="AJ168" s="14">
        <f>AI168*VLOOKUP('Données projet'!$B$10,Paramètres!$A$1:$I$89,3,0)*VLOOKUP('Données projet'!$B$10,Paramètres!$A$1:$I$89,5,0)</f>
        <v>-3.9017322706058626E-13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623.31285537237943</v>
      </c>
      <c r="AO168" s="62">
        <f t="shared" si="144"/>
        <v>462.33909258902241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77.657799881144854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77.657799881144854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-1.7053025658242404E-13</v>
      </c>
      <c r="BE168" s="14">
        <f>BD168*VLOOKUP('Données projet'!$B$11,Paramètres!$A$1:$I$89,3,0)*VLOOKUP('Données projet'!$B$11,Paramètres!$A$1:$I$89,5,0)</f>
        <v>-1.3567387213697657E-13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299.10536994156814</v>
      </c>
      <c r="BJ168" s="62">
        <f t="shared" si="146"/>
        <v>292.57799203101769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22.542744889884048</v>
      </c>
      <c r="BQ168" s="23">
        <f>EXP(-LN(2)/25)*BQ167+(1-EXP(-LN(2)/25))/(LN(2)/25)*Calculateur!BL168*Calculateur!BN168*VLOOKUP('Données projet'!$B$11,Paramètres!$A$1:$I$89,3,0)*0.475*44/12</f>
        <v>0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22.542744889884048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2.8421709430404007E-14</v>
      </c>
      <c r="BZ168" s="14">
        <f>BY168*VLOOKUP('Données projet'!$B$12,Paramètres!$A$1:$I$89,3,0)*VLOOKUP('Données projet'!$B$12,Paramètres!$A$1:$I$89,5,0)</f>
        <v>2.2168933355715127E-14</v>
      </c>
      <c r="CA168" s="14">
        <f t="shared" si="170"/>
        <v>3.9687356123668477E-13</v>
      </c>
      <c r="CB168" s="22">
        <f t="shared" si="171"/>
        <v>7.2983234474842979E-13</v>
      </c>
      <c r="CC168" s="62">
        <f t="shared" si="119"/>
        <v>293.33333333333405</v>
      </c>
      <c r="CD168" s="62">
        <f ca="1">AVERAGE(OFFSET($CC$3,0,0,'Données projet'!$E$12+1,1))-AVERAGE(OFFSET($H$3,0,0,'Données projet'!$E$12+1,1))</f>
        <v>197.51529454208725</v>
      </c>
      <c r="CE168" s="62">
        <f t="shared" si="148"/>
        <v>196.65362486387215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11.941996226461359</v>
      </c>
      <c r="CL168" s="23">
        <f>EXP(-LN(2)/25)*CL167+(1-EXP(-LN(2)/25))/(LN(2)/25)*Calculateur!CG168*Calculateur!CI168*VLOOKUP('Données projet'!$B$12,Paramètres!$A$1:$I$89,3,0)*0.475*44/12</f>
        <v>0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11.941996226461359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-5.6843418860808015E-14</v>
      </c>
      <c r="CU168" s="18">
        <f>CT168*VLOOKUP('Données projet'!$B$13,Paramètres!$A$1:$I$89,3,0)*VLOOKUP('Données projet'!$B$13,Paramètres!$A$1:$I$89,5,0)</f>
        <v>-3.1036506698001178E-14</v>
      </c>
      <c r="CV168" s="14" t="e">
        <f t="shared" si="173"/>
        <v>#NUM!</v>
      </c>
      <c r="CW168" s="22" t="e">
        <f t="shared" si="174"/>
        <v>#NUM!</v>
      </c>
      <c r="CX168" s="62" t="e">
        <f t="shared" si="122"/>
        <v>#NUM!</v>
      </c>
      <c r="CY168" s="62">
        <f ca="1">AVERAGE(OFFSET($CX$3,0,0,'Données projet'!$E$13+1,1))-AVERAGE(OFFSET($H$3,0,0,'Données projet'!$E$13+1,1))</f>
        <v>303.14853302260451</v>
      </c>
      <c r="CZ168" s="62">
        <f t="shared" si="150"/>
        <v>298.74602928001929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35.138660536107636</v>
      </c>
      <c r="DG168" s="23">
        <f>EXP(-LN(2)/25)*DG167+(1-EXP(-LN(2)/25))/(LN(2)/25)*Calculateur!DB168*Calculateur!DD168*VLOOKUP('Données projet'!$B$13,Paramètres!$A$1:$I$89,3,0)*0.475*44/12</f>
        <v>3.7404230187061671</v>
      </c>
      <c r="DH168" s="23">
        <f>EXP(-LN(2)/2)*DH167+(1-EXP(-LN(2)/2))/(LN(2)/2)*DB168*DE168*VLOOKUP('Données projet'!$B$13,Paramètres!$A$1:$I$89,3,0)*0.475*44/12</f>
        <v>3.6949910282363227E-12</v>
      </c>
      <c r="DI168" s="24">
        <f t="shared" si="175"/>
        <v>38.879083554817498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70">
        <f t="shared" si="110"/>
        <v>256.66666666666669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-1.8474111129762605E-13</v>
      </c>
      <c r="O169" s="14">
        <f>N169*VLOOKUP('Données projet'!$B$9,Paramètres!$A$1:$I$89,3,0)*VLOOKUP('Données projet'!$B$9,Paramètres!$A$1:$I$89,5,0)</f>
        <v>-1.6715375750209204E-13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441.6145113257511</v>
      </c>
      <c r="T169" s="62">
        <f t="shared" si="142"/>
        <v>295.8399381972477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134.83668141267137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134.83668141267137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-4.5474735088646412E-13</v>
      </c>
      <c r="AJ169" s="14">
        <f>AI169*VLOOKUP('Données projet'!$B$10,Paramètres!$A$1:$I$89,3,0)*VLOOKUP('Données projet'!$B$10,Paramètres!$A$1:$I$89,5,0)</f>
        <v>-3.9017322706058626E-13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623.31285537237943</v>
      </c>
      <c r="AO169" s="62">
        <f t="shared" si="144"/>
        <v>462.33909258902241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76.134977792056475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76.134977792056475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-1.7053025658242404E-13</v>
      </c>
      <c r="BE169" s="14">
        <f>BD169*VLOOKUP('Données projet'!$B$11,Paramètres!$A$1:$I$89,3,0)*VLOOKUP('Données projet'!$B$11,Paramètres!$A$1:$I$89,5,0)</f>
        <v>-1.3567387213697657E-13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299.10536994156814</v>
      </c>
      <c r="BJ169" s="62">
        <f t="shared" si="146"/>
        <v>292.57799203101769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22.100695412310134</v>
      </c>
      <c r="BQ169" s="23">
        <f>EXP(-LN(2)/25)*BQ168+(1-EXP(-LN(2)/25))/(LN(2)/25)*Calculateur!BL169*Calculateur!BN169*VLOOKUP('Données projet'!$B$11,Paramètres!$A$1:$I$89,3,0)*0.475*44/12</f>
        <v>0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22.100695412310134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2.8421709430404007E-14</v>
      </c>
      <c r="BZ169" s="14">
        <f>BY169*VLOOKUP('Données projet'!$B$12,Paramètres!$A$1:$I$89,3,0)*VLOOKUP('Données projet'!$B$12,Paramètres!$A$1:$I$89,5,0)</f>
        <v>2.2168933355715127E-14</v>
      </c>
      <c r="CA169" s="14">
        <f t="shared" si="170"/>
        <v>3.9687356123668477E-13</v>
      </c>
      <c r="CB169" s="22">
        <f t="shared" si="171"/>
        <v>7.2983234474842979E-13</v>
      </c>
      <c r="CC169" s="62">
        <f t="shared" si="119"/>
        <v>293.33333333333405</v>
      </c>
      <c r="CD169" s="62">
        <f ca="1">AVERAGE(OFFSET($CC$3,0,0,'Données projet'!$E$12+1,1))-AVERAGE(OFFSET($H$3,0,0,'Données projet'!$E$12+1,1))</f>
        <v>197.51529454208725</v>
      </c>
      <c r="CE169" s="62">
        <f t="shared" si="148"/>
        <v>196.65362486387215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11.707820964358925</v>
      </c>
      <c r="CL169" s="23">
        <f>EXP(-LN(2)/25)*CL168+(1-EXP(-LN(2)/25))/(LN(2)/25)*Calculateur!CG169*Calculateur!CI169*VLOOKUP('Données projet'!$B$12,Paramètres!$A$1:$I$89,3,0)*0.475*44/12</f>
        <v>0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11.707820964358925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-5.6843418860808015E-14</v>
      </c>
      <c r="CU169" s="18">
        <f>CT169*VLOOKUP('Données projet'!$B$13,Paramètres!$A$1:$I$89,3,0)*VLOOKUP('Données projet'!$B$13,Paramètres!$A$1:$I$89,5,0)</f>
        <v>-3.1036506698001178E-14</v>
      </c>
      <c r="CV169" s="14" t="e">
        <f t="shared" si="173"/>
        <v>#NUM!</v>
      </c>
      <c r="CW169" s="22" t="e">
        <f t="shared" si="174"/>
        <v>#NUM!</v>
      </c>
      <c r="CX169" s="62" t="e">
        <f t="shared" si="122"/>
        <v>#NUM!</v>
      </c>
      <c r="CY169" s="62">
        <f ca="1">AVERAGE(OFFSET($CX$3,0,0,'Données projet'!$E$13+1,1))-AVERAGE(OFFSET($H$3,0,0,'Données projet'!$E$13+1,1))</f>
        <v>303.14853302260451</v>
      </c>
      <c r="CZ169" s="62">
        <f t="shared" si="150"/>
        <v>298.74602928001929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34.44961283546121</v>
      </c>
      <c r="DG169" s="23">
        <f>EXP(-LN(2)/25)*DG168+(1-EXP(-LN(2)/25))/(LN(2)/25)*Calculateur!DB169*Calculateur!DD169*VLOOKUP('Données projet'!$B$13,Paramètres!$A$1:$I$89,3,0)*0.475*44/12</f>
        <v>3.6381409545593493</v>
      </c>
      <c r="DH169" s="23">
        <f>EXP(-LN(2)/2)*DH168+(1-EXP(-LN(2)/2))/(LN(2)/2)*DB169*DE169*VLOOKUP('Données projet'!$B$13,Paramètres!$A$1:$I$89,3,0)*0.475*44/12</f>
        <v>2.6127532124893577E-12</v>
      </c>
      <c r="DI169" s="24">
        <f t="shared" si="175"/>
        <v>38.087753790023172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70">
        <f t="shared" si="110"/>
        <v>256.66666666666669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-1.8474111129762605E-13</v>
      </c>
      <c r="O170" s="14">
        <f>N170*VLOOKUP('Données projet'!$B$9,Paramètres!$A$1:$I$89,3,0)*VLOOKUP('Données projet'!$B$9,Paramètres!$A$1:$I$89,5,0)</f>
        <v>-1.6715375750209204E-13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441.6145113257511</v>
      </c>
      <c r="T170" s="62">
        <f t="shared" si="142"/>
        <v>295.8399381972477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132.1926163324238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132.1926163324238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-4.5474735088646412E-13</v>
      </c>
      <c r="AJ170" s="14">
        <f>AI170*VLOOKUP('Données projet'!$B$10,Paramètres!$A$1:$I$89,3,0)*VLOOKUP('Données projet'!$B$10,Paramètres!$A$1:$I$89,5,0)</f>
        <v>-3.9017322706058626E-13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623.31285537237943</v>
      </c>
      <c r="AO170" s="62">
        <f t="shared" si="144"/>
        <v>462.33909258902241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74.642017315305353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74.642017315305353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-1.7053025658242404E-13</v>
      </c>
      <c r="BE170" s="14">
        <f>BD170*VLOOKUP('Données projet'!$B$11,Paramètres!$A$1:$I$89,3,0)*VLOOKUP('Données projet'!$B$11,Paramètres!$A$1:$I$89,5,0)</f>
        <v>-1.3567387213697657E-13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299.10536994156814</v>
      </c>
      <c r="BJ170" s="62">
        <f t="shared" si="146"/>
        <v>292.57799203101769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21.667314255367884</v>
      </c>
      <c r="BQ170" s="23">
        <f>EXP(-LN(2)/25)*BQ169+(1-EXP(-LN(2)/25))/(LN(2)/25)*Calculateur!BL170*Calculateur!BN170*VLOOKUP('Données projet'!$B$11,Paramètres!$A$1:$I$89,3,0)*0.475*44/12</f>
        <v>0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21.667314255367884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2.8421709430404007E-14</v>
      </c>
      <c r="BZ170" s="14">
        <f>BY170*VLOOKUP('Données projet'!$B$12,Paramètres!$A$1:$I$89,3,0)*VLOOKUP('Données projet'!$B$12,Paramètres!$A$1:$I$89,5,0)</f>
        <v>2.2168933355715127E-14</v>
      </c>
      <c r="CA170" s="14">
        <f t="shared" si="170"/>
        <v>3.9687356123668477E-13</v>
      </c>
      <c r="CB170" s="22">
        <f t="shared" si="171"/>
        <v>7.2983234474842979E-13</v>
      </c>
      <c r="CC170" s="62">
        <f t="shared" si="119"/>
        <v>293.33333333333405</v>
      </c>
      <c r="CD170" s="62">
        <f ca="1">AVERAGE(OFFSET($CC$3,0,0,'Données projet'!$E$12+1,1))-AVERAGE(OFFSET($H$3,0,0,'Données projet'!$E$12+1,1))</f>
        <v>197.51529454208725</v>
      </c>
      <c r="CE170" s="62">
        <f t="shared" si="148"/>
        <v>196.65362486387215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11.478237736313513</v>
      </c>
      <c r="CL170" s="23">
        <f>EXP(-LN(2)/25)*CL169+(1-EXP(-LN(2)/25))/(LN(2)/25)*Calculateur!CG170*Calculateur!CI170*VLOOKUP('Données projet'!$B$12,Paramètres!$A$1:$I$89,3,0)*0.475*44/12</f>
        <v>0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11.478237736313513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-5.6843418860808015E-14</v>
      </c>
      <c r="CU170" s="18">
        <f>CT170*VLOOKUP('Données projet'!$B$13,Paramètres!$A$1:$I$89,3,0)*VLOOKUP('Données projet'!$B$13,Paramètres!$A$1:$I$89,5,0)</f>
        <v>-3.1036506698001178E-14</v>
      </c>
      <c r="CV170" s="14" t="e">
        <f t="shared" si="173"/>
        <v>#NUM!</v>
      </c>
      <c r="CW170" s="22" t="e">
        <f t="shared" si="174"/>
        <v>#NUM!</v>
      </c>
      <c r="CX170" s="62" t="e">
        <f t="shared" si="122"/>
        <v>#NUM!</v>
      </c>
      <c r="CY170" s="62">
        <f ca="1">AVERAGE(OFFSET($CX$3,0,0,'Données projet'!$E$13+1,1))-AVERAGE(OFFSET($H$3,0,0,'Données projet'!$E$13+1,1))</f>
        <v>303.14853302260451</v>
      </c>
      <c r="CZ170" s="62">
        <f t="shared" si="150"/>
        <v>298.74602928001929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33.774076939946866</v>
      </c>
      <c r="DG170" s="23">
        <f>EXP(-LN(2)/25)*DG169+(1-EXP(-LN(2)/25))/(LN(2)/25)*Calculateur!DB170*Calculateur!DD170*VLOOKUP('Données projet'!$B$13,Paramètres!$A$1:$I$89,3,0)*0.475*44/12</f>
        <v>3.5386557988354062</v>
      </c>
      <c r="DH170" s="23">
        <f>EXP(-LN(2)/2)*DH169+(1-EXP(-LN(2)/2))/(LN(2)/2)*DB170*DE170*VLOOKUP('Données projet'!$B$13,Paramètres!$A$1:$I$89,3,0)*0.475*44/12</f>
        <v>1.8474955141181614E-12</v>
      </c>
      <c r="DI170" s="24">
        <f t="shared" si="175"/>
        <v>37.312732738784121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70">
        <f t="shared" si="110"/>
        <v>256.66666666666669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-1.8474111129762605E-13</v>
      </c>
      <c r="O171" s="14">
        <f>N171*VLOOKUP('Données projet'!$B$9,Paramètres!$A$1:$I$89,3,0)*VLOOKUP('Données projet'!$B$9,Paramètres!$A$1:$I$89,5,0)</f>
        <v>-1.6715375750209204E-13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441.6145113257511</v>
      </c>
      <c r="T171" s="62">
        <f t="shared" si="142"/>
        <v>295.8399381972477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129.60039975567943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129.60039975567943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-4.5474735088646412E-13</v>
      </c>
      <c r="AJ171" s="14">
        <f>AI171*VLOOKUP('Données projet'!$B$10,Paramètres!$A$1:$I$89,3,0)*VLOOKUP('Données projet'!$B$10,Paramètres!$A$1:$I$89,5,0)</f>
        <v>-3.9017322706058626E-13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623.31285537237943</v>
      </c>
      <c r="AO171" s="62">
        <f t="shared" si="144"/>
        <v>462.33909258902241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73.178332882887346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73.178332882887346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-1.7053025658242404E-13</v>
      </c>
      <c r="BE171" s="14">
        <f>BD171*VLOOKUP('Données projet'!$B$11,Paramètres!$A$1:$I$89,3,0)*VLOOKUP('Données projet'!$B$11,Paramètres!$A$1:$I$89,5,0)</f>
        <v>-1.3567387213697657E-13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299.10536994156814</v>
      </c>
      <c r="BJ171" s="62">
        <f t="shared" si="146"/>
        <v>292.57799203101769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21.242431438576869</v>
      </c>
      <c r="BQ171" s="23">
        <f>EXP(-LN(2)/25)*BQ170+(1-EXP(-LN(2)/25))/(LN(2)/25)*Calculateur!BL171*Calculateur!BN171*VLOOKUP('Données projet'!$B$11,Paramètres!$A$1:$I$89,3,0)*0.475*44/12</f>
        <v>0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21.242431438576869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2.8421709430404007E-14</v>
      </c>
      <c r="BZ171" s="14">
        <f>BY171*VLOOKUP('Données projet'!$B$12,Paramètres!$A$1:$I$89,3,0)*VLOOKUP('Données projet'!$B$12,Paramètres!$A$1:$I$89,5,0)</f>
        <v>2.2168933355715127E-14</v>
      </c>
      <c r="CA171" s="14">
        <f t="shared" si="170"/>
        <v>3.9687356123668477E-13</v>
      </c>
      <c r="CB171" s="22">
        <f t="shared" si="171"/>
        <v>7.2983234474842979E-13</v>
      </c>
      <c r="CC171" s="62">
        <f t="shared" si="119"/>
        <v>293.33333333333405</v>
      </c>
      <c r="CD171" s="62">
        <f ca="1">AVERAGE(OFFSET($CC$3,0,0,'Données projet'!$E$12+1,1))-AVERAGE(OFFSET($H$3,0,0,'Données projet'!$E$12+1,1))</f>
        <v>197.51529454208725</v>
      </c>
      <c r="CE171" s="62">
        <f t="shared" si="148"/>
        <v>196.65362486387215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11.25315649533813</v>
      </c>
      <c r="CL171" s="23">
        <f>EXP(-LN(2)/25)*CL170+(1-EXP(-LN(2)/25))/(LN(2)/25)*Calculateur!CG171*Calculateur!CI171*VLOOKUP('Données projet'!$B$12,Paramètres!$A$1:$I$89,3,0)*0.475*44/12</f>
        <v>0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11.25315649533813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-5.6843418860808015E-14</v>
      </c>
      <c r="CU171" s="18">
        <f>CT171*VLOOKUP('Données projet'!$B$13,Paramètres!$A$1:$I$89,3,0)*VLOOKUP('Données projet'!$B$13,Paramètres!$A$1:$I$89,5,0)</f>
        <v>-3.1036506698001178E-14</v>
      </c>
      <c r="CV171" s="14" t="e">
        <f t="shared" si="173"/>
        <v>#NUM!</v>
      </c>
      <c r="CW171" s="22" t="e">
        <f t="shared" si="174"/>
        <v>#NUM!</v>
      </c>
      <c r="CX171" s="62" t="e">
        <f t="shared" si="122"/>
        <v>#NUM!</v>
      </c>
      <c r="CY171" s="62">
        <f ca="1">AVERAGE(OFFSET($CX$3,0,0,'Données projet'!$E$13+1,1))-AVERAGE(OFFSET($H$3,0,0,'Données projet'!$E$13+1,1))</f>
        <v>303.14853302260451</v>
      </c>
      <c r="CZ171" s="62">
        <f t="shared" si="150"/>
        <v>298.74602928001929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33.111787891307344</v>
      </c>
      <c r="DG171" s="23">
        <f>EXP(-LN(2)/25)*DG170+(1-EXP(-LN(2)/25))/(LN(2)/25)*Calculateur!DB171*Calculateur!DD171*VLOOKUP('Données projet'!$B$13,Paramètres!$A$1:$I$89,3,0)*0.475*44/12</f>
        <v>3.4418910699264313</v>
      </c>
      <c r="DH171" s="23">
        <f>EXP(-LN(2)/2)*DH170+(1-EXP(-LN(2)/2))/(LN(2)/2)*DB171*DE171*VLOOKUP('Données projet'!$B$13,Paramètres!$A$1:$I$89,3,0)*0.475*44/12</f>
        <v>1.3063766062446789E-12</v>
      </c>
      <c r="DI171" s="24">
        <f t="shared" si="175"/>
        <v>36.553678961235086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70">
        <f t="shared" si="110"/>
        <v>256.66666666666669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-1.8474111129762605E-13</v>
      </c>
      <c r="O172" s="14">
        <f>N172*VLOOKUP('Données projet'!$B$9,Paramètres!$A$1:$I$89,3,0)*VLOOKUP('Données projet'!$B$9,Paramètres!$A$1:$I$89,5,0)</f>
        <v>-1.6715375750209204E-13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441.6145113257511</v>
      </c>
      <c r="T172" s="62">
        <f t="shared" si="142"/>
        <v>295.8399381972477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127.05901496490903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127.05901496490903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-4.5474735088646412E-13</v>
      </c>
      <c r="AJ172" s="14">
        <f>AI172*VLOOKUP('Données projet'!$B$10,Paramètres!$A$1:$I$89,3,0)*VLOOKUP('Données projet'!$B$10,Paramètres!$A$1:$I$89,5,0)</f>
        <v>-3.9017322706058626E-13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623.31285537237943</v>
      </c>
      <c r="AO172" s="62">
        <f t="shared" si="144"/>
        <v>462.33909258902241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71.743350409429709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71.743350409429709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-1.7053025658242404E-13</v>
      </c>
      <c r="BE172" s="14">
        <f>BD172*VLOOKUP('Données projet'!$B$11,Paramètres!$A$1:$I$89,3,0)*VLOOKUP('Données projet'!$B$11,Paramètres!$A$1:$I$89,5,0)</f>
        <v>-1.3567387213697657E-13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299.10536994156814</v>
      </c>
      <c r="BJ172" s="62">
        <f t="shared" si="146"/>
        <v>292.57799203101769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20.825880314670197</v>
      </c>
      <c r="BQ172" s="23">
        <f>EXP(-LN(2)/25)*BQ171+(1-EXP(-LN(2)/25))/(LN(2)/25)*Calculateur!BL172*Calculateur!BN172*VLOOKUP('Données projet'!$B$11,Paramètres!$A$1:$I$89,3,0)*0.475*44/12</f>
        <v>0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20.825880314670197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2.8421709430404007E-14</v>
      </c>
      <c r="BZ172" s="14">
        <f>BY172*VLOOKUP('Données projet'!$B$12,Paramètres!$A$1:$I$89,3,0)*VLOOKUP('Données projet'!$B$12,Paramètres!$A$1:$I$89,5,0)</f>
        <v>2.2168933355715127E-14</v>
      </c>
      <c r="CA172" s="14">
        <f t="shared" si="170"/>
        <v>3.9687356123668477E-13</v>
      </c>
      <c r="CB172" s="22">
        <f t="shared" si="171"/>
        <v>7.2983234474842979E-13</v>
      </c>
      <c r="CC172" s="62">
        <f t="shared" si="119"/>
        <v>293.33333333333405</v>
      </c>
      <c r="CD172" s="62">
        <f ca="1">AVERAGE(OFFSET($CC$3,0,0,'Données projet'!$E$12+1,1))-AVERAGE(OFFSET($H$3,0,0,'Données projet'!$E$12+1,1))</f>
        <v>197.51529454208725</v>
      </c>
      <c r="CE172" s="62">
        <f t="shared" si="148"/>
        <v>196.65362486387215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11.032488960212273</v>
      </c>
      <c r="CL172" s="23">
        <f>EXP(-LN(2)/25)*CL171+(1-EXP(-LN(2)/25))/(LN(2)/25)*Calculateur!CG172*Calculateur!CI172*VLOOKUP('Données projet'!$B$12,Paramètres!$A$1:$I$89,3,0)*0.475*44/12</f>
        <v>0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11.032488960212273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-5.6843418860808015E-14</v>
      </c>
      <c r="CU172" s="18">
        <f>CT172*VLOOKUP('Données projet'!$B$13,Paramètres!$A$1:$I$89,3,0)*VLOOKUP('Données projet'!$B$13,Paramètres!$A$1:$I$89,5,0)</f>
        <v>-3.1036506698001178E-14</v>
      </c>
      <c r="CV172" s="14" t="e">
        <f t="shared" si="173"/>
        <v>#NUM!</v>
      </c>
      <c r="CW172" s="22" t="e">
        <f t="shared" si="174"/>
        <v>#NUM!</v>
      </c>
      <c r="CX172" s="62" t="e">
        <f t="shared" si="122"/>
        <v>#NUM!</v>
      </c>
      <c r="CY172" s="62">
        <f ca="1">AVERAGE(OFFSET($CX$3,0,0,'Données projet'!$E$13+1,1))-AVERAGE(OFFSET($H$3,0,0,'Données projet'!$E$13+1,1))</f>
        <v>303.14853302260451</v>
      </c>
      <c r="CZ172" s="62">
        <f t="shared" si="150"/>
        <v>298.74602928001929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32.46248592695521</v>
      </c>
      <c r="DG172" s="23">
        <f>EXP(-LN(2)/25)*DG171+(1-EXP(-LN(2)/25))/(LN(2)/25)*Calculateur!DB172*Calculateur!DD172*VLOOKUP('Données projet'!$B$13,Paramètres!$A$1:$I$89,3,0)*0.475*44/12</f>
        <v>3.3477723776181083</v>
      </c>
      <c r="DH172" s="23">
        <f>EXP(-LN(2)/2)*DH171+(1-EXP(-LN(2)/2))/(LN(2)/2)*DB172*DE172*VLOOKUP('Données projet'!$B$13,Paramètres!$A$1:$I$89,3,0)*0.475*44/12</f>
        <v>9.2374775705908068E-13</v>
      </c>
      <c r="DI172" s="24">
        <f t="shared" si="175"/>
        <v>35.810258304574241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70">
        <f t="shared" si="110"/>
        <v>256.66666666666669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-1.8474111129762605E-13</v>
      </c>
      <c r="O173" s="14">
        <f>N173*VLOOKUP('Données projet'!$B$9,Paramètres!$A$1:$I$89,3,0)*VLOOKUP('Données projet'!$B$9,Paramètres!$A$1:$I$89,5,0)</f>
        <v>-1.6715375750209204E-13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441.6145113257511</v>
      </c>
      <c r="T173" s="62">
        <f t="shared" si="142"/>
        <v>295.8399381972477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124.56746517979396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124.56746517979396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-4.5474735088646412E-13</v>
      </c>
      <c r="AJ173" s="14">
        <f>AI173*VLOOKUP('Données projet'!$B$10,Paramètres!$A$1:$I$89,3,0)*VLOOKUP('Données projet'!$B$10,Paramètres!$A$1:$I$89,5,0)</f>
        <v>-3.9017322706058626E-13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623.31285537237943</v>
      </c>
      <c r="AO173" s="62">
        <f t="shared" si="144"/>
        <v>462.33909258902241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70.336507067023689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70.336507067023689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-1.7053025658242404E-13</v>
      </c>
      <c r="BE173" s="14">
        <f>BD173*VLOOKUP('Données projet'!$B$11,Paramètres!$A$1:$I$89,3,0)*VLOOKUP('Données projet'!$B$11,Paramètres!$A$1:$I$89,5,0)</f>
        <v>-1.3567387213697657E-13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299.10536994156814</v>
      </c>
      <c r="BJ173" s="62">
        <f t="shared" si="146"/>
        <v>292.57799203101769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20.417497504232237</v>
      </c>
      <c r="BQ173" s="23">
        <f>EXP(-LN(2)/25)*BQ172+(1-EXP(-LN(2)/25))/(LN(2)/25)*Calculateur!BL173*Calculateur!BN173*VLOOKUP('Données projet'!$B$11,Paramètres!$A$1:$I$89,3,0)*0.475*44/12</f>
        <v>0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20.417497504232237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2.8421709430404007E-14</v>
      </c>
      <c r="BZ173" s="14">
        <f>BY173*VLOOKUP('Données projet'!$B$12,Paramètres!$A$1:$I$89,3,0)*VLOOKUP('Données projet'!$B$12,Paramètres!$A$1:$I$89,5,0)</f>
        <v>2.2168933355715127E-14</v>
      </c>
      <c r="CA173" s="14">
        <f t="shared" si="170"/>
        <v>3.9687356123668477E-13</v>
      </c>
      <c r="CB173" s="22">
        <f t="shared" si="171"/>
        <v>7.2983234474842979E-13</v>
      </c>
      <c r="CC173" s="62">
        <f t="shared" si="119"/>
        <v>293.33333333333405</v>
      </c>
      <c r="CD173" s="62">
        <f ca="1">AVERAGE(OFFSET($CC$3,0,0,'Données projet'!$E$12+1,1))-AVERAGE(OFFSET($H$3,0,0,'Données projet'!$E$12+1,1))</f>
        <v>197.51529454208725</v>
      </c>
      <c r="CE173" s="62">
        <f t="shared" si="148"/>
        <v>196.65362486387215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10.816148580856327</v>
      </c>
      <c r="CL173" s="23">
        <f>EXP(-LN(2)/25)*CL172+(1-EXP(-LN(2)/25))/(LN(2)/25)*Calculateur!CG173*Calculateur!CI173*VLOOKUP('Données projet'!$B$12,Paramètres!$A$1:$I$89,3,0)*0.475*44/12</f>
        <v>0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10.816148580856327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-5.6843418860808015E-14</v>
      </c>
      <c r="CU173" s="18">
        <f>CT173*VLOOKUP('Données projet'!$B$13,Paramètres!$A$1:$I$89,3,0)*VLOOKUP('Données projet'!$B$13,Paramètres!$A$1:$I$89,5,0)</f>
        <v>-3.1036506698001178E-14</v>
      </c>
      <c r="CV173" s="14" t="e">
        <f t="shared" si="173"/>
        <v>#NUM!</v>
      </c>
      <c r="CW173" s="22" t="e">
        <f t="shared" si="174"/>
        <v>#NUM!</v>
      </c>
      <c r="CX173" s="62" t="e">
        <f t="shared" si="122"/>
        <v>#NUM!</v>
      </c>
      <c r="CY173" s="62">
        <f ca="1">AVERAGE(OFFSET($CX$3,0,0,'Données projet'!$E$13+1,1))-AVERAGE(OFFSET($H$3,0,0,'Données projet'!$E$13+1,1))</f>
        <v>303.14853302260451</v>
      </c>
      <c r="CZ173" s="62">
        <f t="shared" si="150"/>
        <v>298.74602928001929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31.82591637808893</v>
      </c>
      <c r="DG173" s="23">
        <f>EXP(-LN(2)/25)*DG172+(1-EXP(-LN(2)/25))/(LN(2)/25)*Calculateur!DB173*Calculateur!DD173*VLOOKUP('Données projet'!$B$13,Paramètres!$A$1:$I$89,3,0)*0.475*44/12</f>
        <v>3.2562273659004433</v>
      </c>
      <c r="DH173" s="23">
        <f>EXP(-LN(2)/2)*DH172+(1-EXP(-LN(2)/2))/(LN(2)/2)*DB173*DE173*VLOOKUP('Données projet'!$B$13,Paramètres!$A$1:$I$89,3,0)*0.475*44/12</f>
        <v>6.5318830312233943E-13</v>
      </c>
      <c r="DI173" s="24">
        <f t="shared" si="175"/>
        <v>35.082143743990031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70">
        <f t="shared" si="110"/>
        <v>256.66666666666669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-1.8474111129762605E-13</v>
      </c>
      <c r="O174" s="14">
        <f>N174*VLOOKUP('Données projet'!$B$9,Paramètres!$A$1:$I$89,3,0)*VLOOKUP('Données projet'!$B$9,Paramètres!$A$1:$I$89,5,0)</f>
        <v>-1.6715375750209204E-13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441.6145113257511</v>
      </c>
      <c r="T174" s="62">
        <f t="shared" si="142"/>
        <v>295.8399381972477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122.12477316626969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122.12477316626969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-4.5474735088646412E-13</v>
      </c>
      <c r="AJ174" s="14">
        <f>AI174*VLOOKUP('Données projet'!$B$10,Paramètres!$A$1:$I$89,3,0)*VLOOKUP('Données projet'!$B$10,Paramètres!$A$1:$I$89,5,0)</f>
        <v>-3.9017322706058626E-13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623.31285537237943</v>
      </c>
      <c r="AO174" s="62">
        <f t="shared" si="144"/>
        <v>462.33909258902241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68.957251064472544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68.957251064472544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-1.7053025658242404E-13</v>
      </c>
      <c r="BE174" s="14">
        <f>BD174*VLOOKUP('Données projet'!$B$11,Paramètres!$A$1:$I$89,3,0)*VLOOKUP('Données projet'!$B$11,Paramètres!$A$1:$I$89,5,0)</f>
        <v>-1.3567387213697657E-13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299.10536994156814</v>
      </c>
      <c r="BJ174" s="62">
        <f t="shared" si="146"/>
        <v>292.57799203101769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20.017122831618046</v>
      </c>
      <c r="BQ174" s="23">
        <f>EXP(-LN(2)/25)*BQ173+(1-EXP(-LN(2)/25))/(LN(2)/25)*Calculateur!BL174*Calculateur!BN174*VLOOKUP('Données projet'!$B$11,Paramètres!$A$1:$I$89,3,0)*0.475*44/12</f>
        <v>0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20.017122831618046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2.8421709430404007E-14</v>
      </c>
      <c r="BZ174" s="14">
        <f>BY174*VLOOKUP('Données projet'!$B$12,Paramètres!$A$1:$I$89,3,0)*VLOOKUP('Données projet'!$B$12,Paramètres!$A$1:$I$89,5,0)</f>
        <v>2.2168933355715127E-14</v>
      </c>
      <c r="CA174" s="14">
        <f t="shared" si="170"/>
        <v>3.9687356123668477E-13</v>
      </c>
      <c r="CB174" s="22">
        <f t="shared" si="171"/>
        <v>7.2983234474842979E-13</v>
      </c>
      <c r="CC174" s="62">
        <f t="shared" si="119"/>
        <v>293.33333333333405</v>
      </c>
      <c r="CD174" s="62">
        <f ca="1">AVERAGE(OFFSET($CC$3,0,0,'Données projet'!$E$12+1,1))-AVERAGE(OFFSET($H$3,0,0,'Données projet'!$E$12+1,1))</f>
        <v>197.51529454208725</v>
      </c>
      <c r="CE174" s="62">
        <f t="shared" si="148"/>
        <v>196.65362486387215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10.604050504384949</v>
      </c>
      <c r="CL174" s="23">
        <f>EXP(-LN(2)/25)*CL173+(1-EXP(-LN(2)/25))/(LN(2)/25)*Calculateur!CG174*Calculateur!CI174*VLOOKUP('Données projet'!$B$12,Paramètres!$A$1:$I$89,3,0)*0.475*44/12</f>
        <v>0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10.604050504384949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-5.6843418860808015E-14</v>
      </c>
      <c r="CU174" s="18">
        <f>CT174*VLOOKUP('Données projet'!$B$13,Paramètres!$A$1:$I$89,3,0)*VLOOKUP('Données projet'!$B$13,Paramètres!$A$1:$I$89,5,0)</f>
        <v>-3.1036506698001178E-14</v>
      </c>
      <c r="CV174" s="14" t="e">
        <f t="shared" si="173"/>
        <v>#NUM!</v>
      </c>
      <c r="CW174" s="22" t="e">
        <f t="shared" si="174"/>
        <v>#NUM!</v>
      </c>
      <c r="CX174" s="62" t="e">
        <f t="shared" si="122"/>
        <v>#NUM!</v>
      </c>
      <c r="CY174" s="62">
        <f ca="1">AVERAGE(OFFSET($CX$3,0,0,'Données projet'!$E$13+1,1))-AVERAGE(OFFSET($H$3,0,0,'Données projet'!$E$13+1,1))</f>
        <v>303.14853302260451</v>
      </c>
      <c r="CZ174" s="62">
        <f t="shared" si="150"/>
        <v>298.74602928001929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31.201829569806833</v>
      </c>
      <c r="DG174" s="23">
        <f>EXP(-LN(2)/25)*DG173+(1-EXP(-LN(2)/25))/(LN(2)/25)*Calculateur!DB174*Calculateur!DD174*VLOOKUP('Données projet'!$B$13,Paramètres!$A$1:$I$89,3,0)*0.475*44/12</f>
        <v>3.1671856573423405</v>
      </c>
      <c r="DH174" s="23">
        <f>EXP(-LN(2)/2)*DH173+(1-EXP(-LN(2)/2))/(LN(2)/2)*DB174*DE174*VLOOKUP('Données projet'!$B$13,Paramètres!$A$1:$I$89,3,0)*0.475*44/12</f>
        <v>4.6187387852954034E-13</v>
      </c>
      <c r="DI174" s="24">
        <f t="shared" si="175"/>
        <v>34.369015227149639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70">
        <f t="shared" si="110"/>
        <v>256.66666666666669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-1.8474111129762605E-13</v>
      </c>
      <c r="O175" s="14">
        <f>N175*VLOOKUP('Données projet'!$B$9,Paramètres!$A$1:$I$89,3,0)*VLOOKUP('Données projet'!$B$9,Paramètres!$A$1:$I$89,5,0)</f>
        <v>-1.6715375750209204E-13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441.6145113257511</v>
      </c>
      <c r="T175" s="62">
        <f t="shared" si="142"/>
        <v>295.8399381972477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119.72998085323562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119.72998085323562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-4.5474735088646412E-13</v>
      </c>
      <c r="AJ175" s="14">
        <f>AI175*VLOOKUP('Données projet'!$B$10,Paramètres!$A$1:$I$89,3,0)*VLOOKUP('Données projet'!$B$10,Paramètres!$A$1:$I$89,5,0)</f>
        <v>-3.9017322706058626E-13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623.31285537237943</v>
      </c>
      <c r="AO175" s="62">
        <f t="shared" si="144"/>
        <v>462.33909258902241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67.605041430868326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67.605041430868326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-1.7053025658242404E-13</v>
      </c>
      <c r="BE175" s="14">
        <f>BD175*VLOOKUP('Données projet'!$B$11,Paramètres!$A$1:$I$89,3,0)*VLOOKUP('Données projet'!$B$11,Paramètres!$A$1:$I$89,5,0)</f>
        <v>-1.3567387213697657E-13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299.10536994156814</v>
      </c>
      <c r="BJ175" s="62">
        <f t="shared" si="146"/>
        <v>292.57799203101769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19.624599262129379</v>
      </c>
      <c r="BQ175" s="23">
        <f>EXP(-LN(2)/25)*BQ174+(1-EXP(-LN(2)/25))/(LN(2)/25)*Calculateur!BL175*Calculateur!BN175*VLOOKUP('Données projet'!$B$11,Paramètres!$A$1:$I$89,3,0)*0.475*44/12</f>
        <v>0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19.624599262129379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2.8421709430404007E-14</v>
      </c>
      <c r="BZ175" s="14">
        <f>BY175*VLOOKUP('Données projet'!$B$12,Paramètres!$A$1:$I$89,3,0)*VLOOKUP('Données projet'!$B$12,Paramètres!$A$1:$I$89,5,0)</f>
        <v>2.2168933355715127E-14</v>
      </c>
      <c r="CA175" s="14">
        <f t="shared" si="170"/>
        <v>3.9687356123668477E-13</v>
      </c>
      <c r="CB175" s="22">
        <f t="shared" si="171"/>
        <v>7.2983234474842979E-13</v>
      </c>
      <c r="CC175" s="62">
        <f t="shared" si="119"/>
        <v>293.33333333333405</v>
      </c>
      <c r="CD175" s="62">
        <f ca="1">AVERAGE(OFFSET($CC$3,0,0,'Données projet'!$E$12+1,1))-AVERAGE(OFFSET($H$3,0,0,'Données projet'!$E$12+1,1))</f>
        <v>197.51529454208725</v>
      </c>
      <c r="CE175" s="62">
        <f t="shared" si="148"/>
        <v>196.65362486387215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10.396111541826123</v>
      </c>
      <c r="CL175" s="23">
        <f>EXP(-LN(2)/25)*CL174+(1-EXP(-LN(2)/25))/(LN(2)/25)*Calculateur!CG175*Calculateur!CI175*VLOOKUP('Données projet'!$B$12,Paramètres!$A$1:$I$89,3,0)*0.475*44/12</f>
        <v>0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10.396111541826123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-5.6843418860808015E-14</v>
      </c>
      <c r="CU175" s="18">
        <f>CT175*VLOOKUP('Données projet'!$B$13,Paramètres!$A$1:$I$89,3,0)*VLOOKUP('Données projet'!$B$13,Paramètres!$A$1:$I$89,5,0)</f>
        <v>-3.1036506698001178E-14</v>
      </c>
      <c r="CV175" s="14" t="e">
        <f t="shared" si="173"/>
        <v>#NUM!</v>
      </c>
      <c r="CW175" s="22" t="e">
        <f t="shared" si="174"/>
        <v>#NUM!</v>
      </c>
      <c r="CX175" s="62" t="e">
        <f t="shared" si="122"/>
        <v>#NUM!</v>
      </c>
      <c r="CY175" s="62">
        <f ca="1">AVERAGE(OFFSET($CX$3,0,0,'Données projet'!$E$13+1,1))-AVERAGE(OFFSET($H$3,0,0,'Données projet'!$E$13+1,1))</f>
        <v>303.14853302260451</v>
      </c>
      <c r="CZ175" s="62">
        <f t="shared" si="150"/>
        <v>298.74602928001929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30.589980723179782</v>
      </c>
      <c r="DG175" s="23">
        <f>EXP(-LN(2)/25)*DG174+(1-EXP(-LN(2)/25))/(LN(2)/25)*Calculateur!DB175*Calculateur!DD175*VLOOKUP('Données projet'!$B$13,Paramètres!$A$1:$I$89,3,0)*0.475*44/12</f>
        <v>3.0805787989872591</v>
      </c>
      <c r="DH175" s="23">
        <f>EXP(-LN(2)/2)*DH174+(1-EXP(-LN(2)/2))/(LN(2)/2)*DB175*DE175*VLOOKUP('Données projet'!$B$13,Paramètres!$A$1:$I$89,3,0)*0.475*44/12</f>
        <v>3.2659415156116971E-13</v>
      </c>
      <c r="DI175" s="24">
        <f t="shared" si="175"/>
        <v>33.670559522167366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70">
        <f t="shared" si="110"/>
        <v>256.66666666666669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-1.8474111129762605E-13</v>
      </c>
      <c r="O176" s="14">
        <f>N176*VLOOKUP('Données projet'!$B$9,Paramètres!$A$1:$I$89,3,0)*VLOOKUP('Données projet'!$B$9,Paramètres!$A$1:$I$89,5,0)</f>
        <v>-1.6715375750209204E-13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441.6145113257511</v>
      </c>
      <c r="T176" s="62">
        <f t="shared" si="142"/>
        <v>295.8399381972477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117.38214895678107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117.38214895678107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-4.5474735088646412E-13</v>
      </c>
      <c r="AJ176" s="14">
        <f>AI176*VLOOKUP('Données projet'!$B$10,Paramètres!$A$1:$I$89,3,0)*VLOOKUP('Données projet'!$B$10,Paramètres!$A$1:$I$89,5,0)</f>
        <v>-3.9017322706058626E-13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623.31285537237943</v>
      </c>
      <c r="AO176" s="62">
        <f t="shared" si="144"/>
        <v>462.33909258902241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66.279347803412648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66.279347803412648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-1.7053025658242404E-13</v>
      </c>
      <c r="BE176" s="14">
        <f>BD176*VLOOKUP('Données projet'!$B$11,Paramètres!$A$1:$I$89,3,0)*VLOOKUP('Données projet'!$B$11,Paramètres!$A$1:$I$89,5,0)</f>
        <v>-1.3567387213697657E-13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299.10536994156814</v>
      </c>
      <c r="BJ176" s="62">
        <f t="shared" si="146"/>
        <v>292.57799203101769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19.239772840422649</v>
      </c>
      <c r="BQ176" s="23">
        <f>EXP(-LN(2)/25)*BQ175+(1-EXP(-LN(2)/25))/(LN(2)/25)*Calculateur!BL176*Calculateur!BN176*VLOOKUP('Données projet'!$B$11,Paramètres!$A$1:$I$89,3,0)*0.475*44/12</f>
        <v>0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19.239772840422649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2.8421709430404007E-14</v>
      </c>
      <c r="BZ176" s="14">
        <f>BY176*VLOOKUP('Données projet'!$B$12,Paramètres!$A$1:$I$89,3,0)*VLOOKUP('Données projet'!$B$12,Paramètres!$A$1:$I$89,5,0)</f>
        <v>2.2168933355715127E-14</v>
      </c>
      <c r="CA176" s="14">
        <f t="shared" si="170"/>
        <v>3.9687356123668477E-13</v>
      </c>
      <c r="CB176" s="22">
        <f t="shared" si="171"/>
        <v>7.2983234474842979E-13</v>
      </c>
      <c r="CC176" s="62">
        <f t="shared" si="119"/>
        <v>293.33333333333405</v>
      </c>
      <c r="CD176" s="62">
        <f ca="1">AVERAGE(OFFSET($CC$3,0,0,'Données projet'!$E$12+1,1))-AVERAGE(OFFSET($H$3,0,0,'Données projet'!$E$12+1,1))</f>
        <v>197.51529454208725</v>
      </c>
      <c r="CE176" s="62">
        <f t="shared" si="148"/>
        <v>196.65362486387215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10.192250135492831</v>
      </c>
      <c r="CL176" s="23">
        <f>EXP(-LN(2)/25)*CL175+(1-EXP(-LN(2)/25))/(LN(2)/25)*Calculateur!CG176*Calculateur!CI176*VLOOKUP('Données projet'!$B$12,Paramètres!$A$1:$I$89,3,0)*0.475*44/12</f>
        <v>0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10.192250135492831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-5.6843418860808015E-14</v>
      </c>
      <c r="CU176" s="18">
        <f>CT176*VLOOKUP('Données projet'!$B$13,Paramètres!$A$1:$I$89,3,0)*VLOOKUP('Données projet'!$B$13,Paramètres!$A$1:$I$89,5,0)</f>
        <v>-3.1036506698001178E-14</v>
      </c>
      <c r="CV176" s="14" t="e">
        <f t="shared" si="173"/>
        <v>#NUM!</v>
      </c>
      <c r="CW176" s="22" t="e">
        <f t="shared" si="174"/>
        <v>#NUM!</v>
      </c>
      <c r="CX176" s="62" t="e">
        <f t="shared" si="122"/>
        <v>#NUM!</v>
      </c>
      <c r="CY176" s="62">
        <f ca="1">AVERAGE(OFFSET($CX$3,0,0,'Données projet'!$E$13+1,1))-AVERAGE(OFFSET($H$3,0,0,'Données projet'!$E$13+1,1))</f>
        <v>303.14853302260451</v>
      </c>
      <c r="CZ176" s="62">
        <f t="shared" si="150"/>
        <v>298.74602928001929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29.990129859244139</v>
      </c>
      <c r="DG176" s="23">
        <f>EXP(-LN(2)/25)*DG175+(1-EXP(-LN(2)/25))/(LN(2)/25)*Calculateur!DB176*Calculateur!DD176*VLOOKUP('Données projet'!$B$13,Paramètres!$A$1:$I$89,3,0)*0.475*44/12</f>
        <v>2.9963402097283542</v>
      </c>
      <c r="DH176" s="23">
        <f>EXP(-LN(2)/2)*DH175+(1-EXP(-LN(2)/2))/(LN(2)/2)*DB176*DE176*VLOOKUP('Données projet'!$B$13,Paramètres!$A$1:$I$89,3,0)*0.475*44/12</f>
        <v>2.3093693926477017E-13</v>
      </c>
      <c r="DI176" s="24">
        <f t="shared" si="175"/>
        <v>32.986470068972729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70">
        <f t="shared" si="110"/>
        <v>256.66666666666669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-1.8474111129762605E-13</v>
      </c>
      <c r="O177" s="14">
        <f>N177*VLOOKUP('Données projet'!$B$9,Paramètres!$A$1:$I$89,3,0)*VLOOKUP('Données projet'!$B$9,Paramètres!$A$1:$I$89,5,0)</f>
        <v>-1.6715375750209204E-13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441.6145113257511</v>
      </c>
      <c r="T177" s="62">
        <f t="shared" si="142"/>
        <v>295.8399381972477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115.08035661177993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115.08035661177993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-4.5474735088646412E-13</v>
      </c>
      <c r="AJ177" s="14">
        <f>AI177*VLOOKUP('Données projet'!$B$10,Paramètres!$A$1:$I$89,3,0)*VLOOKUP('Données projet'!$B$10,Paramètres!$A$1:$I$89,5,0)</f>
        <v>-3.9017322706058626E-13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623.31285537237943</v>
      </c>
      <c r="AO177" s="62">
        <f t="shared" si="144"/>
        <v>462.33909258902241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64.97965021939811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64.97965021939811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-1.7053025658242404E-13</v>
      </c>
      <c r="BE177" s="14">
        <f>BD177*VLOOKUP('Données projet'!$B$11,Paramètres!$A$1:$I$89,3,0)*VLOOKUP('Données projet'!$B$11,Paramètres!$A$1:$I$89,5,0)</f>
        <v>-1.3567387213697657E-13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299.10536994156814</v>
      </c>
      <c r="BJ177" s="62">
        <f t="shared" si="146"/>
        <v>292.57799203101769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18.862492630124649</v>
      </c>
      <c r="BQ177" s="23">
        <f>EXP(-LN(2)/25)*BQ176+(1-EXP(-LN(2)/25))/(LN(2)/25)*Calculateur!BL177*Calculateur!BN177*VLOOKUP('Données projet'!$B$11,Paramètres!$A$1:$I$89,3,0)*0.475*44/12</f>
        <v>0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18.862492630124649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2.8421709430404007E-14</v>
      </c>
      <c r="BZ177" s="14">
        <f>BY177*VLOOKUP('Données projet'!$B$12,Paramètres!$A$1:$I$89,3,0)*VLOOKUP('Données projet'!$B$12,Paramètres!$A$1:$I$89,5,0)</f>
        <v>2.2168933355715127E-14</v>
      </c>
      <c r="CA177" s="14">
        <f t="shared" si="170"/>
        <v>3.9687356123668477E-13</v>
      </c>
      <c r="CB177" s="22">
        <f t="shared" si="171"/>
        <v>7.2983234474842979E-13</v>
      </c>
      <c r="CC177" s="62">
        <f t="shared" si="119"/>
        <v>293.33333333333405</v>
      </c>
      <c r="CD177" s="62">
        <f ca="1">AVERAGE(OFFSET($CC$3,0,0,'Données projet'!$E$12+1,1))-AVERAGE(OFFSET($H$3,0,0,'Données projet'!$E$12+1,1))</f>
        <v>197.51529454208725</v>
      </c>
      <c r="CE177" s="62">
        <f t="shared" si="148"/>
        <v>196.65362486387215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9.9923863269945556</v>
      </c>
      <c r="CL177" s="23">
        <f>EXP(-LN(2)/25)*CL176+(1-EXP(-LN(2)/25))/(LN(2)/25)*Calculateur!CG177*Calculateur!CI177*VLOOKUP('Données projet'!$B$12,Paramètres!$A$1:$I$89,3,0)*0.475*44/12</f>
        <v>0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9.9923863269945556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-5.6843418860808015E-14</v>
      </c>
      <c r="CU177" s="18">
        <f>CT177*VLOOKUP('Données projet'!$B$13,Paramètres!$A$1:$I$89,3,0)*VLOOKUP('Données projet'!$B$13,Paramètres!$A$1:$I$89,5,0)</f>
        <v>-3.1036506698001178E-14</v>
      </c>
      <c r="CV177" s="14" t="e">
        <f t="shared" si="173"/>
        <v>#NUM!</v>
      </c>
      <c r="CW177" s="22" t="e">
        <f t="shared" si="174"/>
        <v>#NUM!</v>
      </c>
      <c r="CX177" s="62" t="e">
        <f t="shared" si="122"/>
        <v>#NUM!</v>
      </c>
      <c r="CY177" s="62">
        <f ca="1">AVERAGE(OFFSET($CX$3,0,0,'Données projet'!$E$13+1,1))-AVERAGE(OFFSET($H$3,0,0,'Données projet'!$E$13+1,1))</f>
        <v>303.14853302260451</v>
      </c>
      <c r="CZ177" s="62">
        <f t="shared" si="150"/>
        <v>298.74602928001929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29.402041704877373</v>
      </c>
      <c r="DG177" s="23">
        <f>EXP(-LN(2)/25)*DG176+(1-EXP(-LN(2)/25))/(LN(2)/25)*Calculateur!DB177*Calculateur!DD177*VLOOKUP('Données projet'!$B$13,Paramètres!$A$1:$I$89,3,0)*0.475*44/12</f>
        <v>2.9144051291226489</v>
      </c>
      <c r="DH177" s="23">
        <f>EXP(-LN(2)/2)*DH176+(1-EXP(-LN(2)/2))/(LN(2)/2)*DB177*DE177*VLOOKUP('Données projet'!$B$13,Paramètres!$A$1:$I$89,3,0)*0.475*44/12</f>
        <v>1.6329707578058486E-13</v>
      </c>
      <c r="DI177" s="24">
        <f t="shared" si="175"/>
        <v>32.316446834000182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70">
        <f t="shared" si="110"/>
        <v>256.66666666666669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-1.8474111129762605E-13</v>
      </c>
      <c r="O178" s="14">
        <f>N178*VLOOKUP('Données projet'!$B$9,Paramètres!$A$1:$I$89,3,0)*VLOOKUP('Données projet'!$B$9,Paramètres!$A$1:$I$89,5,0)</f>
        <v>-1.6715375750209204E-13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441.6145113257511</v>
      </c>
      <c r="T178" s="62">
        <f t="shared" si="142"/>
        <v>295.8399381972477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112.82370101070957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112.82370101070957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-4.5474735088646412E-13</v>
      </c>
      <c r="AJ178" s="14">
        <f>AI178*VLOOKUP('Données projet'!$B$10,Paramètres!$A$1:$I$89,3,0)*VLOOKUP('Données projet'!$B$10,Paramètres!$A$1:$I$89,5,0)</f>
        <v>-3.9017322706058626E-13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623.31285537237943</v>
      </c>
      <c r="AO178" s="62">
        <f t="shared" si="144"/>
        <v>462.33909258902241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63.705438912268846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63.705438912268846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-1.7053025658242404E-13</v>
      </c>
      <c r="BE178" s="14">
        <f>BD178*VLOOKUP('Données projet'!$B$11,Paramètres!$A$1:$I$89,3,0)*VLOOKUP('Données projet'!$B$11,Paramètres!$A$1:$I$89,5,0)</f>
        <v>-1.3567387213697657E-13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299.10536994156814</v>
      </c>
      <c r="BJ178" s="62">
        <f t="shared" si="146"/>
        <v>292.57799203101769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18.492610654632387</v>
      </c>
      <c r="BQ178" s="23">
        <f>EXP(-LN(2)/25)*BQ177+(1-EXP(-LN(2)/25))/(LN(2)/25)*Calculateur!BL178*Calculateur!BN178*VLOOKUP('Données projet'!$B$11,Paramètres!$A$1:$I$89,3,0)*0.475*44/12</f>
        <v>0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18.492610654632387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2.8421709430404007E-14</v>
      </c>
      <c r="BZ178" s="14">
        <f>BY178*VLOOKUP('Données projet'!$B$12,Paramètres!$A$1:$I$89,3,0)*VLOOKUP('Données projet'!$B$12,Paramètres!$A$1:$I$89,5,0)</f>
        <v>2.2168933355715127E-14</v>
      </c>
      <c r="CA178" s="14">
        <f t="shared" si="170"/>
        <v>3.9687356123668477E-13</v>
      </c>
      <c r="CB178" s="22">
        <f t="shared" si="171"/>
        <v>7.2983234474842979E-13</v>
      </c>
      <c r="CC178" s="62">
        <f t="shared" si="119"/>
        <v>293.33333333333405</v>
      </c>
      <c r="CD178" s="62">
        <f ca="1">AVERAGE(OFFSET($CC$3,0,0,'Données projet'!$E$12+1,1))-AVERAGE(OFFSET($H$3,0,0,'Données projet'!$E$12+1,1))</f>
        <v>197.51529454208725</v>
      </c>
      <c r="CE178" s="62">
        <f t="shared" si="148"/>
        <v>196.65362486387215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9.7964417258760452</v>
      </c>
      <c r="CL178" s="23">
        <f>EXP(-LN(2)/25)*CL177+(1-EXP(-LN(2)/25))/(LN(2)/25)*Calculateur!CG178*Calculateur!CI178*VLOOKUP('Données projet'!$B$12,Paramètres!$A$1:$I$89,3,0)*0.475*44/12</f>
        <v>0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9.7964417258760452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-5.6843418860808015E-14</v>
      </c>
      <c r="CU178" s="18">
        <f>CT178*VLOOKUP('Données projet'!$B$13,Paramètres!$A$1:$I$89,3,0)*VLOOKUP('Données projet'!$B$13,Paramètres!$A$1:$I$89,5,0)</f>
        <v>-3.1036506698001178E-14</v>
      </c>
      <c r="CV178" s="14" t="e">
        <f t="shared" si="173"/>
        <v>#NUM!</v>
      </c>
      <c r="CW178" s="22" t="e">
        <f t="shared" si="174"/>
        <v>#NUM!</v>
      </c>
      <c r="CX178" s="62" t="e">
        <f t="shared" si="122"/>
        <v>#NUM!</v>
      </c>
      <c r="CY178" s="62">
        <f ca="1">AVERAGE(OFFSET($CX$3,0,0,'Données projet'!$E$13+1,1))-AVERAGE(OFFSET($H$3,0,0,'Données projet'!$E$13+1,1))</f>
        <v>303.14853302260451</v>
      </c>
      <c r="CZ178" s="62">
        <f t="shared" si="150"/>
        <v>298.74602928001929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28.825485600519386</v>
      </c>
      <c r="DG178" s="23">
        <f>EXP(-LN(2)/25)*DG177+(1-EXP(-LN(2)/25))/(LN(2)/25)*Calculateur!DB178*Calculateur!DD178*VLOOKUP('Données projet'!$B$13,Paramètres!$A$1:$I$89,3,0)*0.475*44/12</f>
        <v>2.8347105676048852</v>
      </c>
      <c r="DH178" s="23">
        <f>EXP(-LN(2)/2)*DH177+(1-EXP(-LN(2)/2))/(LN(2)/2)*DB178*DE178*VLOOKUP('Données projet'!$B$13,Paramètres!$A$1:$I$89,3,0)*0.475*44/12</f>
        <v>1.1546846963238508E-13</v>
      </c>
      <c r="DI178" s="24">
        <f t="shared" si="175"/>
        <v>31.66019616812439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70">
        <f t="shared" si="110"/>
        <v>256.66666666666669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-1.8474111129762605E-13</v>
      </c>
      <c r="O179" s="14">
        <f>N179*VLOOKUP('Données projet'!$B$9,Paramètres!$A$1:$I$89,3,0)*VLOOKUP('Données projet'!$B$9,Paramètres!$A$1:$I$89,5,0)</f>
        <v>-1.6715375750209204E-13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441.6145113257511</v>
      </c>
      <c r="T179" s="62">
        <f t="shared" si="142"/>
        <v>295.8399381972477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110.61129704955219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110.61129704955219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-4.5474735088646412E-13</v>
      </c>
      <c r="AJ179" s="14">
        <f>AI179*VLOOKUP('Données projet'!$B$10,Paramètres!$A$1:$I$89,3,0)*VLOOKUP('Données projet'!$B$10,Paramètres!$A$1:$I$89,5,0)</f>
        <v>-3.9017322706058626E-13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623.31285537237943</v>
      </c>
      <c r="AO179" s="62">
        <f t="shared" si="144"/>
        <v>462.33909258902241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62.456214111680232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62.456214111680232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-1.7053025658242404E-13</v>
      </c>
      <c r="BE179" s="14">
        <f>BD179*VLOOKUP('Données projet'!$B$11,Paramètres!$A$1:$I$89,3,0)*VLOOKUP('Données projet'!$B$11,Paramètres!$A$1:$I$89,5,0)</f>
        <v>-1.3567387213697657E-13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299.10536994156814</v>
      </c>
      <c r="BJ179" s="62">
        <f t="shared" si="146"/>
        <v>292.57799203101769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18.1299818390738</v>
      </c>
      <c r="BQ179" s="23">
        <f>EXP(-LN(2)/25)*BQ178+(1-EXP(-LN(2)/25))/(LN(2)/25)*Calculateur!BL179*Calculateur!BN179*VLOOKUP('Données projet'!$B$11,Paramètres!$A$1:$I$89,3,0)*0.475*44/12</f>
        <v>0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18.1299818390738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2.8421709430404007E-14</v>
      </c>
      <c r="BZ179" s="14">
        <f>BY179*VLOOKUP('Données projet'!$B$12,Paramètres!$A$1:$I$89,3,0)*VLOOKUP('Données projet'!$B$12,Paramètres!$A$1:$I$89,5,0)</f>
        <v>2.2168933355715127E-14</v>
      </c>
      <c r="CA179" s="14">
        <f t="shared" si="170"/>
        <v>3.9687356123668477E-13</v>
      </c>
      <c r="CB179" s="22">
        <f t="shared" si="171"/>
        <v>7.2983234474842979E-13</v>
      </c>
      <c r="CC179" s="62">
        <f t="shared" si="119"/>
        <v>293.33333333333405</v>
      </c>
      <c r="CD179" s="62">
        <f ca="1">AVERAGE(OFFSET($CC$3,0,0,'Données projet'!$E$12+1,1))-AVERAGE(OFFSET($H$3,0,0,'Données projet'!$E$12+1,1))</f>
        <v>197.51529454208725</v>
      </c>
      <c r="CE179" s="62">
        <f t="shared" si="148"/>
        <v>196.65362486387215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9.6043394788710632</v>
      </c>
      <c r="CL179" s="23">
        <f>EXP(-LN(2)/25)*CL178+(1-EXP(-LN(2)/25))/(LN(2)/25)*Calculateur!CG179*Calculateur!CI179*VLOOKUP('Données projet'!$B$12,Paramètres!$A$1:$I$89,3,0)*0.475*44/12</f>
        <v>0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9.6043394788710632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-5.6843418860808015E-14</v>
      </c>
      <c r="CU179" s="18">
        <f>CT179*VLOOKUP('Données projet'!$B$13,Paramètres!$A$1:$I$89,3,0)*VLOOKUP('Données projet'!$B$13,Paramètres!$A$1:$I$89,5,0)</f>
        <v>-3.1036506698001178E-14</v>
      </c>
      <c r="CV179" s="14" t="e">
        <f t="shared" si="173"/>
        <v>#NUM!</v>
      </c>
      <c r="CW179" s="22" t="e">
        <f t="shared" si="174"/>
        <v>#NUM!</v>
      </c>
      <c r="CX179" s="62" t="e">
        <f t="shared" si="122"/>
        <v>#NUM!</v>
      </c>
      <c r="CY179" s="62">
        <f ca="1">AVERAGE(OFFSET($CX$3,0,0,'Données projet'!$E$13+1,1))-AVERAGE(OFFSET($H$3,0,0,'Données projet'!$E$13+1,1))</f>
        <v>303.14853302260451</v>
      </c>
      <c r="CZ179" s="62">
        <f t="shared" si="150"/>
        <v>298.74602928001929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28.260235409703359</v>
      </c>
      <c r="DG179" s="23">
        <f>EXP(-LN(2)/25)*DG178+(1-EXP(-LN(2)/25))/(LN(2)/25)*Calculateur!DB179*Calculateur!DD179*VLOOKUP('Données projet'!$B$13,Paramètres!$A$1:$I$89,3,0)*0.475*44/12</f>
        <v>2.7571952580627794</v>
      </c>
      <c r="DH179" s="23">
        <f>EXP(-LN(2)/2)*DH178+(1-EXP(-LN(2)/2))/(LN(2)/2)*DB179*DE179*VLOOKUP('Données projet'!$B$13,Paramètres!$A$1:$I$89,3,0)*0.475*44/12</f>
        <v>8.1648537890292428E-14</v>
      </c>
      <c r="DI179" s="24">
        <f t="shared" si="175"/>
        <v>31.01743066776622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70">
        <f t="shared" si="110"/>
        <v>256.66666666666669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-1.8474111129762605E-13</v>
      </c>
      <c r="O180" s="14">
        <f>N180*VLOOKUP('Données projet'!$B$9,Paramètres!$A$1:$I$89,3,0)*VLOOKUP('Données projet'!$B$9,Paramètres!$A$1:$I$89,5,0)</f>
        <v>-1.6715375750209204E-13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441.6145113257511</v>
      </c>
      <c r="T180" s="62">
        <f t="shared" si="142"/>
        <v>295.8399381972477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108.44227698063993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108.44227698063993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-4.5474735088646412E-13</v>
      </c>
      <c r="AJ180" s="14">
        <f>AI180*VLOOKUP('Données projet'!$B$10,Paramètres!$A$1:$I$89,3,0)*VLOOKUP('Données projet'!$B$10,Paramètres!$A$1:$I$89,5,0)</f>
        <v>-3.9017322706058626E-13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623.31285537237943</v>
      </c>
      <c r="AO180" s="62">
        <f t="shared" si="144"/>
        <v>462.33909258902241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61.23148584747927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61.23148584747927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-1.7053025658242404E-13</v>
      </c>
      <c r="BE180" s="14">
        <f>BD180*VLOOKUP('Données projet'!$B$11,Paramètres!$A$1:$I$89,3,0)*VLOOKUP('Données projet'!$B$11,Paramètres!$A$1:$I$89,5,0)</f>
        <v>-1.3567387213697657E-13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299.10536994156814</v>
      </c>
      <c r="BJ180" s="62">
        <f t="shared" si="146"/>
        <v>292.57799203101769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17.774463953406578</v>
      </c>
      <c r="BQ180" s="23">
        <f>EXP(-LN(2)/25)*BQ179+(1-EXP(-LN(2)/25))/(LN(2)/25)*Calculateur!BL180*Calculateur!BN180*VLOOKUP('Données projet'!$B$11,Paramètres!$A$1:$I$89,3,0)*0.475*44/12</f>
        <v>0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17.774463953406578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2.8421709430404007E-14</v>
      </c>
      <c r="BZ180" s="14">
        <f>BY180*VLOOKUP('Données projet'!$B$12,Paramètres!$A$1:$I$89,3,0)*VLOOKUP('Données projet'!$B$12,Paramètres!$A$1:$I$89,5,0)</f>
        <v>2.2168933355715127E-14</v>
      </c>
      <c r="CA180" s="14">
        <f t="shared" si="170"/>
        <v>3.9687356123668477E-13</v>
      </c>
      <c r="CB180" s="22">
        <f t="shared" si="171"/>
        <v>7.2983234474842979E-13</v>
      </c>
      <c r="CC180" s="62">
        <f t="shared" si="119"/>
        <v>293.33333333333405</v>
      </c>
      <c r="CD180" s="62">
        <f ca="1">AVERAGE(OFFSET($CC$3,0,0,'Données projet'!$E$12+1,1))-AVERAGE(OFFSET($H$3,0,0,'Données projet'!$E$12+1,1))</f>
        <v>197.51529454208725</v>
      </c>
      <c r="CE180" s="62">
        <f t="shared" si="148"/>
        <v>196.65362486387215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9.4160042397590473</v>
      </c>
      <c r="CL180" s="23">
        <f>EXP(-LN(2)/25)*CL179+(1-EXP(-LN(2)/25))/(LN(2)/25)*Calculateur!CG180*Calculateur!CI180*VLOOKUP('Données projet'!$B$12,Paramètres!$A$1:$I$89,3,0)*0.475*44/12</f>
        <v>0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9.4160042397590473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-5.6843418860808015E-14</v>
      </c>
      <c r="CU180" s="18">
        <f>CT180*VLOOKUP('Données projet'!$B$13,Paramètres!$A$1:$I$89,3,0)*VLOOKUP('Données projet'!$B$13,Paramètres!$A$1:$I$89,5,0)</f>
        <v>-3.1036506698001178E-14</v>
      </c>
      <c r="CV180" s="14" t="e">
        <f t="shared" si="173"/>
        <v>#NUM!</v>
      </c>
      <c r="CW180" s="22" t="e">
        <f t="shared" si="174"/>
        <v>#NUM!</v>
      </c>
      <c r="CX180" s="62" t="e">
        <f t="shared" si="122"/>
        <v>#NUM!</v>
      </c>
      <c r="CY180" s="62">
        <f ca="1">AVERAGE(OFFSET($CX$3,0,0,'Données projet'!$E$13+1,1))-AVERAGE(OFFSET($H$3,0,0,'Données projet'!$E$13+1,1))</f>
        <v>303.14853302260451</v>
      </c>
      <c r="CZ180" s="62">
        <f t="shared" si="150"/>
        <v>298.74602928001929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27.70606943036066</v>
      </c>
      <c r="DG180" s="23">
        <f>EXP(-LN(2)/25)*DG179+(1-EXP(-LN(2)/25))/(LN(2)/25)*Calculateur!DB180*Calculateur!DD180*VLOOKUP('Données projet'!$B$13,Paramètres!$A$1:$I$89,3,0)*0.475*44/12</f>
        <v>2.6817996087364557</v>
      </c>
      <c r="DH180" s="23">
        <f>EXP(-LN(2)/2)*DH179+(1-EXP(-LN(2)/2))/(LN(2)/2)*DB180*DE180*VLOOKUP('Données projet'!$B$13,Paramètres!$A$1:$I$89,3,0)*0.475*44/12</f>
        <v>5.7734234816192542E-14</v>
      </c>
      <c r="DI180" s="24">
        <f t="shared" si="175"/>
        <v>30.387869039097172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70">
        <f t="shared" si="110"/>
        <v>256.66666666666669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-1.8474111129762605E-13</v>
      </c>
      <c r="O181" s="14">
        <f>N181*VLOOKUP('Données projet'!$B$9,Paramètres!$A$1:$I$89,3,0)*VLOOKUP('Données projet'!$B$9,Paramètres!$A$1:$I$89,5,0)</f>
        <v>-1.6715375750209204E-13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441.6145113257511</v>
      </c>
      <c r="T181" s="62">
        <f t="shared" si="142"/>
        <v>295.8399381972477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106.31579007230744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106.31579007230744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-4.5474735088646412E-13</v>
      </c>
      <c r="AJ181" s="14">
        <f>AI181*VLOOKUP('Données projet'!$B$10,Paramètres!$A$1:$I$89,3,0)*VLOOKUP('Données projet'!$B$10,Paramètres!$A$1:$I$89,5,0)</f>
        <v>-3.9017322706058626E-13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623.31285537237943</v>
      </c>
      <c r="AO181" s="62">
        <f t="shared" si="144"/>
        <v>462.33909258902241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60.030773757528806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60.030773757528806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-1.7053025658242404E-13</v>
      </c>
      <c r="BE181" s="14">
        <f>BD181*VLOOKUP('Données projet'!$B$11,Paramètres!$A$1:$I$89,3,0)*VLOOKUP('Données projet'!$B$11,Paramètres!$A$1:$I$89,5,0)</f>
        <v>-1.3567387213697657E-13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299.10536994156814</v>
      </c>
      <c r="BJ181" s="62">
        <f t="shared" si="146"/>
        <v>292.57799203101769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17.425917556632793</v>
      </c>
      <c r="BQ181" s="23">
        <f>EXP(-LN(2)/25)*BQ180+(1-EXP(-LN(2)/25))/(LN(2)/25)*Calculateur!BL181*Calculateur!BN181*VLOOKUP('Données projet'!$B$11,Paramètres!$A$1:$I$89,3,0)*0.475*44/12</f>
        <v>0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17.425917556632793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2.8421709430404007E-14</v>
      </c>
      <c r="BZ181" s="14">
        <f>BY181*VLOOKUP('Données projet'!$B$12,Paramètres!$A$1:$I$89,3,0)*VLOOKUP('Données projet'!$B$12,Paramètres!$A$1:$I$89,5,0)</f>
        <v>2.2168933355715127E-14</v>
      </c>
      <c r="CA181" s="14">
        <f t="shared" si="170"/>
        <v>3.9687356123668477E-13</v>
      </c>
      <c r="CB181" s="22">
        <f t="shared" si="171"/>
        <v>7.2983234474842979E-13</v>
      </c>
      <c r="CC181" s="62">
        <f t="shared" si="119"/>
        <v>293.33333333333405</v>
      </c>
      <c r="CD181" s="62">
        <f ca="1">AVERAGE(OFFSET($CC$3,0,0,'Données projet'!$E$12+1,1))-AVERAGE(OFFSET($H$3,0,0,'Données projet'!$E$12+1,1))</f>
        <v>197.51529454208725</v>
      </c>
      <c r="CE181" s="62">
        <f t="shared" si="148"/>
        <v>196.65362486387215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9.231362139812866</v>
      </c>
      <c r="CL181" s="23">
        <f>EXP(-LN(2)/25)*CL180+(1-EXP(-LN(2)/25))/(LN(2)/25)*Calculateur!CG181*Calculateur!CI181*VLOOKUP('Données projet'!$B$12,Paramètres!$A$1:$I$89,3,0)*0.475*44/12</f>
        <v>0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9.231362139812866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-5.6843418860808015E-14</v>
      </c>
      <c r="CU181" s="18">
        <f>CT181*VLOOKUP('Données projet'!$B$13,Paramètres!$A$1:$I$89,3,0)*VLOOKUP('Données projet'!$B$13,Paramètres!$A$1:$I$89,5,0)</f>
        <v>-3.1036506698001178E-14</v>
      </c>
      <c r="CV181" s="14" t="e">
        <f t="shared" si="173"/>
        <v>#NUM!</v>
      </c>
      <c r="CW181" s="22" t="e">
        <f t="shared" si="174"/>
        <v>#NUM!</v>
      </c>
      <c r="CX181" s="62" t="e">
        <f t="shared" si="122"/>
        <v>#NUM!</v>
      </c>
      <c r="CY181" s="62">
        <f ca="1">AVERAGE(OFFSET($CX$3,0,0,'Données projet'!$E$13+1,1))-AVERAGE(OFFSET($H$3,0,0,'Données projet'!$E$13+1,1))</f>
        <v>303.14853302260451</v>
      </c>
      <c r="CZ181" s="62">
        <f t="shared" si="150"/>
        <v>298.74602928001929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27.162770307864999</v>
      </c>
      <c r="DG181" s="23">
        <f>EXP(-LN(2)/25)*DG180+(1-EXP(-LN(2)/25))/(LN(2)/25)*Calculateur!DB181*Calculateur!DD181*VLOOKUP('Données projet'!$B$13,Paramètres!$A$1:$I$89,3,0)*0.475*44/12</f>
        <v>2.6084656574058451</v>
      </c>
      <c r="DH181" s="23">
        <f>EXP(-LN(2)/2)*DH180+(1-EXP(-LN(2)/2))/(LN(2)/2)*DB181*DE181*VLOOKUP('Données projet'!$B$13,Paramètres!$A$1:$I$89,3,0)*0.475*44/12</f>
        <v>4.0824268945146214E-14</v>
      </c>
      <c r="DI181" s="24">
        <f t="shared" si="175"/>
        <v>29.771235965270883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70">
        <f t="shared" si="110"/>
        <v>256.66666666666669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-1.8474111129762605E-13</v>
      </c>
      <c r="O182" s="14">
        <f>N182*VLOOKUP('Données projet'!$B$9,Paramètres!$A$1:$I$89,3,0)*VLOOKUP('Données projet'!$B$9,Paramètres!$A$1:$I$89,5,0)</f>
        <v>-1.6715375750209204E-13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441.6145113257511</v>
      </c>
      <c r="T182" s="62">
        <f t="shared" si="142"/>
        <v>295.8399381972477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104.2310022752184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104.2310022752184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-4.5474735088646412E-13</v>
      </c>
      <c r="AJ182" s="14">
        <f>AI182*VLOOKUP('Données projet'!$B$10,Paramètres!$A$1:$I$89,3,0)*VLOOKUP('Données projet'!$B$10,Paramètres!$A$1:$I$89,5,0)</f>
        <v>-3.9017322706058626E-13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623.31285537237943</v>
      </c>
      <c r="AO182" s="62">
        <f t="shared" si="144"/>
        <v>462.33909258902241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58.85360689930021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58.85360689930021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-1.7053025658242404E-13</v>
      </c>
      <c r="BE182" s="14">
        <f>BD182*VLOOKUP('Données projet'!$B$11,Paramètres!$A$1:$I$89,3,0)*VLOOKUP('Données projet'!$B$11,Paramètres!$A$1:$I$89,5,0)</f>
        <v>-1.3567387213697657E-13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299.10536994156814</v>
      </c>
      <c r="BJ182" s="62">
        <f t="shared" si="146"/>
        <v>292.57799203101769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17.084205942107431</v>
      </c>
      <c r="BQ182" s="23">
        <f>EXP(-LN(2)/25)*BQ181+(1-EXP(-LN(2)/25))/(LN(2)/25)*Calculateur!BL182*Calculateur!BN182*VLOOKUP('Données projet'!$B$11,Paramètres!$A$1:$I$89,3,0)*0.475*44/12</f>
        <v>0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17.084205942107431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2.8421709430404007E-14</v>
      </c>
      <c r="BZ182" s="14">
        <f>BY182*VLOOKUP('Données projet'!$B$12,Paramètres!$A$1:$I$89,3,0)*VLOOKUP('Données projet'!$B$12,Paramètres!$A$1:$I$89,5,0)</f>
        <v>2.2168933355715127E-14</v>
      </c>
      <c r="CA182" s="14">
        <f t="shared" si="170"/>
        <v>3.9687356123668477E-13</v>
      </c>
      <c r="CB182" s="22">
        <f t="shared" si="171"/>
        <v>7.2983234474842979E-13</v>
      </c>
      <c r="CC182" s="62">
        <f t="shared" si="119"/>
        <v>293.33333333333405</v>
      </c>
      <c r="CD182" s="62">
        <f ca="1">AVERAGE(OFFSET($CC$3,0,0,'Données projet'!$E$12+1,1))-AVERAGE(OFFSET($H$3,0,0,'Données projet'!$E$12+1,1))</f>
        <v>197.51529454208725</v>
      </c>
      <c r="CE182" s="62">
        <f t="shared" si="148"/>
        <v>196.65362486387215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9.0503407588260671</v>
      </c>
      <c r="CL182" s="23">
        <f>EXP(-LN(2)/25)*CL181+(1-EXP(-LN(2)/25))/(LN(2)/25)*Calculateur!CG182*Calculateur!CI182*VLOOKUP('Données projet'!$B$12,Paramètres!$A$1:$I$89,3,0)*0.475*44/12</f>
        <v>0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9.0503407588260671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-5.6843418860808015E-14</v>
      </c>
      <c r="CU182" s="18">
        <f>CT182*VLOOKUP('Données projet'!$B$13,Paramètres!$A$1:$I$89,3,0)*VLOOKUP('Données projet'!$B$13,Paramètres!$A$1:$I$89,5,0)</f>
        <v>-3.1036506698001178E-14</v>
      </c>
      <c r="CV182" s="14" t="e">
        <f t="shared" si="173"/>
        <v>#NUM!</v>
      </c>
      <c r="CW182" s="22" t="e">
        <f t="shared" si="174"/>
        <v>#NUM!</v>
      </c>
      <c r="CX182" s="62" t="e">
        <f t="shared" si="122"/>
        <v>#NUM!</v>
      </c>
      <c r="CY182" s="62">
        <f ca="1">AVERAGE(OFFSET($CX$3,0,0,'Données projet'!$E$13+1,1))-AVERAGE(OFFSET($H$3,0,0,'Données projet'!$E$13+1,1))</f>
        <v>303.14853302260451</v>
      </c>
      <c r="CZ182" s="62">
        <f t="shared" si="150"/>
        <v>298.74602928001929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26.630124949781735</v>
      </c>
      <c r="DG182" s="23">
        <f>EXP(-LN(2)/25)*DG181+(1-EXP(-LN(2)/25))/(LN(2)/25)*Calculateur!DB182*Calculateur!DD182*VLOOKUP('Données projet'!$B$13,Paramètres!$A$1:$I$89,3,0)*0.475*44/12</f>
        <v>2.5371370268308353</v>
      </c>
      <c r="DH182" s="23">
        <f>EXP(-LN(2)/2)*DH181+(1-EXP(-LN(2)/2))/(LN(2)/2)*DB182*DE182*VLOOKUP('Données projet'!$B$13,Paramètres!$A$1:$I$89,3,0)*0.475*44/12</f>
        <v>2.8867117408096271E-14</v>
      </c>
      <c r="DI182" s="24">
        <f t="shared" si="175"/>
        <v>29.167261976612597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70">
        <f t="shared" si="110"/>
        <v>256.66666666666669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-1.8474111129762605E-13</v>
      </c>
      <c r="O183" s="14">
        <f>N183*VLOOKUP('Données projet'!$B$9,Paramètres!$A$1:$I$89,3,0)*VLOOKUP('Données projet'!$B$9,Paramètres!$A$1:$I$89,5,0)</f>
        <v>-1.6715375750209204E-13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441.6145113257511</v>
      </c>
      <c r="T183" s="62">
        <f t="shared" si="142"/>
        <v>295.8399381972477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102.18709589523529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102.18709589523529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-4.5474735088646412E-13</v>
      </c>
      <c r="AJ183" s="14">
        <f>AI183*VLOOKUP('Données projet'!$B$10,Paramètres!$A$1:$I$89,3,0)*VLOOKUP('Données projet'!$B$10,Paramètres!$A$1:$I$89,5,0)</f>
        <v>-3.9017322706058626E-13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623.31285537237943</v>
      </c>
      <c r="AO183" s="62">
        <f t="shared" si="144"/>
        <v>462.33909258902241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57.69952356516059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57.69952356516059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-1.7053025658242404E-13</v>
      </c>
      <c r="BE183" s="14">
        <f>BD183*VLOOKUP('Données projet'!$B$11,Paramètres!$A$1:$I$89,3,0)*VLOOKUP('Données projet'!$B$11,Paramètres!$A$1:$I$89,5,0)</f>
        <v>-1.3567387213697657E-13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299.10536994156814</v>
      </c>
      <c r="BJ183" s="62">
        <f t="shared" si="146"/>
        <v>292.57799203101769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16.749195083919407</v>
      </c>
      <c r="BQ183" s="23">
        <f>EXP(-LN(2)/25)*BQ182+(1-EXP(-LN(2)/25))/(LN(2)/25)*Calculateur!BL183*Calculateur!BN183*VLOOKUP('Données projet'!$B$11,Paramètres!$A$1:$I$89,3,0)*0.475*44/12</f>
        <v>0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16.749195083919407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2.8421709430404007E-14</v>
      </c>
      <c r="BZ183" s="14">
        <f>BY183*VLOOKUP('Données projet'!$B$12,Paramètres!$A$1:$I$89,3,0)*VLOOKUP('Données projet'!$B$12,Paramètres!$A$1:$I$89,5,0)</f>
        <v>2.2168933355715127E-14</v>
      </c>
      <c r="CA183" s="14">
        <f t="shared" si="170"/>
        <v>3.9687356123668477E-13</v>
      </c>
      <c r="CB183" s="22">
        <f t="shared" si="171"/>
        <v>7.2983234474842979E-13</v>
      </c>
      <c r="CC183" s="62">
        <f t="shared" si="119"/>
        <v>293.33333333333405</v>
      </c>
      <c r="CD183" s="62">
        <f ca="1">AVERAGE(OFFSET($CC$3,0,0,'Données projet'!$E$12+1,1))-AVERAGE(OFFSET($H$3,0,0,'Données projet'!$E$12+1,1))</f>
        <v>197.51529454208725</v>
      </c>
      <c r="CE183" s="62">
        <f t="shared" si="148"/>
        <v>196.65362486387215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8.8728690967082802</v>
      </c>
      <c r="CL183" s="23">
        <f>EXP(-LN(2)/25)*CL182+(1-EXP(-LN(2)/25))/(LN(2)/25)*Calculateur!CG183*Calculateur!CI183*VLOOKUP('Données projet'!$B$12,Paramètres!$A$1:$I$89,3,0)*0.475*44/12</f>
        <v>0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8.8728690967082802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-5.6843418860808015E-14</v>
      </c>
      <c r="CU183" s="18">
        <f>CT183*VLOOKUP('Données projet'!$B$13,Paramètres!$A$1:$I$89,3,0)*VLOOKUP('Données projet'!$B$13,Paramètres!$A$1:$I$89,5,0)</f>
        <v>-3.1036506698001178E-14</v>
      </c>
      <c r="CV183" s="14" t="e">
        <f t="shared" si="173"/>
        <v>#NUM!</v>
      </c>
      <c r="CW183" s="22" t="e">
        <f t="shared" si="174"/>
        <v>#NUM!</v>
      </c>
      <c r="CX183" s="62" t="e">
        <f t="shared" si="122"/>
        <v>#NUM!</v>
      </c>
      <c r="CY183" s="62">
        <f ca="1">AVERAGE(OFFSET($CX$3,0,0,'Données projet'!$E$13+1,1))-AVERAGE(OFFSET($H$3,0,0,'Données projet'!$E$13+1,1))</f>
        <v>303.14853302260451</v>
      </c>
      <c r="CZ183" s="62">
        <f t="shared" si="150"/>
        <v>298.74602928001929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26.107924442288894</v>
      </c>
      <c r="DG183" s="23">
        <f>EXP(-LN(2)/25)*DG182+(1-EXP(-LN(2)/25))/(LN(2)/25)*Calculateur!DB183*Calculateur!DD183*VLOOKUP('Données projet'!$B$13,Paramètres!$A$1:$I$89,3,0)*0.475*44/12</f>
        <v>2.4677588814099085</v>
      </c>
      <c r="DH183" s="23">
        <f>EXP(-LN(2)/2)*DH182+(1-EXP(-LN(2)/2))/(LN(2)/2)*DB183*DE183*VLOOKUP('Données projet'!$B$13,Paramètres!$A$1:$I$89,3,0)*0.475*44/12</f>
        <v>2.0412134472573107E-14</v>
      </c>
      <c r="DI183" s="24">
        <f t="shared" si="175"/>
        <v>28.575683323698826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70">
        <f t="shared" si="110"/>
        <v>256.66666666666669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-1.8474111129762605E-13</v>
      </c>
      <c r="O184" s="14">
        <f>N184*VLOOKUP('Données projet'!$B$9,Paramètres!$A$1:$I$89,3,0)*VLOOKUP('Données projet'!$B$9,Paramètres!$A$1:$I$89,5,0)</f>
        <v>-1.6715375750209204E-13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441.6145113257511</v>
      </c>
      <c r="T184" s="62">
        <f t="shared" si="142"/>
        <v>295.8399381972477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100.18326927270384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100.18326927270384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-4.5474735088646412E-13</v>
      </c>
      <c r="AJ184" s="14">
        <f>AI184*VLOOKUP('Données projet'!$B$10,Paramètres!$A$1:$I$89,3,0)*VLOOKUP('Données projet'!$B$10,Paramètres!$A$1:$I$89,5,0)</f>
        <v>-3.9017322706058626E-13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623.31285537237943</v>
      </c>
      <c r="AO184" s="62">
        <f t="shared" si="144"/>
        <v>462.33909258902241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56.568071101282122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56.568071101282122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-1.7053025658242404E-13</v>
      </c>
      <c r="BE184" s="14">
        <f>BD184*VLOOKUP('Données projet'!$B$11,Paramètres!$A$1:$I$89,3,0)*VLOOKUP('Données projet'!$B$11,Paramètres!$A$1:$I$89,5,0)</f>
        <v>-1.3567387213697657E-13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299.10536994156814</v>
      </c>
      <c r="BJ184" s="62">
        <f t="shared" si="146"/>
        <v>292.57799203101769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16.420753584324004</v>
      </c>
      <c r="BQ184" s="23">
        <f>EXP(-LN(2)/25)*BQ183+(1-EXP(-LN(2)/25))/(LN(2)/25)*Calculateur!BL184*Calculateur!BN184*VLOOKUP('Données projet'!$B$11,Paramètres!$A$1:$I$89,3,0)*0.475*44/12</f>
        <v>0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16.420753584324004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2.8421709430404007E-14</v>
      </c>
      <c r="BZ184" s="14">
        <f>BY184*VLOOKUP('Données projet'!$B$12,Paramètres!$A$1:$I$89,3,0)*VLOOKUP('Données projet'!$B$12,Paramètres!$A$1:$I$89,5,0)</f>
        <v>2.2168933355715127E-14</v>
      </c>
      <c r="CA184" s="14">
        <f t="shared" si="170"/>
        <v>3.9687356123668477E-13</v>
      </c>
      <c r="CB184" s="22">
        <f t="shared" si="171"/>
        <v>7.2983234474842979E-13</v>
      </c>
      <c r="CC184" s="62">
        <f t="shared" si="119"/>
        <v>293.33333333333405</v>
      </c>
      <c r="CD184" s="62">
        <f ca="1">AVERAGE(OFFSET($CC$3,0,0,'Données projet'!$E$12+1,1))-AVERAGE(OFFSET($H$3,0,0,'Données projet'!$E$12+1,1))</f>
        <v>197.51529454208725</v>
      </c>
      <c r="CE184" s="62">
        <f t="shared" si="148"/>
        <v>196.65362486387215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8.6988775456375969</v>
      </c>
      <c r="CL184" s="23">
        <f>EXP(-LN(2)/25)*CL183+(1-EXP(-LN(2)/25))/(LN(2)/25)*Calculateur!CG184*Calculateur!CI184*VLOOKUP('Données projet'!$B$12,Paramètres!$A$1:$I$89,3,0)*0.475*44/12</f>
        <v>0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8.6988775456375969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-5.6843418860808015E-14</v>
      </c>
      <c r="CU184" s="18">
        <f>CT184*VLOOKUP('Données projet'!$B$13,Paramètres!$A$1:$I$89,3,0)*VLOOKUP('Données projet'!$B$13,Paramètres!$A$1:$I$89,5,0)</f>
        <v>-3.1036506698001178E-14</v>
      </c>
      <c r="CV184" s="14" t="e">
        <f t="shared" si="173"/>
        <v>#NUM!</v>
      </c>
      <c r="CW184" s="22" t="e">
        <f t="shared" si="174"/>
        <v>#NUM!</v>
      </c>
      <c r="CX184" s="62" t="e">
        <f t="shared" si="122"/>
        <v>#NUM!</v>
      </c>
      <c r="CY184" s="62">
        <f ca="1">AVERAGE(OFFSET($CX$3,0,0,'Données projet'!$E$13+1,1))-AVERAGE(OFFSET($H$3,0,0,'Données projet'!$E$13+1,1))</f>
        <v>303.14853302260451</v>
      </c>
      <c r="CZ184" s="62">
        <f t="shared" si="150"/>
        <v>298.74602928001929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25.595963968237129</v>
      </c>
      <c r="DG184" s="23">
        <f>EXP(-LN(2)/25)*DG183+(1-EXP(-LN(2)/25))/(LN(2)/25)*Calculateur!DB184*Calculateur!DD184*VLOOKUP('Données projet'!$B$13,Paramètres!$A$1:$I$89,3,0)*0.475*44/12</f>
        <v>2.400277885023955</v>
      </c>
      <c r="DH184" s="23">
        <f>EXP(-LN(2)/2)*DH183+(1-EXP(-LN(2)/2))/(LN(2)/2)*DB184*DE184*VLOOKUP('Données projet'!$B$13,Paramètres!$A$1:$I$89,3,0)*0.475*44/12</f>
        <v>1.4433558704048136E-14</v>
      </c>
      <c r="DI184" s="24">
        <f t="shared" si="175"/>
        <v>27.996241853261097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70">
        <f t="shared" si="110"/>
        <v>256.66666666666669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-1.8474111129762605E-13</v>
      </c>
      <c r="O185" s="14">
        <f>N185*VLOOKUP('Données projet'!$B$9,Paramètres!$A$1:$I$89,3,0)*VLOOKUP('Données projet'!$B$9,Paramètres!$A$1:$I$89,5,0)</f>
        <v>-1.6715375750209204E-13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441.6145113257511</v>
      </c>
      <c r="T185" s="62">
        <f t="shared" si="142"/>
        <v>295.8399381972477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98.218736468026677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98.218736468026677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-4.5474735088646412E-13</v>
      </c>
      <c r="AJ185" s="14">
        <f>AI185*VLOOKUP('Données projet'!$B$10,Paramètres!$A$1:$I$89,3,0)*VLOOKUP('Données projet'!$B$10,Paramètres!$A$1:$I$89,5,0)</f>
        <v>-3.9017322706058626E-13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623.31285537237943</v>
      </c>
      <c r="AO185" s="62">
        <f t="shared" si="144"/>
        <v>462.33909258902241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55.458805730102455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55.458805730102455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-1.7053025658242404E-13</v>
      </c>
      <c r="BE185" s="14">
        <f>BD185*VLOOKUP('Données projet'!$B$11,Paramètres!$A$1:$I$89,3,0)*VLOOKUP('Données projet'!$B$11,Paramètres!$A$1:$I$89,5,0)</f>
        <v>-1.3567387213697657E-13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299.10536994156814</v>
      </c>
      <c r="BJ185" s="62">
        <f t="shared" si="146"/>
        <v>292.57799203101769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16.098752622206131</v>
      </c>
      <c r="BQ185" s="23">
        <f>EXP(-LN(2)/25)*BQ184+(1-EXP(-LN(2)/25))/(LN(2)/25)*Calculateur!BL185*Calculateur!BN185*VLOOKUP('Données projet'!$B$11,Paramètres!$A$1:$I$89,3,0)*0.475*44/12</f>
        <v>0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16.098752622206131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2.8421709430404007E-14</v>
      </c>
      <c r="BZ185" s="14">
        <f>BY185*VLOOKUP('Données projet'!$B$12,Paramètres!$A$1:$I$89,3,0)*VLOOKUP('Données projet'!$B$12,Paramètres!$A$1:$I$89,5,0)</f>
        <v>2.2168933355715127E-14</v>
      </c>
      <c r="CA185" s="14">
        <f t="shared" si="170"/>
        <v>3.9687356123668477E-13</v>
      </c>
      <c r="CB185" s="22">
        <f t="shared" si="171"/>
        <v>7.2983234474842979E-13</v>
      </c>
      <c r="CC185" s="62">
        <f t="shared" si="119"/>
        <v>293.33333333333405</v>
      </c>
      <c r="CD185" s="62">
        <f ca="1">AVERAGE(OFFSET($CC$3,0,0,'Données projet'!$E$12+1,1))-AVERAGE(OFFSET($H$3,0,0,'Données projet'!$E$12+1,1))</f>
        <v>197.51529454208725</v>
      </c>
      <c r="CE185" s="62">
        <f t="shared" si="148"/>
        <v>196.65362486387215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8.5282978627590431</v>
      </c>
      <c r="CL185" s="23">
        <f>EXP(-LN(2)/25)*CL184+(1-EXP(-LN(2)/25))/(LN(2)/25)*Calculateur!CG185*Calculateur!CI185*VLOOKUP('Données projet'!$B$12,Paramètres!$A$1:$I$89,3,0)*0.475*44/12</f>
        <v>0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8.5282978627590431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-5.6843418860808015E-14</v>
      </c>
      <c r="CU185" s="18">
        <f>CT185*VLOOKUP('Données projet'!$B$13,Paramètres!$A$1:$I$89,3,0)*VLOOKUP('Données projet'!$B$13,Paramètres!$A$1:$I$89,5,0)</f>
        <v>-3.1036506698001178E-14</v>
      </c>
      <c r="CV185" s="14" t="e">
        <f t="shared" si="173"/>
        <v>#NUM!</v>
      </c>
      <c r="CW185" s="22" t="e">
        <f t="shared" si="174"/>
        <v>#NUM!</v>
      </c>
      <c r="CX185" s="62" t="e">
        <f t="shared" si="122"/>
        <v>#NUM!</v>
      </c>
      <c r="CY185" s="62">
        <f ca="1">AVERAGE(OFFSET($CX$3,0,0,'Données projet'!$E$13+1,1))-AVERAGE(OFFSET($H$3,0,0,'Données projet'!$E$13+1,1))</f>
        <v>303.14853302260451</v>
      </c>
      <c r="CZ185" s="62">
        <f t="shared" si="150"/>
        <v>298.74602928001929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25.094042726816461</v>
      </c>
      <c r="DG185" s="23">
        <f>EXP(-LN(2)/25)*DG184+(1-EXP(-LN(2)/25))/(LN(2)/25)*Calculateur!DB185*Calculateur!DD185*VLOOKUP('Données projet'!$B$13,Paramètres!$A$1:$I$89,3,0)*0.475*44/12</f>
        <v>2.3346421600328471</v>
      </c>
      <c r="DH185" s="23">
        <f>EXP(-LN(2)/2)*DH184+(1-EXP(-LN(2)/2))/(LN(2)/2)*DB185*DE185*VLOOKUP('Données projet'!$B$13,Paramètres!$A$1:$I$89,3,0)*0.475*44/12</f>
        <v>1.0206067236286554E-14</v>
      </c>
      <c r="DI185" s="24">
        <f t="shared" si="175"/>
        <v>27.428684886849318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70">
        <f t="shared" si="110"/>
        <v>256.66666666666669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-1.8474111129762605E-13</v>
      </c>
      <c r="O186" s="14">
        <f>N186*VLOOKUP('Données projet'!$B$9,Paramètres!$A$1:$I$89,3,0)*VLOOKUP('Données projet'!$B$9,Paramètres!$A$1:$I$89,5,0)</f>
        <v>-1.6715375750209204E-13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441.6145113257511</v>
      </c>
      <c r="T186" s="62">
        <f t="shared" si="142"/>
        <v>295.8399381972477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96.29272695340255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96.29272695340255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-4.5474735088646412E-13</v>
      </c>
      <c r="AJ186" s="14">
        <f>AI186*VLOOKUP('Données projet'!$B$10,Paramètres!$A$1:$I$89,3,0)*VLOOKUP('Données projet'!$B$10,Paramètres!$A$1:$I$89,5,0)</f>
        <v>-3.9017322706058626E-13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623.31285537237943</v>
      </c>
      <c r="AO186" s="62">
        <f t="shared" si="144"/>
        <v>462.33909258902241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54.371292376266545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54.371292376266545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-1.7053025658242404E-13</v>
      </c>
      <c r="BE186" s="14">
        <f>BD186*VLOOKUP('Données projet'!$B$11,Paramètres!$A$1:$I$89,3,0)*VLOOKUP('Données projet'!$B$11,Paramètres!$A$1:$I$89,5,0)</f>
        <v>-1.3567387213697657E-13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299.10536994156814</v>
      </c>
      <c r="BJ186" s="62">
        <f t="shared" si="146"/>
        <v>292.57799203101769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15.783065902554196</v>
      </c>
      <c r="BQ186" s="23">
        <f>EXP(-LN(2)/25)*BQ185+(1-EXP(-LN(2)/25))/(LN(2)/25)*Calculateur!BL186*Calculateur!BN186*VLOOKUP('Données projet'!$B$11,Paramètres!$A$1:$I$89,3,0)*0.475*44/12</f>
        <v>0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15.783065902554196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2.8421709430404007E-14</v>
      </c>
      <c r="BZ186" s="14">
        <f>BY186*VLOOKUP('Données projet'!$B$12,Paramètres!$A$1:$I$89,3,0)*VLOOKUP('Données projet'!$B$12,Paramètres!$A$1:$I$89,5,0)</f>
        <v>2.2168933355715127E-14</v>
      </c>
      <c r="CA186" s="14">
        <f t="shared" si="170"/>
        <v>3.9687356123668477E-13</v>
      </c>
      <c r="CB186" s="22">
        <f t="shared" si="171"/>
        <v>7.2983234474842979E-13</v>
      </c>
      <c r="CC186" s="62">
        <f t="shared" si="119"/>
        <v>293.33333333333405</v>
      </c>
      <c r="CD186" s="62">
        <f ca="1">AVERAGE(OFFSET($CC$3,0,0,'Données projet'!$E$12+1,1))-AVERAGE(OFFSET($H$3,0,0,'Données projet'!$E$12+1,1))</f>
        <v>197.51529454208725</v>
      </c>
      <c r="CE186" s="62">
        <f t="shared" si="148"/>
        <v>196.65362486387215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8.361063143418404</v>
      </c>
      <c r="CL186" s="23">
        <f>EXP(-LN(2)/25)*CL185+(1-EXP(-LN(2)/25))/(LN(2)/25)*Calculateur!CG186*Calculateur!CI186*VLOOKUP('Données projet'!$B$12,Paramètres!$A$1:$I$89,3,0)*0.475*44/12</f>
        <v>0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8.361063143418404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-5.6843418860808015E-14</v>
      </c>
      <c r="CU186" s="18">
        <f>CT186*VLOOKUP('Données projet'!$B$13,Paramètres!$A$1:$I$89,3,0)*VLOOKUP('Données projet'!$B$13,Paramètres!$A$1:$I$89,5,0)</f>
        <v>-3.1036506698001178E-14</v>
      </c>
      <c r="CV186" s="14" t="e">
        <f t="shared" si="173"/>
        <v>#NUM!</v>
      </c>
      <c r="CW186" s="22" t="e">
        <f t="shared" si="174"/>
        <v>#NUM!</v>
      </c>
      <c r="CX186" s="62" t="e">
        <f t="shared" si="122"/>
        <v>#NUM!</v>
      </c>
      <c r="CY186" s="62">
        <f ca="1">AVERAGE(OFFSET($CX$3,0,0,'Données projet'!$E$13+1,1))-AVERAGE(OFFSET($H$3,0,0,'Données projet'!$E$13+1,1))</f>
        <v>303.14853302260451</v>
      </c>
      <c r="CZ186" s="62">
        <f t="shared" si="150"/>
        <v>298.74602928001929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24.601963854798328</v>
      </c>
      <c r="DG186" s="23">
        <f>EXP(-LN(2)/25)*DG185+(1-EXP(-LN(2)/25))/(LN(2)/25)*Calculateur!DB186*Calculateur!DD186*VLOOKUP('Données projet'!$B$13,Paramètres!$A$1:$I$89,3,0)*0.475*44/12</f>
        <v>2.2708012473932535</v>
      </c>
      <c r="DH186" s="23">
        <f>EXP(-LN(2)/2)*DH185+(1-EXP(-LN(2)/2))/(LN(2)/2)*DB186*DE186*VLOOKUP('Données projet'!$B$13,Paramètres!$A$1:$I$89,3,0)*0.475*44/12</f>
        <v>7.2167793520240678E-15</v>
      </c>
      <c r="DI186" s="24">
        <f t="shared" si="175"/>
        <v>26.87276510219159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70">
        <f t="shared" si="110"/>
        <v>256.66666666666669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-1.8474111129762605E-13</v>
      </c>
      <c r="O187" s="14">
        <f>N187*VLOOKUP('Données projet'!$B$9,Paramètres!$A$1:$I$89,3,0)*VLOOKUP('Données projet'!$B$9,Paramètres!$A$1:$I$89,5,0)</f>
        <v>-1.6715375750209204E-13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441.6145113257511</v>
      </c>
      <c r="T187" s="62">
        <f t="shared" si="142"/>
        <v>295.8399381972477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94.404485310610383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94.404485310610383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-4.5474735088646412E-13</v>
      </c>
      <c r="AJ187" s="14">
        <f>AI187*VLOOKUP('Données projet'!$B$10,Paramètres!$A$1:$I$89,3,0)*VLOOKUP('Données projet'!$B$10,Paramètres!$A$1:$I$89,5,0)</f>
        <v>-3.9017322706058626E-13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623.31285537237943</v>
      </c>
      <c r="AO187" s="62">
        <f t="shared" si="144"/>
        <v>462.33909258902241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53.305104495981709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53.305104495981709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-1.7053025658242404E-13</v>
      </c>
      <c r="BE187" s="14">
        <f>BD187*VLOOKUP('Données projet'!$B$11,Paramètres!$A$1:$I$89,3,0)*VLOOKUP('Données projet'!$B$11,Paramètres!$A$1:$I$89,5,0)</f>
        <v>-1.3567387213697657E-13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299.10536994156814</v>
      </c>
      <c r="BJ187" s="62">
        <f t="shared" si="146"/>
        <v>292.57799203101769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15.473569606924748</v>
      </c>
      <c r="BQ187" s="23">
        <f>EXP(-LN(2)/25)*BQ186+(1-EXP(-LN(2)/25))/(LN(2)/25)*Calculateur!BL187*Calculateur!BN187*VLOOKUP('Données projet'!$B$11,Paramètres!$A$1:$I$89,3,0)*0.475*44/12</f>
        <v>0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15.473569606924748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2.8421709430404007E-14</v>
      </c>
      <c r="BZ187" s="14">
        <f>BY187*VLOOKUP('Données projet'!$B$12,Paramètres!$A$1:$I$89,3,0)*VLOOKUP('Données projet'!$B$12,Paramètres!$A$1:$I$89,5,0)</f>
        <v>2.2168933355715127E-14</v>
      </c>
      <c r="CA187" s="14">
        <f t="shared" si="170"/>
        <v>3.9687356123668477E-13</v>
      </c>
      <c r="CB187" s="22">
        <f t="shared" si="171"/>
        <v>7.2983234474842979E-13</v>
      </c>
      <c r="CC187" s="62">
        <f t="shared" si="119"/>
        <v>293.33333333333405</v>
      </c>
      <c r="CD187" s="62">
        <f ca="1">AVERAGE(OFFSET($CC$3,0,0,'Données projet'!$E$12+1,1))-AVERAGE(OFFSET($H$3,0,0,'Données projet'!$E$12+1,1))</f>
        <v>197.51529454208725</v>
      </c>
      <c r="CE187" s="62">
        <f t="shared" si="148"/>
        <v>196.65362486387215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8.1971077949209281</v>
      </c>
      <c r="CL187" s="23">
        <f>EXP(-LN(2)/25)*CL186+(1-EXP(-LN(2)/25))/(LN(2)/25)*Calculateur!CG187*Calculateur!CI187*VLOOKUP('Données projet'!$B$12,Paramètres!$A$1:$I$89,3,0)*0.475*44/12</f>
        <v>0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8.1971077949209281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-5.6843418860808015E-14</v>
      </c>
      <c r="CU187" s="18">
        <f>CT187*VLOOKUP('Données projet'!$B$13,Paramètres!$A$1:$I$89,3,0)*VLOOKUP('Données projet'!$B$13,Paramètres!$A$1:$I$89,5,0)</f>
        <v>-3.1036506698001178E-14</v>
      </c>
      <c r="CV187" s="14" t="e">
        <f t="shared" si="173"/>
        <v>#NUM!</v>
      </c>
      <c r="CW187" s="22" t="e">
        <f t="shared" si="174"/>
        <v>#NUM!</v>
      </c>
      <c r="CX187" s="62" t="e">
        <f t="shared" si="122"/>
        <v>#NUM!</v>
      </c>
      <c r="CY187" s="62">
        <f ca="1">AVERAGE(OFFSET($CX$3,0,0,'Données projet'!$E$13+1,1))-AVERAGE(OFFSET($H$3,0,0,'Données projet'!$E$13+1,1))</f>
        <v>303.14853302260451</v>
      </c>
      <c r="CZ187" s="62">
        <f t="shared" si="150"/>
        <v>298.74602928001929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24.119534349321992</v>
      </c>
      <c r="DG187" s="23">
        <f>EXP(-LN(2)/25)*DG186+(1-EXP(-LN(2)/25))/(LN(2)/25)*Calculateur!DB187*Calculateur!DD187*VLOOKUP('Données projet'!$B$13,Paramètres!$A$1:$I$89,3,0)*0.475*44/12</f>
        <v>2.2087060678670372</v>
      </c>
      <c r="DH187" s="23">
        <f>EXP(-LN(2)/2)*DH186+(1-EXP(-LN(2)/2))/(LN(2)/2)*DB187*DE187*VLOOKUP('Données projet'!$B$13,Paramètres!$A$1:$I$89,3,0)*0.475*44/12</f>
        <v>5.1030336181432768E-15</v>
      </c>
      <c r="DI187" s="24">
        <f t="shared" si="175"/>
        <v>26.328240417189033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70">
        <f t="shared" si="110"/>
        <v>256.66666666666669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-1.8474111129762605E-13</v>
      </c>
      <c r="O188" s="14">
        <f>N188*VLOOKUP('Données projet'!$B$9,Paramètres!$A$1:$I$89,3,0)*VLOOKUP('Données projet'!$B$9,Paramètres!$A$1:$I$89,5,0)</f>
        <v>-1.6715375750209204E-13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441.6145113257511</v>
      </c>
      <c r="T188" s="62">
        <f t="shared" si="142"/>
        <v>295.8399381972477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92.553270934719691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92.553270934719691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-4.5474735088646412E-13</v>
      </c>
      <c r="AJ188" s="14">
        <f>AI188*VLOOKUP('Données projet'!$B$10,Paramètres!$A$1:$I$89,3,0)*VLOOKUP('Données projet'!$B$10,Paramètres!$A$1:$I$89,5,0)</f>
        <v>-3.9017322706058626E-13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623.31285537237943</v>
      </c>
      <c r="AO188" s="62">
        <f t="shared" si="144"/>
        <v>462.33909258902241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52.259823909718868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52.259823909718868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-1.7053025658242404E-13</v>
      </c>
      <c r="BE188" s="14">
        <f>BD188*VLOOKUP('Données projet'!$B$11,Paramètres!$A$1:$I$89,3,0)*VLOOKUP('Données projet'!$B$11,Paramètres!$A$1:$I$89,5,0)</f>
        <v>-1.3567387213697657E-13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299.10536994156814</v>
      </c>
      <c r="BJ188" s="62">
        <f t="shared" si="146"/>
        <v>292.57799203101769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15.170142344878494</v>
      </c>
      <c r="BQ188" s="23">
        <f>EXP(-LN(2)/25)*BQ187+(1-EXP(-LN(2)/25))/(LN(2)/25)*Calculateur!BL188*Calculateur!BN188*VLOOKUP('Données projet'!$B$11,Paramètres!$A$1:$I$89,3,0)*0.475*44/12</f>
        <v>0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15.170142344878494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2.8421709430404007E-14</v>
      </c>
      <c r="BZ188" s="14">
        <f>BY188*VLOOKUP('Données projet'!$B$12,Paramètres!$A$1:$I$89,3,0)*VLOOKUP('Données projet'!$B$12,Paramètres!$A$1:$I$89,5,0)</f>
        <v>2.2168933355715127E-14</v>
      </c>
      <c r="CA188" s="14">
        <f t="shared" si="170"/>
        <v>3.9687356123668477E-13</v>
      </c>
      <c r="CB188" s="22">
        <f t="shared" si="171"/>
        <v>7.2983234474842979E-13</v>
      </c>
      <c r="CC188" s="62">
        <f t="shared" si="119"/>
        <v>293.33333333333405</v>
      </c>
      <c r="CD188" s="62">
        <f ca="1">AVERAGE(OFFSET($CC$3,0,0,'Données projet'!$E$12+1,1))-AVERAGE(OFFSET($H$3,0,0,'Données projet'!$E$12+1,1))</f>
        <v>197.51529454208725</v>
      </c>
      <c r="CE188" s="62">
        <f t="shared" si="148"/>
        <v>196.65362486387215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8.0363675108046007</v>
      </c>
      <c r="CL188" s="23">
        <f>EXP(-LN(2)/25)*CL187+(1-EXP(-LN(2)/25))/(LN(2)/25)*Calculateur!CG188*Calculateur!CI188*VLOOKUP('Données projet'!$B$12,Paramètres!$A$1:$I$89,3,0)*0.475*44/12</f>
        <v>0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8.0363675108046007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-5.6843418860808015E-14</v>
      </c>
      <c r="CU188" s="18">
        <f>CT188*VLOOKUP('Données projet'!$B$13,Paramètres!$A$1:$I$89,3,0)*VLOOKUP('Données projet'!$B$13,Paramètres!$A$1:$I$89,5,0)</f>
        <v>-3.1036506698001178E-14</v>
      </c>
      <c r="CV188" s="14" t="e">
        <f t="shared" si="173"/>
        <v>#NUM!</v>
      </c>
      <c r="CW188" s="22" t="e">
        <f t="shared" si="174"/>
        <v>#NUM!</v>
      </c>
      <c r="CX188" s="62" t="e">
        <f t="shared" si="122"/>
        <v>#NUM!</v>
      </c>
      <c r="CY188" s="62">
        <f ca="1">AVERAGE(OFFSET($CX$3,0,0,'Données projet'!$E$13+1,1))-AVERAGE(OFFSET($H$3,0,0,'Données projet'!$E$13+1,1))</f>
        <v>303.14853302260451</v>
      </c>
      <c r="CZ188" s="62">
        <f t="shared" si="150"/>
        <v>298.74602928001929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23.646564992195103</v>
      </c>
      <c r="DG188" s="23">
        <f>EXP(-LN(2)/25)*DG187+(1-EXP(-LN(2)/25))/(LN(2)/25)*Calculateur!DB188*Calculateur!DD188*VLOOKUP('Données projet'!$B$13,Paramètres!$A$1:$I$89,3,0)*0.475*44/12</f>
        <v>2.148308884290409</v>
      </c>
      <c r="DH188" s="23">
        <f>EXP(-LN(2)/2)*DH187+(1-EXP(-LN(2)/2))/(LN(2)/2)*DB188*DE188*VLOOKUP('Données projet'!$B$13,Paramètres!$A$1:$I$89,3,0)*0.475*44/12</f>
        <v>3.6083896760120339E-15</v>
      </c>
      <c r="DI188" s="24">
        <f t="shared" si="175"/>
        <v>25.794873876485514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70">
        <f t="shared" si="110"/>
        <v>256.66666666666669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-1.8474111129762605E-13</v>
      </c>
      <c r="O189" s="14">
        <f>N189*VLOOKUP('Données projet'!$B$9,Paramètres!$A$1:$I$89,3,0)*VLOOKUP('Données projet'!$B$9,Paramètres!$A$1:$I$89,5,0)</f>
        <v>-1.6715375750209204E-13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441.6145113257511</v>
      </c>
      <c r="T189" s="62">
        <f t="shared" si="142"/>
        <v>295.8399381972477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90.738357743610948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90.738357743610948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-4.5474735088646412E-13</v>
      </c>
      <c r="AJ189" s="14">
        <f>AI189*VLOOKUP('Données projet'!$B$10,Paramètres!$A$1:$I$89,3,0)*VLOOKUP('Données projet'!$B$10,Paramètres!$A$1:$I$89,5,0)</f>
        <v>-3.9017322706058626E-13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623.31285537237943</v>
      </c>
      <c r="AO189" s="62">
        <f t="shared" si="144"/>
        <v>462.33909258902241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51.235040638194434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51.235040638194434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-1.7053025658242404E-13</v>
      </c>
      <c r="BE189" s="14">
        <f>BD189*VLOOKUP('Données projet'!$B$11,Paramètres!$A$1:$I$89,3,0)*VLOOKUP('Données projet'!$B$11,Paramètres!$A$1:$I$89,5,0)</f>
        <v>-1.3567387213697657E-13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299.10536994156814</v>
      </c>
      <c r="BJ189" s="62">
        <f t="shared" si="146"/>
        <v>292.57799203101769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14.872665106368611</v>
      </c>
      <c r="BQ189" s="23">
        <f>EXP(-LN(2)/25)*BQ188+(1-EXP(-LN(2)/25))/(LN(2)/25)*Calculateur!BL189*Calculateur!BN189*VLOOKUP('Données projet'!$B$11,Paramètres!$A$1:$I$89,3,0)*0.475*44/12</f>
        <v>0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14.872665106368611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2.8421709430404007E-14</v>
      </c>
      <c r="BZ189" s="14">
        <f>BY189*VLOOKUP('Données projet'!$B$12,Paramètres!$A$1:$I$89,3,0)*VLOOKUP('Données projet'!$B$12,Paramètres!$A$1:$I$89,5,0)</f>
        <v>2.2168933355715127E-14</v>
      </c>
      <c r="CA189" s="14">
        <f t="shared" si="170"/>
        <v>3.9687356123668477E-13</v>
      </c>
      <c r="CB189" s="22">
        <f t="shared" si="171"/>
        <v>7.2983234474842979E-13</v>
      </c>
      <c r="CC189" s="62">
        <f t="shared" si="119"/>
        <v>293.33333333333405</v>
      </c>
      <c r="CD189" s="62">
        <f ca="1">AVERAGE(OFFSET($CC$3,0,0,'Données projet'!$E$12+1,1))-AVERAGE(OFFSET($H$3,0,0,'Données projet'!$E$12+1,1))</f>
        <v>197.51529454208725</v>
      </c>
      <c r="CE189" s="62">
        <f t="shared" si="148"/>
        <v>196.65362486387215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7.8787792456179018</v>
      </c>
      <c r="CL189" s="23">
        <f>EXP(-LN(2)/25)*CL188+(1-EXP(-LN(2)/25))/(LN(2)/25)*Calculateur!CG189*Calculateur!CI189*VLOOKUP('Données projet'!$B$12,Paramètres!$A$1:$I$89,3,0)*0.475*44/12</f>
        <v>0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7.8787792456179018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-5.6843418860808015E-14</v>
      </c>
      <c r="CU189" s="18">
        <f>CT189*VLOOKUP('Données projet'!$B$13,Paramètres!$A$1:$I$89,3,0)*VLOOKUP('Données projet'!$B$13,Paramètres!$A$1:$I$89,5,0)</f>
        <v>-3.1036506698001178E-14</v>
      </c>
      <c r="CV189" s="14" t="e">
        <f t="shared" si="173"/>
        <v>#NUM!</v>
      </c>
      <c r="CW189" s="22" t="e">
        <f t="shared" si="174"/>
        <v>#NUM!</v>
      </c>
      <c r="CX189" s="62" t="e">
        <f t="shared" si="122"/>
        <v>#NUM!</v>
      </c>
      <c r="CY189" s="62">
        <f ca="1">AVERAGE(OFFSET($CX$3,0,0,'Données projet'!$E$13+1,1))-AVERAGE(OFFSET($H$3,0,0,'Données projet'!$E$13+1,1))</f>
        <v>303.14853302260451</v>
      </c>
      <c r="CZ189" s="62">
        <f t="shared" si="150"/>
        <v>298.74602928001929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23.182870275678653</v>
      </c>
      <c r="DG189" s="23">
        <f>EXP(-LN(2)/25)*DG188+(1-EXP(-LN(2)/25))/(LN(2)/25)*Calculateur!DB189*Calculateur!DD189*VLOOKUP('Données projet'!$B$13,Paramètres!$A$1:$I$89,3,0)*0.475*44/12</f>
        <v>2.0895632648748337</v>
      </c>
      <c r="DH189" s="23">
        <f>EXP(-LN(2)/2)*DH188+(1-EXP(-LN(2)/2))/(LN(2)/2)*DB189*DE189*VLOOKUP('Données projet'!$B$13,Paramètres!$A$1:$I$89,3,0)*0.475*44/12</f>
        <v>2.5515168090716384E-15</v>
      </c>
      <c r="DI189" s="24">
        <f t="shared" si="175"/>
        <v>25.272433540553489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70">
        <f t="shared" si="110"/>
        <v>256.66666666666669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-1.8474111129762605E-13</v>
      </c>
      <c r="O190" s="14">
        <f>N190*VLOOKUP('Données projet'!$B$9,Paramètres!$A$1:$I$89,3,0)*VLOOKUP('Données projet'!$B$9,Paramètres!$A$1:$I$89,5,0)</f>
        <v>-1.6715375750209204E-13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441.6145113257511</v>
      </c>
      <c r="T190" s="62">
        <f t="shared" si="142"/>
        <v>295.8399381972477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88.9590338931921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88.9590338931921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-4.5474735088646412E-13</v>
      </c>
      <c r="AJ190" s="14">
        <f>AI190*VLOOKUP('Données projet'!$B$10,Paramètres!$A$1:$I$89,3,0)*VLOOKUP('Données projet'!$B$10,Paramètres!$A$1:$I$89,5,0)</f>
        <v>-3.9017322706058626E-13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623.31285537237943</v>
      </c>
      <c r="AO190" s="62">
        <f t="shared" si="144"/>
        <v>462.33909258902241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50.230352741568524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50.230352741568524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-1.7053025658242404E-13</v>
      </c>
      <c r="BE190" s="14">
        <f>BD190*VLOOKUP('Données projet'!$B$11,Paramètres!$A$1:$I$89,3,0)*VLOOKUP('Données projet'!$B$11,Paramètres!$A$1:$I$89,5,0)</f>
        <v>-1.3567387213697657E-13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299.10536994156814</v>
      </c>
      <c r="BJ190" s="62">
        <f t="shared" si="146"/>
        <v>292.57799203101769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14.581021215062709</v>
      </c>
      <c r="BQ190" s="23">
        <f>EXP(-LN(2)/25)*BQ189+(1-EXP(-LN(2)/25))/(LN(2)/25)*Calculateur!BL190*Calculateur!BN190*VLOOKUP('Données projet'!$B$11,Paramètres!$A$1:$I$89,3,0)*0.475*44/12</f>
        <v>0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14.581021215062709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2.8421709430404007E-14</v>
      </c>
      <c r="BZ190" s="14">
        <f>BY190*VLOOKUP('Données projet'!$B$12,Paramètres!$A$1:$I$89,3,0)*VLOOKUP('Données projet'!$B$12,Paramètres!$A$1:$I$89,5,0)</f>
        <v>2.2168933355715127E-14</v>
      </c>
      <c r="CA190" s="14">
        <f t="shared" si="170"/>
        <v>3.9687356123668477E-13</v>
      </c>
      <c r="CB190" s="22">
        <f t="shared" si="171"/>
        <v>7.2983234474842979E-13</v>
      </c>
      <c r="CC190" s="62">
        <f t="shared" si="119"/>
        <v>293.33333333333405</v>
      </c>
      <c r="CD190" s="62">
        <f ca="1">AVERAGE(OFFSET($CC$3,0,0,'Données projet'!$E$12+1,1))-AVERAGE(OFFSET($H$3,0,0,'Données projet'!$E$12+1,1))</f>
        <v>197.51529454208725</v>
      </c>
      <c r="CE190" s="62">
        <f t="shared" si="148"/>
        <v>196.65362486387215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7.7242811901921629</v>
      </c>
      <c r="CL190" s="23">
        <f>EXP(-LN(2)/25)*CL189+(1-EXP(-LN(2)/25))/(LN(2)/25)*Calculateur!CG190*Calculateur!CI190*VLOOKUP('Données projet'!$B$12,Paramètres!$A$1:$I$89,3,0)*0.475*44/12</f>
        <v>0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7.7242811901921629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-5.6843418860808015E-14</v>
      </c>
      <c r="CU190" s="18">
        <f>CT190*VLOOKUP('Données projet'!$B$13,Paramètres!$A$1:$I$89,3,0)*VLOOKUP('Données projet'!$B$13,Paramètres!$A$1:$I$89,5,0)</f>
        <v>-3.1036506698001178E-14</v>
      </c>
      <c r="CV190" s="14" t="e">
        <f t="shared" si="173"/>
        <v>#NUM!</v>
      </c>
      <c r="CW190" s="22" t="e">
        <f t="shared" si="174"/>
        <v>#NUM!</v>
      </c>
      <c r="CX190" s="62" t="e">
        <f t="shared" si="122"/>
        <v>#NUM!</v>
      </c>
      <c r="CY190" s="62">
        <f ca="1">AVERAGE(OFFSET($CX$3,0,0,'Données projet'!$E$13+1,1))-AVERAGE(OFFSET($H$3,0,0,'Données projet'!$E$13+1,1))</f>
        <v>303.14853302260451</v>
      </c>
      <c r="CZ190" s="62">
        <f t="shared" si="150"/>
        <v>298.74602928001929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22.728268329727239</v>
      </c>
      <c r="DG190" s="23">
        <f>EXP(-LN(2)/25)*DG189+(1-EXP(-LN(2)/25))/(LN(2)/25)*Calculateur!DB190*Calculateur!DD190*VLOOKUP('Données projet'!$B$13,Paramètres!$A$1:$I$89,3,0)*0.475*44/12</f>
        <v>2.032424047511475</v>
      </c>
      <c r="DH190" s="23">
        <f>EXP(-LN(2)/2)*DH189+(1-EXP(-LN(2)/2))/(LN(2)/2)*DB190*DE190*VLOOKUP('Données projet'!$B$13,Paramètres!$A$1:$I$89,3,0)*0.475*44/12</f>
        <v>1.804194838006017E-15</v>
      </c>
      <c r="DI190" s="24">
        <f t="shared" si="175"/>
        <v>24.760692377238719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70">
        <f t="shared" si="110"/>
        <v>256.66666666666669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-1.8474111129762605E-13</v>
      </c>
      <c r="O191" s="14">
        <f>N191*VLOOKUP('Données projet'!$B$9,Paramètres!$A$1:$I$89,3,0)*VLOOKUP('Données projet'!$B$9,Paramètres!$A$1:$I$89,5,0)</f>
        <v>-1.6715375750209204E-13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441.6145113257511</v>
      </c>
      <c r="T191" s="62">
        <f t="shared" si="142"/>
        <v>295.8399381972477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87.214601498199585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87.214601498199585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-4.5474735088646412E-13</v>
      </c>
      <c r="AJ191" s="14">
        <f>AI191*VLOOKUP('Données projet'!$B$10,Paramètres!$A$1:$I$89,3,0)*VLOOKUP('Données projet'!$B$10,Paramètres!$A$1:$I$89,5,0)</f>
        <v>-3.9017322706058626E-13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623.31285537237943</v>
      </c>
      <c r="AO191" s="62">
        <f t="shared" si="144"/>
        <v>462.33909258902241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49.245366161796333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49.245366161796333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-1.7053025658242404E-13</v>
      </c>
      <c r="BE191" s="14">
        <f>BD191*VLOOKUP('Données projet'!$B$11,Paramètres!$A$1:$I$89,3,0)*VLOOKUP('Données projet'!$B$11,Paramètres!$A$1:$I$89,5,0)</f>
        <v>-1.3567387213697657E-13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299.10536994156814</v>
      </c>
      <c r="BJ191" s="62">
        <f t="shared" si="146"/>
        <v>292.57799203101769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14.295096282580106</v>
      </c>
      <c r="BQ191" s="23">
        <f>EXP(-LN(2)/25)*BQ190+(1-EXP(-LN(2)/25))/(LN(2)/25)*Calculateur!BL191*Calculateur!BN191*VLOOKUP('Données projet'!$B$11,Paramètres!$A$1:$I$89,3,0)*0.475*44/12</f>
        <v>0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14.295096282580106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2.8421709430404007E-14</v>
      </c>
      <c r="BZ191" s="14">
        <f>BY191*VLOOKUP('Données projet'!$B$12,Paramètres!$A$1:$I$89,3,0)*VLOOKUP('Données projet'!$B$12,Paramètres!$A$1:$I$89,5,0)</f>
        <v>2.2168933355715127E-14</v>
      </c>
      <c r="CA191" s="14">
        <f t="shared" si="170"/>
        <v>3.9687356123668477E-13</v>
      </c>
      <c r="CB191" s="22">
        <f t="shared" si="171"/>
        <v>7.2983234474842979E-13</v>
      </c>
      <c r="CC191" s="62">
        <f t="shared" si="119"/>
        <v>293.33333333333405</v>
      </c>
      <c r="CD191" s="62">
        <f ca="1">AVERAGE(OFFSET($CC$3,0,0,'Données projet'!$E$12+1,1))-AVERAGE(OFFSET($H$3,0,0,'Données projet'!$E$12+1,1))</f>
        <v>197.51529454208725</v>
      </c>
      <c r="CE191" s="62">
        <f t="shared" si="148"/>
        <v>196.65362486387215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7.5728127473988138</v>
      </c>
      <c r="CL191" s="23">
        <f>EXP(-LN(2)/25)*CL190+(1-EXP(-LN(2)/25))/(LN(2)/25)*Calculateur!CG191*Calculateur!CI191*VLOOKUP('Données projet'!$B$12,Paramètres!$A$1:$I$89,3,0)*0.475*44/12</f>
        <v>0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7.5728127473988138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-5.6843418860808015E-14</v>
      </c>
      <c r="CU191" s="18">
        <f>CT191*VLOOKUP('Données projet'!$B$13,Paramètres!$A$1:$I$89,3,0)*VLOOKUP('Données projet'!$B$13,Paramètres!$A$1:$I$89,5,0)</f>
        <v>-3.1036506698001178E-14</v>
      </c>
      <c r="CV191" s="14" t="e">
        <f t="shared" si="173"/>
        <v>#NUM!</v>
      </c>
      <c r="CW191" s="22" t="e">
        <f t="shared" si="174"/>
        <v>#NUM!</v>
      </c>
      <c r="CX191" s="62" t="e">
        <f t="shared" si="122"/>
        <v>#NUM!</v>
      </c>
      <c r="CY191" s="62">
        <f ca="1">AVERAGE(OFFSET($CX$3,0,0,'Données projet'!$E$13+1,1))-AVERAGE(OFFSET($H$3,0,0,'Données projet'!$E$13+1,1))</f>
        <v>303.14853302260451</v>
      </c>
      <c r="CZ191" s="62">
        <f t="shared" si="150"/>
        <v>298.74602928001929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22.282580850656124</v>
      </c>
      <c r="DG191" s="23">
        <f>EXP(-LN(2)/25)*DG190+(1-EXP(-LN(2)/25))/(LN(2)/25)*Calculateur!DB191*Calculateur!DD191*VLOOKUP('Données projet'!$B$13,Paramètres!$A$1:$I$89,3,0)*0.475*44/12</f>
        <v>1.9768473050517381</v>
      </c>
      <c r="DH191" s="23">
        <f>EXP(-LN(2)/2)*DH190+(1-EXP(-LN(2)/2))/(LN(2)/2)*DB191*DE191*VLOOKUP('Données projet'!$B$13,Paramètres!$A$1:$I$89,3,0)*0.475*44/12</f>
        <v>1.2757584045358192E-15</v>
      </c>
      <c r="DI191" s="24">
        <f t="shared" si="175"/>
        <v>24.259428155707862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70">
        <f t="shared" si="110"/>
        <v>256.66666666666669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-1.8474111129762605E-13</v>
      </c>
      <c r="O192" s="14">
        <f>N192*VLOOKUP('Données projet'!$B$9,Paramètres!$A$1:$I$89,3,0)*VLOOKUP('Données projet'!$B$9,Paramètres!$A$1:$I$89,5,0)</f>
        <v>-1.6715375750209204E-13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441.6145113257511</v>
      </c>
      <c r="T192" s="62">
        <f t="shared" si="142"/>
        <v>295.8399381972477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85.504376358474175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85.504376358474175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-4.5474735088646412E-13</v>
      </c>
      <c r="AJ192" s="14">
        <f>AI192*VLOOKUP('Données projet'!$B$10,Paramètres!$A$1:$I$89,3,0)*VLOOKUP('Données projet'!$B$10,Paramètres!$A$1:$I$89,5,0)</f>
        <v>-3.9017322706058626E-13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623.31285537237943</v>
      </c>
      <c r="AO192" s="62">
        <f t="shared" si="144"/>
        <v>462.33909258902241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48.279694568070987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48.279694568070987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-1.7053025658242404E-13</v>
      </c>
      <c r="BE192" s="14">
        <f>BD192*VLOOKUP('Données projet'!$B$11,Paramètres!$A$1:$I$89,3,0)*VLOOKUP('Données projet'!$B$11,Paramètres!$A$1:$I$89,5,0)</f>
        <v>-1.3567387213697657E-13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299.10536994156814</v>
      </c>
      <c r="BJ192" s="62">
        <f t="shared" si="146"/>
        <v>292.57799203101769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14.014778163626499</v>
      </c>
      <c r="BQ192" s="23">
        <f>EXP(-LN(2)/25)*BQ191+(1-EXP(-LN(2)/25))/(LN(2)/25)*Calculateur!BL192*Calculateur!BN192*VLOOKUP('Données projet'!$B$11,Paramètres!$A$1:$I$89,3,0)*0.475*44/12</f>
        <v>0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14.014778163626499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2.8421709430404007E-14</v>
      </c>
      <c r="BZ192" s="14">
        <f>BY192*VLOOKUP('Données projet'!$B$12,Paramètres!$A$1:$I$89,3,0)*VLOOKUP('Données projet'!$B$12,Paramètres!$A$1:$I$89,5,0)</f>
        <v>2.2168933355715127E-14</v>
      </c>
      <c r="CA192" s="14">
        <f t="shared" si="170"/>
        <v>3.9687356123668477E-13</v>
      </c>
      <c r="CB192" s="22">
        <f t="shared" si="171"/>
        <v>7.2983234474842979E-13</v>
      </c>
      <c r="CC192" s="62">
        <f t="shared" si="119"/>
        <v>293.33333333333405</v>
      </c>
      <c r="CD192" s="62">
        <f ca="1">AVERAGE(OFFSET($CC$3,0,0,'Données projet'!$E$12+1,1))-AVERAGE(OFFSET($H$3,0,0,'Données projet'!$E$12+1,1))</f>
        <v>197.51529454208725</v>
      </c>
      <c r="CE192" s="62">
        <f t="shared" si="148"/>
        <v>196.65362486387215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7.4243145083820146</v>
      </c>
      <c r="CL192" s="23">
        <f>EXP(-LN(2)/25)*CL191+(1-EXP(-LN(2)/25))/(LN(2)/25)*Calculateur!CG192*Calculateur!CI192*VLOOKUP('Données projet'!$B$12,Paramètres!$A$1:$I$89,3,0)*0.475*44/12</f>
        <v>0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7.4243145083820146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-5.6843418860808015E-14</v>
      </c>
      <c r="CU192" s="18">
        <f>CT192*VLOOKUP('Données projet'!$B$13,Paramètres!$A$1:$I$89,3,0)*VLOOKUP('Données projet'!$B$13,Paramètres!$A$1:$I$89,5,0)</f>
        <v>-3.1036506698001178E-14</v>
      </c>
      <c r="CV192" s="14" t="e">
        <f t="shared" si="173"/>
        <v>#NUM!</v>
      </c>
      <c r="CW192" s="22" t="e">
        <f t="shared" si="174"/>
        <v>#NUM!</v>
      </c>
      <c r="CX192" s="62" t="e">
        <f t="shared" si="122"/>
        <v>#NUM!</v>
      </c>
      <c r="CY192" s="62">
        <f ca="1">AVERAGE(OFFSET($CX$3,0,0,'Données projet'!$E$13+1,1))-AVERAGE(OFFSET($H$3,0,0,'Données projet'!$E$13+1,1))</f>
        <v>303.14853302260451</v>
      </c>
      <c r="CZ192" s="62">
        <f t="shared" si="150"/>
        <v>298.74602928001929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21.845633031207075</v>
      </c>
      <c r="DG192" s="23">
        <f>EXP(-LN(2)/25)*DG191+(1-EXP(-LN(2)/25))/(LN(2)/25)*Calculateur!DB192*Calculateur!DD192*VLOOKUP('Données projet'!$B$13,Paramètres!$A$1:$I$89,3,0)*0.475*44/12</f>
        <v>1.9227903115372167</v>
      </c>
      <c r="DH192" s="23">
        <f>EXP(-LN(2)/2)*DH191+(1-EXP(-LN(2)/2))/(LN(2)/2)*DB192*DE192*VLOOKUP('Données projet'!$B$13,Paramètres!$A$1:$I$89,3,0)*0.475*44/12</f>
        <v>9.0209741900300848E-16</v>
      </c>
      <c r="DI192" s="24">
        <f t="shared" si="175"/>
        <v>23.768423342744292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70">
        <f t="shared" si="110"/>
        <v>256.66666666666669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-1.8474111129762605E-13</v>
      </c>
      <c r="O193" s="14">
        <f>N193*VLOOKUP('Données projet'!$B$9,Paramètres!$A$1:$I$89,3,0)*VLOOKUP('Données projet'!$B$9,Paramètres!$A$1:$I$89,5,0)</f>
        <v>-1.6715375750209204E-13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441.6145113257511</v>
      </c>
      <c r="T193" s="62">
        <f t="shared" si="142"/>
        <v>295.8399381972477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83.827687690604435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83.827687690604435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-4.5474735088646412E-13</v>
      </c>
      <c r="AJ193" s="14">
        <f>AI193*VLOOKUP('Données projet'!$B$10,Paramètres!$A$1:$I$89,3,0)*VLOOKUP('Données projet'!$B$10,Paramètres!$A$1:$I$89,5,0)</f>
        <v>-3.9017322706058626E-13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623.31285537237943</v>
      </c>
      <c r="AO193" s="62">
        <f t="shared" si="144"/>
        <v>462.33909258902241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47.33295920529708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47.33295920529708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-1.7053025658242404E-13</v>
      </c>
      <c r="BE193" s="14">
        <f>BD193*VLOOKUP('Données projet'!$B$11,Paramètres!$A$1:$I$89,3,0)*VLOOKUP('Données projet'!$B$11,Paramètres!$A$1:$I$89,5,0)</f>
        <v>-1.3567387213697657E-13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299.10536994156814</v>
      </c>
      <c r="BJ193" s="62">
        <f t="shared" si="146"/>
        <v>292.57799203101769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13.739956912008401</v>
      </c>
      <c r="BQ193" s="23">
        <f>EXP(-LN(2)/25)*BQ192+(1-EXP(-LN(2)/25))/(LN(2)/25)*Calculateur!BL193*Calculateur!BN193*VLOOKUP('Données projet'!$B$11,Paramètres!$A$1:$I$89,3,0)*0.475*44/12</f>
        <v>0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13.739956912008401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2.8421709430404007E-14</v>
      </c>
      <c r="BZ193" s="14">
        <f>BY193*VLOOKUP('Données projet'!$B$12,Paramètres!$A$1:$I$89,3,0)*VLOOKUP('Données projet'!$B$12,Paramètres!$A$1:$I$89,5,0)</f>
        <v>2.2168933355715127E-14</v>
      </c>
      <c r="CA193" s="14">
        <f t="shared" si="170"/>
        <v>3.9687356123668477E-13</v>
      </c>
      <c r="CB193" s="22">
        <f t="shared" si="171"/>
        <v>7.2983234474842979E-13</v>
      </c>
      <c r="CC193" s="62">
        <f t="shared" si="119"/>
        <v>293.33333333333405</v>
      </c>
      <c r="CD193" s="62">
        <f ca="1">AVERAGE(OFFSET($CC$3,0,0,'Données projet'!$E$12+1,1))-AVERAGE(OFFSET($H$3,0,0,'Données projet'!$E$12+1,1))</f>
        <v>197.51529454208725</v>
      </c>
      <c r="CE193" s="62">
        <f t="shared" si="148"/>
        <v>196.65362486387215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7.2787282292573527</v>
      </c>
      <c r="CL193" s="23">
        <f>EXP(-LN(2)/25)*CL192+(1-EXP(-LN(2)/25))/(LN(2)/25)*Calculateur!CG193*Calculateur!CI193*VLOOKUP('Données projet'!$B$12,Paramètres!$A$1:$I$89,3,0)*0.475*44/12</f>
        <v>0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7.2787282292573527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-5.6843418860808015E-14</v>
      </c>
      <c r="CU193" s="18">
        <f>CT193*VLOOKUP('Données projet'!$B$13,Paramètres!$A$1:$I$89,3,0)*VLOOKUP('Données projet'!$B$13,Paramètres!$A$1:$I$89,5,0)</f>
        <v>-3.1036506698001178E-14</v>
      </c>
      <c r="CV193" s="14" t="e">
        <f t="shared" si="173"/>
        <v>#NUM!</v>
      </c>
      <c r="CW193" s="22" t="e">
        <f t="shared" si="174"/>
        <v>#NUM!</v>
      </c>
      <c r="CX193" s="62" t="e">
        <f t="shared" si="122"/>
        <v>#NUM!</v>
      </c>
      <c r="CY193" s="62">
        <f ca="1">AVERAGE(OFFSET($CX$3,0,0,'Données projet'!$E$13+1,1))-AVERAGE(OFFSET($H$3,0,0,'Données projet'!$E$13+1,1))</f>
        <v>303.14853302260451</v>
      </c>
      <c r="CZ193" s="62">
        <f t="shared" si="150"/>
        <v>298.74602928001929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21.417253491985566</v>
      </c>
      <c r="DG193" s="23">
        <f>EXP(-LN(2)/25)*DG192+(1-EXP(-LN(2)/25))/(LN(2)/25)*Calculateur!DB193*Calculateur!DD193*VLOOKUP('Données projet'!$B$13,Paramètres!$A$1:$I$89,3,0)*0.475*44/12</f>
        <v>1.8702115093530836</v>
      </c>
      <c r="DH193" s="23">
        <f>EXP(-LN(2)/2)*DH192+(1-EXP(-LN(2)/2))/(LN(2)/2)*DB193*DE193*VLOOKUP('Données projet'!$B$13,Paramètres!$A$1:$I$89,3,0)*0.475*44/12</f>
        <v>6.378792022679096E-16</v>
      </c>
      <c r="DI193" s="24">
        <f t="shared" si="175"/>
        <v>23.287465001338649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70">
        <f t="shared" si="110"/>
        <v>256.66666666666669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-1.8474111129762605E-13</v>
      </c>
      <c r="O194" s="14">
        <f>N194*VLOOKUP('Données projet'!$B$9,Paramètres!$A$1:$I$89,3,0)*VLOOKUP('Données projet'!$B$9,Paramètres!$A$1:$I$89,5,0)</f>
        <v>-1.6715375750209204E-13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441.6145113257511</v>
      </c>
      <c r="T194" s="62">
        <f t="shared" si="142"/>
        <v>295.8399381972477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82.183877864832525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82.183877864832525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-4.5474735088646412E-13</v>
      </c>
      <c r="AJ194" s="14">
        <f>AI194*VLOOKUP('Données projet'!$B$10,Paramètres!$A$1:$I$89,3,0)*VLOOKUP('Données projet'!$B$10,Paramètres!$A$1:$I$89,5,0)</f>
        <v>-3.9017322706058626E-13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623.31285537237943</v>
      </c>
      <c r="AO194" s="62">
        <f t="shared" si="144"/>
        <v>462.33909258902241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46.404788745535619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46.404788745535619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-1.7053025658242404E-13</v>
      </c>
      <c r="BE194" s="14">
        <f>BD194*VLOOKUP('Données projet'!$B$11,Paramètres!$A$1:$I$89,3,0)*VLOOKUP('Données projet'!$B$11,Paramètres!$A$1:$I$89,5,0)</f>
        <v>-1.3567387213697657E-13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299.10536994156814</v>
      </c>
      <c r="BJ194" s="62">
        <f t="shared" si="146"/>
        <v>292.57799203101769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13.470524737510122</v>
      </c>
      <c r="BQ194" s="23">
        <f>EXP(-LN(2)/25)*BQ193+(1-EXP(-LN(2)/25))/(LN(2)/25)*Calculateur!BL194*Calculateur!BN194*VLOOKUP('Données projet'!$B$11,Paramètres!$A$1:$I$89,3,0)*0.475*44/12</f>
        <v>0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13.470524737510122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2.8421709430404007E-14</v>
      </c>
      <c r="BZ194" s="14">
        <f>BY194*VLOOKUP('Données projet'!$B$12,Paramètres!$A$1:$I$89,3,0)*VLOOKUP('Données projet'!$B$12,Paramètres!$A$1:$I$89,5,0)</f>
        <v>2.2168933355715127E-14</v>
      </c>
      <c r="CA194" s="14">
        <f t="shared" si="170"/>
        <v>3.9687356123668477E-13</v>
      </c>
      <c r="CB194" s="22">
        <f t="shared" si="171"/>
        <v>7.2983234474842979E-13</v>
      </c>
      <c r="CC194" s="62">
        <f t="shared" si="119"/>
        <v>293.33333333333405</v>
      </c>
      <c r="CD194" s="62">
        <f ca="1">AVERAGE(OFFSET($CC$3,0,0,'Données projet'!$E$12+1,1))-AVERAGE(OFFSET($H$3,0,0,'Données projet'!$E$12+1,1))</f>
        <v>197.51529454208725</v>
      </c>
      <c r="CE194" s="62">
        <f t="shared" si="148"/>
        <v>196.65362486387215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7.1359968082674632</v>
      </c>
      <c r="CL194" s="23">
        <f>EXP(-LN(2)/25)*CL193+(1-EXP(-LN(2)/25))/(LN(2)/25)*Calculateur!CG194*Calculateur!CI194*VLOOKUP('Données projet'!$B$12,Paramètres!$A$1:$I$89,3,0)*0.475*44/12</f>
        <v>0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7.1359968082674632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-5.6843418860808015E-14</v>
      </c>
      <c r="CU194" s="18">
        <f>CT194*VLOOKUP('Données projet'!$B$13,Paramètres!$A$1:$I$89,3,0)*VLOOKUP('Données projet'!$B$13,Paramètres!$A$1:$I$89,5,0)</f>
        <v>-3.1036506698001178E-14</v>
      </c>
      <c r="CV194" s="14" t="e">
        <f t="shared" si="173"/>
        <v>#NUM!</v>
      </c>
      <c r="CW194" s="22" t="e">
        <f t="shared" si="174"/>
        <v>#NUM!</v>
      </c>
      <c r="CX194" s="62" t="e">
        <f t="shared" si="122"/>
        <v>#NUM!</v>
      </c>
      <c r="CY194" s="62">
        <f ca="1">AVERAGE(OFFSET($CX$3,0,0,'Données projet'!$E$13+1,1))-AVERAGE(OFFSET($H$3,0,0,'Données projet'!$E$13+1,1))</f>
        <v>303.14853302260451</v>
      </c>
      <c r="CZ194" s="62">
        <f t="shared" si="150"/>
        <v>298.74602928001929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20.99727421424247</v>
      </c>
      <c r="DG194" s="23">
        <f>EXP(-LN(2)/25)*DG193+(1-EXP(-LN(2)/25))/(LN(2)/25)*Calculateur!DB194*Calculateur!DD194*VLOOKUP('Données projet'!$B$13,Paramètres!$A$1:$I$89,3,0)*0.475*44/12</f>
        <v>1.8190704772796746</v>
      </c>
      <c r="DH194" s="23">
        <f>EXP(-LN(2)/2)*DH193+(1-EXP(-LN(2)/2))/(LN(2)/2)*DB194*DE194*VLOOKUP('Données projet'!$B$13,Paramètres!$A$1:$I$89,3,0)*0.475*44/12</f>
        <v>4.5104870950150424E-16</v>
      </c>
      <c r="DI194" s="24">
        <f t="shared" si="175"/>
        <v>22.816344691522144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70">
        <f t="shared" si="110"/>
        <v>256.66666666666669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-1.8474111129762605E-13</v>
      </c>
      <c r="O195" s="14">
        <f>N195*VLOOKUP('Données projet'!$B$9,Paramètres!$A$1:$I$89,3,0)*VLOOKUP('Données projet'!$B$9,Paramètres!$A$1:$I$89,5,0)</f>
        <v>-1.6715375750209204E-13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441.6145113257511</v>
      </c>
      <c r="T195" s="62">
        <f t="shared" si="142"/>
        <v>295.8399381972477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80.572302147119004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80.572302147119004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-4.5474735088646412E-13</v>
      </c>
      <c r="AJ195" s="14">
        <f>AI195*VLOOKUP('Données projet'!$B$10,Paramètres!$A$1:$I$89,3,0)*VLOOKUP('Données projet'!$B$10,Paramètres!$A$1:$I$89,5,0)</f>
        <v>-3.9017322706058626E-13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623.31285537237943</v>
      </c>
      <c r="AO195" s="62">
        <f t="shared" si="144"/>
        <v>462.33909258902241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45.494819142361997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45.494819142361997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-1.7053025658242404E-13</v>
      </c>
      <c r="BE195" s="14">
        <f>BD195*VLOOKUP('Données projet'!$B$11,Paramètres!$A$1:$I$89,3,0)*VLOOKUP('Données projet'!$B$11,Paramètres!$A$1:$I$89,5,0)</f>
        <v>-1.3567387213697657E-13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299.10536994156814</v>
      </c>
      <c r="BJ195" s="62">
        <f t="shared" si="146"/>
        <v>292.57799203101769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13.206375963616354</v>
      </c>
      <c r="BQ195" s="23">
        <f>EXP(-LN(2)/25)*BQ194+(1-EXP(-LN(2)/25))/(LN(2)/25)*Calculateur!BL195*Calculateur!BN195*VLOOKUP('Données projet'!$B$11,Paramètres!$A$1:$I$89,3,0)*0.475*44/12</f>
        <v>0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13.206375963616354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2.8421709430404007E-14</v>
      </c>
      <c r="BZ195" s="14">
        <f>BY195*VLOOKUP('Données projet'!$B$12,Paramètres!$A$1:$I$89,3,0)*VLOOKUP('Données projet'!$B$12,Paramètres!$A$1:$I$89,5,0)</f>
        <v>2.2168933355715127E-14</v>
      </c>
      <c r="CA195" s="14">
        <f t="shared" si="170"/>
        <v>3.9687356123668477E-13</v>
      </c>
      <c r="CB195" s="22">
        <f t="shared" si="171"/>
        <v>7.2983234474842979E-13</v>
      </c>
      <c r="CC195" s="62">
        <f t="shared" si="119"/>
        <v>293.33333333333405</v>
      </c>
      <c r="CD195" s="62">
        <f ca="1">AVERAGE(OFFSET($CC$3,0,0,'Données projet'!$E$12+1,1))-AVERAGE(OFFSET($H$3,0,0,'Données projet'!$E$12+1,1))</f>
        <v>197.51529454208725</v>
      </c>
      <c r="CE195" s="62">
        <f t="shared" si="148"/>
        <v>196.65362486387215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6.9960642633856152</v>
      </c>
      <c r="CL195" s="23">
        <f>EXP(-LN(2)/25)*CL194+(1-EXP(-LN(2)/25))/(LN(2)/25)*Calculateur!CG195*Calculateur!CI195*VLOOKUP('Données projet'!$B$12,Paramètres!$A$1:$I$89,3,0)*0.475*44/12</f>
        <v>0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6.9960642633856152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-5.6843418860808015E-14</v>
      </c>
      <c r="CU195" s="18">
        <f>CT195*VLOOKUP('Données projet'!$B$13,Paramètres!$A$1:$I$89,3,0)*VLOOKUP('Données projet'!$B$13,Paramètres!$A$1:$I$89,5,0)</f>
        <v>-3.1036506698001178E-14</v>
      </c>
      <c r="CV195" s="14" t="e">
        <f t="shared" si="173"/>
        <v>#NUM!</v>
      </c>
      <c r="CW195" s="22" t="e">
        <f t="shared" si="174"/>
        <v>#NUM!</v>
      </c>
      <c r="CX195" s="62" t="e">
        <f t="shared" si="122"/>
        <v>#NUM!</v>
      </c>
      <c r="CY195" s="62">
        <f ca="1">AVERAGE(OFFSET($CX$3,0,0,'Données projet'!$E$13+1,1))-AVERAGE(OFFSET($H$3,0,0,'Données projet'!$E$13+1,1))</f>
        <v>303.14853302260451</v>
      </c>
      <c r="CZ195" s="62">
        <f t="shared" si="150"/>
        <v>298.74602928001929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20.585530473973851</v>
      </c>
      <c r="DG195" s="23">
        <f>EXP(-LN(2)/25)*DG194+(1-EXP(-LN(2)/25))/(LN(2)/25)*Calculateur!DB195*Calculateur!DD195*VLOOKUP('Données projet'!$B$13,Paramètres!$A$1:$I$89,3,0)*0.475*44/12</f>
        <v>1.7693278994177031</v>
      </c>
      <c r="DH195" s="23">
        <f>EXP(-LN(2)/2)*DH194+(1-EXP(-LN(2)/2))/(LN(2)/2)*DB195*DE195*VLOOKUP('Données projet'!$B$13,Paramètres!$A$1:$I$89,3,0)*0.475*44/12</f>
        <v>3.189396011339548E-16</v>
      </c>
      <c r="DI195" s="24">
        <f t="shared" si="175"/>
        <v>22.354858373391554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70">
        <f t="shared" ref="H196:H203" si="192">(B196+E196+F196)*44/12+(C196+D196)*0.475*44/12</f>
        <v>256.66666666666669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-1.8474111129762605E-13</v>
      </c>
      <c r="O196" s="14">
        <f>N196*VLOOKUP('Données projet'!$B$9,Paramètres!$A$1:$I$89,3,0)*VLOOKUP('Données projet'!$B$9,Paramètres!$A$1:$I$89,5,0)</f>
        <v>-1.6715375750209204E-13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441.6145113257511</v>
      </c>
      <c r="T196" s="62">
        <f t="shared" si="142"/>
        <v>295.8399381972477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78.992328446265716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78.992328446265716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-4.5474735088646412E-13</v>
      </c>
      <c r="AJ196" s="14">
        <f>AI196*VLOOKUP('Données projet'!$B$10,Paramètres!$A$1:$I$89,3,0)*VLOOKUP('Données projet'!$B$10,Paramètres!$A$1:$I$89,5,0)</f>
        <v>-3.9017322706058626E-13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623.31285537237943</v>
      </c>
      <c r="AO196" s="62">
        <f t="shared" si="144"/>
        <v>462.33909258902241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44.602693488079957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44.602693488079957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-1.7053025658242404E-13</v>
      </c>
      <c r="BE196" s="14">
        <f>BD196*VLOOKUP('Données projet'!$B$11,Paramètres!$A$1:$I$89,3,0)*VLOOKUP('Données projet'!$B$11,Paramètres!$A$1:$I$89,5,0)</f>
        <v>-1.3567387213697657E-13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299.10536994156814</v>
      </c>
      <c r="BJ196" s="62">
        <f t="shared" si="146"/>
        <v>292.57799203101769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12.9474069860638</v>
      </c>
      <c r="BQ196" s="23">
        <f>EXP(-LN(2)/25)*BQ195+(1-EXP(-LN(2)/25))/(LN(2)/25)*Calculateur!BL196*Calculateur!BN196*VLOOKUP('Données projet'!$B$11,Paramètres!$A$1:$I$89,3,0)*0.475*44/12</f>
        <v>0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12.9474069860638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2.8421709430404007E-14</v>
      </c>
      <c r="BZ196" s="14">
        <f>BY196*VLOOKUP('Données projet'!$B$12,Paramètres!$A$1:$I$89,3,0)*VLOOKUP('Données projet'!$B$12,Paramètres!$A$1:$I$89,5,0)</f>
        <v>2.2168933355715127E-14</v>
      </c>
      <c r="CA196" s="14">
        <f t="shared" si="170"/>
        <v>3.9687356123668477E-13</v>
      </c>
      <c r="CB196" s="22">
        <f t="shared" si="171"/>
        <v>7.2983234474842979E-13</v>
      </c>
      <c r="CC196" s="62">
        <f t="shared" ref="CC196:CC203" si="195">CB196+(BT196+BU196)*44/12</f>
        <v>293.33333333333405</v>
      </c>
      <c r="CD196" s="62">
        <f ca="1">AVERAGE(OFFSET($CC$3,0,0,'Données projet'!$E$12+1,1))-AVERAGE(OFFSET($H$3,0,0,'Données projet'!$E$12+1,1))</f>
        <v>197.51529454208725</v>
      </c>
      <c r="CE196" s="62">
        <f t="shared" si="148"/>
        <v>196.65362486387215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6.8588757103584754</v>
      </c>
      <c r="CL196" s="23">
        <f>EXP(-LN(2)/25)*CL195+(1-EXP(-LN(2)/25))/(LN(2)/25)*Calculateur!CG196*Calculateur!CI196*VLOOKUP('Données projet'!$B$12,Paramètres!$A$1:$I$89,3,0)*0.475*44/12</f>
        <v>0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6.8588757103584754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-5.6843418860808015E-14</v>
      </c>
      <c r="CU196" s="18">
        <f>CT196*VLOOKUP('Données projet'!$B$13,Paramètres!$A$1:$I$89,3,0)*VLOOKUP('Données projet'!$B$13,Paramètres!$A$1:$I$89,5,0)</f>
        <v>-3.1036506698001178E-14</v>
      </c>
      <c r="CV196" s="14" t="e">
        <f t="shared" si="173"/>
        <v>#NUM!</v>
      </c>
      <c r="CW196" s="22" t="e">
        <f t="shared" si="174"/>
        <v>#NUM!</v>
      </c>
      <c r="CX196" s="62" t="e">
        <f t="shared" ref="CX196:CX203" si="196">CW196+(CO196+CP196)*44/12</f>
        <v>#NUM!</v>
      </c>
      <c r="CY196" s="62">
        <f ca="1">AVERAGE(OFFSET($CX$3,0,0,'Données projet'!$E$13+1,1))-AVERAGE(OFFSET($H$3,0,0,'Données projet'!$E$13+1,1))</f>
        <v>303.14853302260451</v>
      </c>
      <c r="CZ196" s="62">
        <f t="shared" si="150"/>
        <v>298.74602928001929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20.181860777313016</v>
      </c>
      <c r="DG196" s="23">
        <f>EXP(-LN(2)/25)*DG195+(1-EXP(-LN(2)/25))/(LN(2)/25)*Calculateur!DB196*Calculateur!DD196*VLOOKUP('Données projet'!$B$13,Paramètres!$A$1:$I$89,3,0)*0.475*44/12</f>
        <v>1.7209455349632157</v>
      </c>
      <c r="DH196" s="23">
        <f>EXP(-LN(2)/2)*DH195+(1-EXP(-LN(2)/2))/(LN(2)/2)*DB196*DE196*VLOOKUP('Données projet'!$B$13,Paramètres!$A$1:$I$89,3,0)*0.475*44/12</f>
        <v>2.2552435475075212E-16</v>
      </c>
      <c r="DI196" s="24">
        <f t="shared" si="175"/>
        <v>21.902806312276233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70">
        <f t="shared" si="192"/>
        <v>256.66666666666669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-1.8474111129762605E-13</v>
      </c>
      <c r="O197" s="14">
        <f>N197*VLOOKUP('Données projet'!$B$9,Paramètres!$A$1:$I$89,3,0)*VLOOKUP('Données projet'!$B$9,Paramètres!$A$1:$I$89,5,0)</f>
        <v>-1.6715375750209204E-13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441.6145113257511</v>
      </c>
      <c r="T197" s="62">
        <f t="shared" ref="T197:T203" si="204">$T$3</f>
        <v>295.8399381972477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77.443337065997369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77.443337065997369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-4.5474735088646412E-13</v>
      </c>
      <c r="AJ197" s="14">
        <f>AI197*VLOOKUP('Données projet'!$B$10,Paramètres!$A$1:$I$89,3,0)*VLOOKUP('Données projet'!$B$10,Paramètres!$A$1:$I$89,5,0)</f>
        <v>-3.9017322706058626E-13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623.31285537237943</v>
      </c>
      <c r="AO197" s="62">
        <f t="shared" ref="AO197:AO203" si="205">$AO$3</f>
        <v>462.33909258902241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43.72806187373547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43.72806187373547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-1.7053025658242404E-13</v>
      </c>
      <c r="BE197" s="14">
        <f>BD197*VLOOKUP('Données projet'!$B$11,Paramètres!$A$1:$I$89,3,0)*VLOOKUP('Données projet'!$B$11,Paramètres!$A$1:$I$89,5,0)</f>
        <v>-1.3567387213697657E-13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299.10536994156814</v>
      </c>
      <c r="BJ197" s="62">
        <f t="shared" ref="BJ197:BJ203" si="206">$BJ$3</f>
        <v>292.57799203101769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12.693516232205573</v>
      </c>
      <c r="BQ197" s="23">
        <f>EXP(-LN(2)/25)*BQ196+(1-EXP(-LN(2)/25))/(LN(2)/25)*Calculateur!BL197*Calculateur!BN197*VLOOKUP('Données projet'!$B$11,Paramètres!$A$1:$I$89,3,0)*0.475*44/12</f>
        <v>0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12.693516232205573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2.8421709430404007E-14</v>
      </c>
      <c r="BZ197" s="14">
        <f>BY197*VLOOKUP('Données projet'!$B$12,Paramètres!$A$1:$I$89,3,0)*VLOOKUP('Données projet'!$B$12,Paramètres!$A$1:$I$89,5,0)</f>
        <v>2.2168933355715127E-14</v>
      </c>
      <c r="CA197" s="14">
        <f t="shared" si="170"/>
        <v>3.9687356123668477E-13</v>
      </c>
      <c r="CB197" s="22">
        <f t="shared" si="171"/>
        <v>7.2983234474842979E-13</v>
      </c>
      <c r="CC197" s="62">
        <f t="shared" si="195"/>
        <v>293.33333333333405</v>
      </c>
      <c r="CD197" s="62">
        <f ca="1">AVERAGE(OFFSET($CC$3,0,0,'Données projet'!$E$12+1,1))-AVERAGE(OFFSET($H$3,0,0,'Données projet'!$E$12+1,1))</f>
        <v>197.51529454208725</v>
      </c>
      <c r="CE197" s="62">
        <f t="shared" ref="CE197:CE203" si="207">$CE$3</f>
        <v>196.65362486387215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6.7243773411794425</v>
      </c>
      <c r="CL197" s="23">
        <f>EXP(-LN(2)/25)*CL196+(1-EXP(-LN(2)/25))/(LN(2)/25)*Calculateur!CG197*Calculateur!CI197*VLOOKUP('Données projet'!$B$12,Paramètres!$A$1:$I$89,3,0)*0.475*44/12</f>
        <v>0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6.7243773411794425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-5.6843418860808015E-14</v>
      </c>
      <c r="CU197" s="18">
        <f>CT197*VLOOKUP('Données projet'!$B$13,Paramètres!$A$1:$I$89,3,0)*VLOOKUP('Données projet'!$B$13,Paramètres!$A$1:$I$89,5,0)</f>
        <v>-3.1036506698001178E-14</v>
      </c>
      <c r="CV197" s="14" t="e">
        <f t="shared" si="173"/>
        <v>#NUM!</v>
      </c>
      <c r="CW197" s="22" t="e">
        <f t="shared" si="174"/>
        <v>#NUM!</v>
      </c>
      <c r="CX197" s="62" t="e">
        <f t="shared" si="196"/>
        <v>#NUM!</v>
      </c>
      <c r="CY197" s="62">
        <f ca="1">AVERAGE(OFFSET($CX$3,0,0,'Données projet'!$E$13+1,1))-AVERAGE(OFFSET($H$3,0,0,'Données projet'!$E$13+1,1))</f>
        <v>303.14853302260451</v>
      </c>
      <c r="CZ197" s="62">
        <f t="shared" ref="CZ197:CZ203" si="208">$CZ$3</f>
        <v>298.74602928001929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19.786106797189497</v>
      </c>
      <c r="DG197" s="23">
        <f>EXP(-LN(2)/25)*DG196+(1-EXP(-LN(2)/25))/(LN(2)/25)*Calculateur!DB197*Calculateur!DD197*VLOOKUP('Données projet'!$B$13,Paramètres!$A$1:$I$89,3,0)*0.475*44/12</f>
        <v>1.6738861888090542</v>
      </c>
      <c r="DH197" s="23">
        <f>EXP(-LN(2)/2)*DH196+(1-EXP(-LN(2)/2))/(LN(2)/2)*DB197*DE197*VLOOKUP('Données projet'!$B$13,Paramètres!$A$1:$I$89,3,0)*0.475*44/12</f>
        <v>1.594698005669774E-16</v>
      </c>
      <c r="DI197" s="24">
        <f t="shared" si="175"/>
        <v>21.45999298599855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70">
        <f t="shared" si="192"/>
        <v>256.66666666666669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-1.8474111129762605E-13</v>
      </c>
      <c r="O198" s="14">
        <f>N198*VLOOKUP('Données projet'!$B$9,Paramètres!$A$1:$I$89,3,0)*VLOOKUP('Données projet'!$B$9,Paramètres!$A$1:$I$89,5,0)</f>
        <v>-1.6715375750209204E-13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441.6145113257511</v>
      </c>
      <c r="T198" s="62">
        <f t="shared" si="204"/>
        <v>295.8399381972477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75.924720461904627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75.924720461904627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-4.5474735088646412E-13</v>
      </c>
      <c r="AJ198" s="14">
        <f>AI198*VLOOKUP('Données projet'!$B$10,Paramètres!$A$1:$I$89,3,0)*VLOOKUP('Données projet'!$B$10,Paramètres!$A$1:$I$89,5,0)</f>
        <v>-3.9017322706058626E-13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623.31285537237943</v>
      </c>
      <c r="AO198" s="62">
        <f t="shared" si="205"/>
        <v>462.33909258902241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42.87058125187567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42.87058125187567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-1.7053025658242404E-13</v>
      </c>
      <c r="BE198" s="14">
        <f>BD198*VLOOKUP('Données projet'!$B$11,Paramètres!$A$1:$I$89,3,0)*VLOOKUP('Données projet'!$B$11,Paramètres!$A$1:$I$89,5,0)</f>
        <v>-1.3567387213697657E-13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299.10536994156814</v>
      </c>
      <c r="BJ198" s="62">
        <f t="shared" si="206"/>
        <v>292.57799203101769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12.444604121172436</v>
      </c>
      <c r="BQ198" s="23">
        <f>EXP(-LN(2)/25)*BQ197+(1-EXP(-LN(2)/25))/(LN(2)/25)*Calculateur!BL198*Calculateur!BN198*VLOOKUP('Données projet'!$B$11,Paramètres!$A$1:$I$89,3,0)*0.475*44/12</f>
        <v>0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12.444604121172436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2.8421709430404007E-14</v>
      </c>
      <c r="BZ198" s="14">
        <f>BY198*VLOOKUP('Données projet'!$B$12,Paramètres!$A$1:$I$89,3,0)*VLOOKUP('Données projet'!$B$12,Paramètres!$A$1:$I$89,5,0)</f>
        <v>2.2168933355715127E-14</v>
      </c>
      <c r="CA198" s="14">
        <f t="shared" si="170"/>
        <v>3.9687356123668477E-13</v>
      </c>
      <c r="CB198" s="22">
        <f t="shared" si="171"/>
        <v>7.2983234474842979E-13</v>
      </c>
      <c r="CC198" s="62">
        <f t="shared" si="195"/>
        <v>293.33333333333405</v>
      </c>
      <c r="CD198" s="62">
        <f ca="1">AVERAGE(OFFSET($CC$3,0,0,'Données projet'!$E$12+1,1))-AVERAGE(OFFSET($H$3,0,0,'Données projet'!$E$12+1,1))</f>
        <v>197.51529454208725</v>
      </c>
      <c r="CE198" s="62">
        <f t="shared" si="207"/>
        <v>196.65362486387215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6.5925164029841055</v>
      </c>
      <c r="CL198" s="23">
        <f>EXP(-LN(2)/25)*CL197+(1-EXP(-LN(2)/25))/(LN(2)/25)*Calculateur!CG198*Calculateur!CI198*VLOOKUP('Données projet'!$B$12,Paramètres!$A$1:$I$89,3,0)*0.475*44/12</f>
        <v>0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6.5925164029841055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-5.6843418860808015E-14</v>
      </c>
      <c r="CU198" s="18">
        <f>CT198*VLOOKUP('Données projet'!$B$13,Paramètres!$A$1:$I$89,3,0)*VLOOKUP('Données projet'!$B$13,Paramètres!$A$1:$I$89,5,0)</f>
        <v>-3.1036506698001178E-14</v>
      </c>
      <c r="CV198" s="14" t="e">
        <f t="shared" si="173"/>
        <v>#NUM!</v>
      </c>
      <c r="CW198" s="22" t="e">
        <f t="shared" si="174"/>
        <v>#NUM!</v>
      </c>
      <c r="CX198" s="62" t="e">
        <f t="shared" si="196"/>
        <v>#NUM!</v>
      </c>
      <c r="CY198" s="62">
        <f ca="1">AVERAGE(OFFSET($CX$3,0,0,'Données projet'!$E$13+1,1))-AVERAGE(OFFSET($H$3,0,0,'Données projet'!$E$13+1,1))</f>
        <v>303.14853302260451</v>
      </c>
      <c r="CZ198" s="62">
        <f t="shared" si="208"/>
        <v>298.74602928001929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19.398113311230109</v>
      </c>
      <c r="DG198" s="23">
        <f>EXP(-LN(2)/25)*DG197+(1-EXP(-LN(2)/25))/(LN(2)/25)*Calculateur!DB198*Calculateur!DD198*VLOOKUP('Données projet'!$B$13,Paramètres!$A$1:$I$89,3,0)*0.475*44/12</f>
        <v>1.6281136829502216</v>
      </c>
      <c r="DH198" s="23">
        <f>EXP(-LN(2)/2)*DH197+(1-EXP(-LN(2)/2))/(LN(2)/2)*DB198*DE198*VLOOKUP('Données projet'!$B$13,Paramètres!$A$1:$I$89,3,0)*0.475*44/12</f>
        <v>1.1276217737537606E-16</v>
      </c>
      <c r="DI198" s="24">
        <f t="shared" si="175"/>
        <v>21.02622699418033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70">
        <f t="shared" si="192"/>
        <v>256.66666666666669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-1.8474111129762605E-13</v>
      </c>
      <c r="O199" s="14">
        <f>N199*VLOOKUP('Données projet'!$B$9,Paramètres!$A$1:$I$89,3,0)*VLOOKUP('Données projet'!$B$9,Paramètres!$A$1:$I$89,5,0)</f>
        <v>-1.6715375750209204E-13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441.6145113257511</v>
      </c>
      <c r="T199" s="62">
        <f t="shared" si="204"/>
        <v>295.8399381972477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74.435883003153478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74.435883003153478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-4.5474735088646412E-13</v>
      </c>
      <c r="AJ199" s="14">
        <f>AI199*VLOOKUP('Données projet'!$B$10,Paramètres!$A$1:$I$89,3,0)*VLOOKUP('Données projet'!$B$10,Paramètres!$A$1:$I$89,5,0)</f>
        <v>-3.9017322706058626E-13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623.31285537237943</v>
      </c>
      <c r="AO199" s="62">
        <f t="shared" si="205"/>
        <v>462.33909258902241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42.029915301999004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42.029915301999004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-1.7053025658242404E-13</v>
      </c>
      <c r="BE199" s="14">
        <f>BD199*VLOOKUP('Données projet'!$B$11,Paramètres!$A$1:$I$89,3,0)*VLOOKUP('Données projet'!$B$11,Paramètres!$A$1:$I$89,5,0)</f>
        <v>-1.3567387213697657E-13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299.10536994156814</v>
      </c>
      <c r="BJ199" s="62">
        <f t="shared" si="206"/>
        <v>292.57799203101769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12.200573024815263</v>
      </c>
      <c r="BQ199" s="23">
        <f>EXP(-LN(2)/25)*BQ198+(1-EXP(-LN(2)/25))/(LN(2)/25)*Calculateur!BL199*Calculateur!BN199*VLOOKUP('Données projet'!$B$11,Paramètres!$A$1:$I$89,3,0)*0.475*44/12</f>
        <v>0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12.200573024815263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2.8421709430404007E-14</v>
      </c>
      <c r="BZ199" s="14">
        <f>BY199*VLOOKUP('Données projet'!$B$12,Paramètres!$A$1:$I$89,3,0)*VLOOKUP('Données projet'!$B$12,Paramètres!$A$1:$I$89,5,0)</f>
        <v>2.2168933355715127E-14</v>
      </c>
      <c r="CA199" s="14">
        <f t="shared" si="170"/>
        <v>3.9687356123668477E-13</v>
      </c>
      <c r="CB199" s="22">
        <f t="shared" si="171"/>
        <v>7.2983234474842979E-13</v>
      </c>
      <c r="CC199" s="62">
        <f t="shared" si="195"/>
        <v>293.33333333333405</v>
      </c>
      <c r="CD199" s="62">
        <f ca="1">AVERAGE(OFFSET($CC$3,0,0,'Données projet'!$E$12+1,1))-AVERAGE(OFFSET($H$3,0,0,'Données projet'!$E$12+1,1))</f>
        <v>197.51529454208725</v>
      </c>
      <c r="CE199" s="62">
        <f t="shared" si="207"/>
        <v>196.65362486387215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6.4632411773595484</v>
      </c>
      <c r="CL199" s="23">
        <f>EXP(-LN(2)/25)*CL198+(1-EXP(-LN(2)/25))/(LN(2)/25)*Calculateur!CG199*Calculateur!CI199*VLOOKUP('Données projet'!$B$12,Paramètres!$A$1:$I$89,3,0)*0.475*44/12</f>
        <v>0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6.4632411773595484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-5.6843418860808015E-14</v>
      </c>
      <c r="CU199" s="18">
        <f>CT199*VLOOKUP('Données projet'!$B$13,Paramètres!$A$1:$I$89,3,0)*VLOOKUP('Données projet'!$B$13,Paramètres!$A$1:$I$89,5,0)</f>
        <v>-3.1036506698001178E-14</v>
      </c>
      <c r="CV199" s="14" t="e">
        <f t="shared" si="173"/>
        <v>#NUM!</v>
      </c>
      <c r="CW199" s="22" t="e">
        <f t="shared" si="174"/>
        <v>#NUM!</v>
      </c>
      <c r="CX199" s="62" t="e">
        <f t="shared" si="196"/>
        <v>#NUM!</v>
      </c>
      <c r="CY199" s="62">
        <f ca="1">AVERAGE(OFFSET($CX$3,0,0,'Données projet'!$E$13+1,1))-AVERAGE(OFFSET($H$3,0,0,'Données projet'!$E$13+1,1))</f>
        <v>303.14853302260451</v>
      </c>
      <c r="CZ199" s="62">
        <f t="shared" si="208"/>
        <v>298.74602928001929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19.017728140877725</v>
      </c>
      <c r="DG199" s="23">
        <f>EXP(-LN(2)/25)*DG198+(1-EXP(-LN(2)/25))/(LN(2)/25)*Calculateur!DB199*Calculateur!DD199*VLOOKUP('Données projet'!$B$13,Paramètres!$A$1:$I$89,3,0)*0.475*44/12</f>
        <v>1.5835928286711702</v>
      </c>
      <c r="DH199" s="23">
        <f>EXP(-LN(2)/2)*DH198+(1-EXP(-LN(2)/2))/(LN(2)/2)*DB199*DE199*VLOOKUP('Données projet'!$B$13,Paramètres!$A$1:$I$89,3,0)*0.475*44/12</f>
        <v>7.97349002834887E-17</v>
      </c>
      <c r="DI199" s="24">
        <f t="shared" si="175"/>
        <v>20.601320969548894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70">
        <f t="shared" si="192"/>
        <v>256.66666666666669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-1.8474111129762605E-13</v>
      </c>
      <c r="O200" s="14">
        <f>N200*VLOOKUP('Données projet'!$B$9,Paramètres!$A$1:$I$89,3,0)*VLOOKUP('Données projet'!$B$9,Paramètres!$A$1:$I$89,5,0)</f>
        <v>-1.6715375750209204E-13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441.6145113257511</v>
      </c>
      <c r="T200" s="62">
        <f t="shared" si="204"/>
        <v>295.8399381972477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72.976240738867247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72.976240738867247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-4.5474735088646412E-13</v>
      </c>
      <c r="AJ200" s="14">
        <f>AI200*VLOOKUP('Données projet'!$B$10,Paramètres!$A$1:$I$89,3,0)*VLOOKUP('Données projet'!$B$10,Paramètres!$A$1:$I$89,5,0)</f>
        <v>-3.9017322706058626E-13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623.31285537237943</v>
      </c>
      <c r="AO200" s="62">
        <f t="shared" si="205"/>
        <v>462.33909258902241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41.205734298643819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41.205734298643819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-1.7053025658242404E-13</v>
      </c>
      <c r="BE200" s="14">
        <f>BD200*VLOOKUP('Données projet'!$B$11,Paramètres!$A$1:$I$89,3,0)*VLOOKUP('Données projet'!$B$11,Paramètres!$A$1:$I$89,5,0)</f>
        <v>-1.3567387213697657E-13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299.10536994156814</v>
      </c>
      <c r="BJ200" s="62">
        <f t="shared" si="206"/>
        <v>292.57799203101769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11.961327229413383</v>
      </c>
      <c r="BQ200" s="23">
        <f>EXP(-LN(2)/25)*BQ199+(1-EXP(-LN(2)/25))/(LN(2)/25)*Calculateur!BL200*Calculateur!BN200*VLOOKUP('Données projet'!$B$11,Paramètres!$A$1:$I$89,3,0)*0.475*44/12</f>
        <v>0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11.961327229413383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2.8421709430404007E-14</v>
      </c>
      <c r="BZ200" s="14">
        <f>BY200*VLOOKUP('Données projet'!$B$12,Paramètres!$A$1:$I$89,3,0)*VLOOKUP('Données projet'!$B$12,Paramètres!$A$1:$I$89,5,0)</f>
        <v>2.2168933355715127E-14</v>
      </c>
      <c r="CA200" s="14">
        <f t="shared" si="170"/>
        <v>3.9687356123668477E-13</v>
      </c>
      <c r="CB200" s="22">
        <f t="shared" si="171"/>
        <v>7.2983234474842979E-13</v>
      </c>
      <c r="CC200" s="62">
        <f t="shared" si="195"/>
        <v>293.33333333333405</v>
      </c>
      <c r="CD200" s="62">
        <f ca="1">AVERAGE(OFFSET($CC$3,0,0,'Données projet'!$E$12+1,1))-AVERAGE(OFFSET($H$3,0,0,'Données projet'!$E$12+1,1))</f>
        <v>197.51529454208725</v>
      </c>
      <c r="CE200" s="62">
        <f t="shared" si="207"/>
        <v>196.65362486387215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6.3365009600593867</v>
      </c>
      <c r="CL200" s="23">
        <f>EXP(-LN(2)/25)*CL199+(1-EXP(-LN(2)/25))/(LN(2)/25)*Calculateur!CG200*Calculateur!CI200*VLOOKUP('Données projet'!$B$12,Paramètres!$A$1:$I$89,3,0)*0.475*44/12</f>
        <v>0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6.3365009600593867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-5.6843418860808015E-14</v>
      </c>
      <c r="CU200" s="18">
        <f>CT200*VLOOKUP('Données projet'!$B$13,Paramètres!$A$1:$I$89,3,0)*VLOOKUP('Données projet'!$B$13,Paramètres!$A$1:$I$89,5,0)</f>
        <v>-3.1036506698001178E-14</v>
      </c>
      <c r="CV200" s="14" t="e">
        <f t="shared" si="173"/>
        <v>#NUM!</v>
      </c>
      <c r="CW200" s="22" t="e">
        <f t="shared" si="174"/>
        <v>#NUM!</v>
      </c>
      <c r="CX200" s="62" t="e">
        <f t="shared" si="196"/>
        <v>#NUM!</v>
      </c>
      <c r="CY200" s="62">
        <f ca="1">AVERAGE(OFFSET($CX$3,0,0,'Données projet'!$E$13+1,1))-AVERAGE(OFFSET($H$3,0,0,'Données projet'!$E$13+1,1))</f>
        <v>303.14853302260451</v>
      </c>
      <c r="CZ200" s="62">
        <f t="shared" si="208"/>
        <v>298.74602928001929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18.644802091703909</v>
      </c>
      <c r="DG200" s="23">
        <f>EXP(-LN(2)/25)*DG199+(1-EXP(-LN(2)/25))/(LN(2)/25)*Calculateur!DB200*Calculateur!DD200*VLOOKUP('Données projet'!$B$13,Paramètres!$A$1:$I$89,3,0)*0.475*44/12</f>
        <v>1.5402893994936295</v>
      </c>
      <c r="DH200" s="23">
        <f>EXP(-LN(2)/2)*DH199+(1-EXP(-LN(2)/2))/(LN(2)/2)*DB200*DE200*VLOOKUP('Données projet'!$B$13,Paramètres!$A$1:$I$89,3,0)*0.475*44/12</f>
        <v>5.638108868768803E-17</v>
      </c>
      <c r="DI200" s="24">
        <f t="shared" si="175"/>
        <v>20.185091491197539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70">
        <f t="shared" si="192"/>
        <v>256.66666666666669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-1.8474111129762605E-13</v>
      </c>
      <c r="O201" s="14">
        <f>N201*VLOOKUP('Données projet'!$B$9,Paramètres!$A$1:$I$89,3,0)*VLOOKUP('Données projet'!$B$9,Paramètres!$A$1:$I$89,5,0)</f>
        <v>-1.6715375750209204E-13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441.6145113257511</v>
      </c>
      <c r="T201" s="62">
        <f t="shared" si="204"/>
        <v>295.8399381972477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71.5452211690898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71.5452211690898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-4.5474735088646412E-13</v>
      </c>
      <c r="AJ201" s="14">
        <f>AI201*VLOOKUP('Données projet'!$B$10,Paramètres!$A$1:$I$89,3,0)*VLOOKUP('Données projet'!$B$10,Paramètres!$A$1:$I$89,5,0)</f>
        <v>-3.9017322706058626E-13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623.31285537237943</v>
      </c>
      <c r="AO201" s="62">
        <f t="shared" si="205"/>
        <v>462.33909258902241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40.397714982063654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40.397714982063654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-1.7053025658242404E-13</v>
      </c>
      <c r="BE201" s="14">
        <f>BD201*VLOOKUP('Données projet'!$B$11,Paramètres!$A$1:$I$89,3,0)*VLOOKUP('Données projet'!$B$11,Paramètres!$A$1:$I$89,5,0)</f>
        <v>-1.3567387213697657E-13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299.10536994156814</v>
      </c>
      <c r="BJ201" s="62">
        <f t="shared" si="206"/>
        <v>292.57799203101769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11.726772898133808</v>
      </c>
      <c r="BQ201" s="23">
        <f>EXP(-LN(2)/25)*BQ200+(1-EXP(-LN(2)/25))/(LN(2)/25)*Calculateur!BL201*Calculateur!BN201*VLOOKUP('Données projet'!$B$11,Paramètres!$A$1:$I$89,3,0)*0.475*44/12</f>
        <v>0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11.726772898133808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2.8421709430404007E-14</v>
      </c>
      <c r="BZ201" s="14">
        <f>BY201*VLOOKUP('Données projet'!$B$12,Paramètres!$A$1:$I$89,3,0)*VLOOKUP('Données projet'!$B$12,Paramètres!$A$1:$I$89,5,0)</f>
        <v>2.2168933355715127E-14</v>
      </c>
      <c r="CA201" s="14">
        <f t="shared" si="170"/>
        <v>3.9687356123668477E-13</v>
      </c>
      <c r="CB201" s="22">
        <f t="shared" si="171"/>
        <v>7.2983234474842979E-13</v>
      </c>
      <c r="CC201" s="62">
        <f t="shared" si="195"/>
        <v>293.33333333333405</v>
      </c>
      <c r="CD201" s="62">
        <f ca="1">AVERAGE(OFFSET($CC$3,0,0,'Données projet'!$E$12+1,1))-AVERAGE(OFFSET($H$3,0,0,'Données projet'!$E$12+1,1))</f>
        <v>197.51529454208725</v>
      </c>
      <c r="CE201" s="62">
        <f t="shared" si="207"/>
        <v>196.65362486387215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6.2122460411165825</v>
      </c>
      <c r="CL201" s="23">
        <f>EXP(-LN(2)/25)*CL200+(1-EXP(-LN(2)/25))/(LN(2)/25)*Calculateur!CG201*Calculateur!CI201*VLOOKUP('Données projet'!$B$12,Paramètres!$A$1:$I$89,3,0)*0.475*44/12</f>
        <v>0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6.2122460411165825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-5.6843418860808015E-14</v>
      </c>
      <c r="CU201" s="18">
        <f>CT201*VLOOKUP('Données projet'!$B$13,Paramètres!$A$1:$I$89,3,0)*VLOOKUP('Données projet'!$B$13,Paramètres!$A$1:$I$89,5,0)</f>
        <v>-3.1036506698001178E-14</v>
      </c>
      <c r="CV201" s="14" t="e">
        <f t="shared" si="173"/>
        <v>#NUM!</v>
      </c>
      <c r="CW201" s="22" t="e">
        <f t="shared" si="174"/>
        <v>#NUM!</v>
      </c>
      <c r="CX201" s="62" t="e">
        <f t="shared" si="196"/>
        <v>#NUM!</v>
      </c>
      <c r="CY201" s="62">
        <f ca="1">AVERAGE(OFFSET($CX$3,0,0,'Données projet'!$E$13+1,1))-AVERAGE(OFFSET($H$3,0,0,'Données projet'!$E$13+1,1))</f>
        <v>303.14853302260451</v>
      </c>
      <c r="CZ201" s="62">
        <f t="shared" si="208"/>
        <v>298.74602928001929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18.279188894891959</v>
      </c>
      <c r="DG201" s="23">
        <f>EXP(-LN(2)/25)*DG200+(1-EXP(-LN(2)/25))/(LN(2)/25)*Calculateur!DB201*Calculateur!DD201*VLOOKUP('Données projet'!$B$13,Paramètres!$A$1:$I$89,3,0)*0.475*44/12</f>
        <v>1.4981701048641771</v>
      </c>
      <c r="DH201" s="23">
        <f>EXP(-LN(2)/2)*DH200+(1-EXP(-LN(2)/2))/(LN(2)/2)*DB201*DE201*VLOOKUP('Données projet'!$B$13,Paramètres!$A$1:$I$89,3,0)*0.475*44/12</f>
        <v>3.986745014174435E-17</v>
      </c>
      <c r="DI201" s="24">
        <f t="shared" si="175"/>
        <v>19.777358999756135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70">
        <f t="shared" si="192"/>
        <v>256.66666666666669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-1.8474111129762605E-13</v>
      </c>
      <c r="O202" s="14">
        <f>N202*VLOOKUP('Données projet'!$B$9,Paramètres!$A$1:$I$89,3,0)*VLOOKUP('Données projet'!$B$9,Paramètres!$A$1:$I$89,5,0)</f>
        <v>-1.6715375750209204E-13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441.6145113257511</v>
      </c>
      <c r="T202" s="62">
        <f t="shared" si="204"/>
        <v>295.8399381972477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70.142263020239938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70.142263020239938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-4.5474735088646412E-13</v>
      </c>
      <c r="AJ202" s="14">
        <f>AI202*VLOOKUP('Données projet'!$B$10,Paramètres!$A$1:$I$89,3,0)*VLOOKUP('Données projet'!$B$10,Paramètres!$A$1:$I$89,5,0)</f>
        <v>-3.9017322706058626E-13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623.31285537237943</v>
      </c>
      <c r="AO202" s="62">
        <f t="shared" si="205"/>
        <v>462.33909258902241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39.605540431438513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39.605540431438513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-1.7053025658242404E-13</v>
      </c>
      <c r="BE202" s="14">
        <f>BD202*VLOOKUP('Données projet'!$B$11,Paramètres!$A$1:$I$89,3,0)*VLOOKUP('Données projet'!$B$11,Paramètres!$A$1:$I$89,5,0)</f>
        <v>-1.3567387213697657E-13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299.10536994156814</v>
      </c>
      <c r="BJ202" s="62">
        <f t="shared" si="206"/>
        <v>292.57799203101769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11.496818034226608</v>
      </c>
      <c r="BQ202" s="23">
        <f>EXP(-LN(2)/25)*BQ201+(1-EXP(-LN(2)/25))/(LN(2)/25)*Calculateur!BL202*Calculateur!BN202*VLOOKUP('Données projet'!$B$11,Paramètres!$A$1:$I$89,3,0)*0.475*44/12</f>
        <v>0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11.496818034226608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2.8421709430404007E-14</v>
      </c>
      <c r="BZ202" s="14">
        <f>BY202*VLOOKUP('Données projet'!$B$12,Paramètres!$A$1:$I$89,3,0)*VLOOKUP('Données projet'!$B$12,Paramètres!$A$1:$I$89,5,0)</f>
        <v>2.2168933355715127E-14</v>
      </c>
      <c r="CA202" s="14">
        <f t="shared" si="170"/>
        <v>3.9687356123668477E-13</v>
      </c>
      <c r="CB202" s="22">
        <f t="shared" si="171"/>
        <v>7.2983234474842979E-13</v>
      </c>
      <c r="CC202" s="62">
        <f t="shared" si="195"/>
        <v>293.33333333333405</v>
      </c>
      <c r="CD202" s="62">
        <f ca="1">AVERAGE(OFFSET($CC$3,0,0,'Données projet'!$E$12+1,1))-AVERAGE(OFFSET($H$3,0,0,'Données projet'!$E$12+1,1))</f>
        <v>197.51529454208725</v>
      </c>
      <c r="CE202" s="62">
        <f t="shared" si="207"/>
        <v>196.65362486387215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6.0904276853462296</v>
      </c>
      <c r="CL202" s="23">
        <f>EXP(-LN(2)/25)*CL201+(1-EXP(-LN(2)/25))/(LN(2)/25)*Calculateur!CG202*Calculateur!CI202*VLOOKUP('Données projet'!$B$12,Paramètres!$A$1:$I$89,3,0)*0.475*44/12</f>
        <v>0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6.0904276853462296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-5.6843418860808015E-14</v>
      </c>
      <c r="CU202" s="18">
        <f>CT202*VLOOKUP('Données projet'!$B$13,Paramètres!$A$1:$I$89,3,0)*VLOOKUP('Données projet'!$B$13,Paramètres!$A$1:$I$89,5,0)</f>
        <v>-3.1036506698001178E-14</v>
      </c>
      <c r="CV202" s="14" t="e">
        <f t="shared" si="173"/>
        <v>#NUM!</v>
      </c>
      <c r="CW202" s="22" t="e">
        <f t="shared" si="174"/>
        <v>#NUM!</v>
      </c>
      <c r="CX202" s="62" t="e">
        <f t="shared" si="196"/>
        <v>#NUM!</v>
      </c>
      <c r="CY202" s="62">
        <f ca="1">AVERAGE(OFFSET($CX$3,0,0,'Données projet'!$E$13+1,1))-AVERAGE(OFFSET($H$3,0,0,'Données projet'!$E$13+1,1))</f>
        <v>303.14853302260451</v>
      </c>
      <c r="CZ202" s="62">
        <f t="shared" si="208"/>
        <v>298.74602928001929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17.920745149867461</v>
      </c>
      <c r="DG202" s="23">
        <f>EXP(-LN(2)/25)*DG201+(1-EXP(-LN(2)/25))/(LN(2)/25)*Calculateur!DB202*Calculateur!DD202*VLOOKUP('Données projet'!$B$13,Paramètres!$A$1:$I$89,3,0)*0.475*44/12</f>
        <v>1.4572025645613245</v>
      </c>
      <c r="DH202" s="23">
        <f>EXP(-LN(2)/2)*DH201+(1-EXP(-LN(2)/2))/(LN(2)/2)*DB202*DE202*VLOOKUP('Données projet'!$B$13,Paramètres!$A$1:$I$89,3,0)*0.475*44/12</f>
        <v>2.8190544343844015E-17</v>
      </c>
      <c r="DI202" s="24">
        <f t="shared" si="175"/>
        <v>19.377947714428785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6" thickBot="1" x14ac:dyDescent="0.2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70">
        <f t="shared" si="192"/>
        <v>256.66666666666669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-1.8474111129762605E-13</v>
      </c>
      <c r="O203" s="14">
        <f>N203*VLOOKUP('Données projet'!$B$9,Paramètres!$A$1:$I$89,3,0)*VLOOKUP('Données projet'!$B$9,Paramètres!$A$1:$I$89,5,0)</f>
        <v>-1.6715375750209204E-13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441.6145113257511</v>
      </c>
      <c r="T203" s="62">
        <f t="shared" si="204"/>
        <v>295.8399381972477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68.766816024969046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68.766816024969046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-4.5474735088646412E-13</v>
      </c>
      <c r="AJ203" s="14">
        <f>AI203*VLOOKUP('Données projet'!$B$10,Paramètres!$A$1:$I$89,3,0)*VLOOKUP('Données projet'!$B$10,Paramètres!$A$1:$I$89,5,0)</f>
        <v>-3.9017322706058626E-13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623.31285537237943</v>
      </c>
      <c r="AO203" s="62">
        <f t="shared" si="205"/>
        <v>462.33909258902241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38.828899940572363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38.828899940572363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-1.7053025658242404E-13</v>
      </c>
      <c r="BE203" s="14">
        <f>BD203*VLOOKUP('Données projet'!$B$11,Paramètres!$A$1:$I$89,3,0)*VLOOKUP('Données projet'!$B$11,Paramètres!$A$1:$I$89,5,0)</f>
        <v>-1.3567387213697657E-13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299.10536994156814</v>
      </c>
      <c r="BJ203" s="62">
        <f t="shared" si="206"/>
        <v>292.57799203101769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11.271372444942012</v>
      </c>
      <c r="BQ203" s="23">
        <f>EXP(-LN(2)/25)*BQ202+(1-EXP(-LN(2)/25))/(LN(2)/25)*Calculateur!BL203*Calculateur!BN203*VLOOKUP('Données projet'!$B$11,Paramètres!$A$1:$I$89,3,0)*0.475*44/12</f>
        <v>0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11.271372444942012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2.8421709430404007E-14</v>
      </c>
      <c r="BZ203" s="14">
        <f>BY203*VLOOKUP('Données projet'!$B$12,Paramètres!$A$1:$I$89,3,0)*VLOOKUP('Données projet'!$B$12,Paramètres!$A$1:$I$89,5,0)</f>
        <v>2.2168933355715127E-14</v>
      </c>
      <c r="CA203" s="14">
        <f t="shared" si="170"/>
        <v>3.9687356123668477E-13</v>
      </c>
      <c r="CB203" s="22">
        <f t="shared" si="171"/>
        <v>7.2983234474842979E-13</v>
      </c>
      <c r="CC203" s="62">
        <f t="shared" si="195"/>
        <v>293.33333333333405</v>
      </c>
      <c r="CD203" s="62">
        <f ca="1">AVERAGE(OFFSET($CC$3,0,0,'Données projet'!$E$12+1,1))-AVERAGE(OFFSET($H$3,0,0,'Données projet'!$E$12+1,1))</f>
        <v>197.51529454208725</v>
      </c>
      <c r="CE203" s="62">
        <f t="shared" si="207"/>
        <v>196.65362486387215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5.9709981132306726</v>
      </c>
      <c r="CL203" s="23">
        <f>EXP(-LN(2)/25)*CL202+(1-EXP(-LN(2)/25))/(LN(2)/25)*Calculateur!CG203*Calculateur!CI203*VLOOKUP('Données projet'!$B$12,Paramètres!$A$1:$I$89,3,0)*0.475*44/12</f>
        <v>0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5.9709981132306726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-5.6843418860808015E-14</v>
      </c>
      <c r="CU203" s="18">
        <f>CT203*VLOOKUP('Données projet'!$B$13,Paramètres!$A$1:$I$89,3,0)*VLOOKUP('Données projet'!$B$13,Paramètres!$A$1:$I$89,5,0)</f>
        <v>-3.1036506698001178E-14</v>
      </c>
      <c r="CV203" s="14" t="e">
        <f t="shared" si="173"/>
        <v>#NUM!</v>
      </c>
      <c r="CW203" s="22" t="e">
        <f t="shared" si="174"/>
        <v>#NUM!</v>
      </c>
      <c r="CX203" s="62" t="e">
        <f t="shared" si="196"/>
        <v>#NUM!</v>
      </c>
      <c r="CY203" s="62">
        <f ca="1">AVERAGE(OFFSET($CX$3,0,0,'Données projet'!$E$13+1,1))-AVERAGE(OFFSET($H$3,0,0,'Données projet'!$E$13+1,1))</f>
        <v>303.14853302260451</v>
      </c>
      <c r="CZ203" s="62">
        <f t="shared" si="208"/>
        <v>298.74602928001929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17.569330268053797</v>
      </c>
      <c r="DG203" s="23">
        <f>EXP(-LN(2)/25)*DG202+(1-EXP(-LN(2)/25))/(LN(2)/25)*Calculateur!DB203*Calculateur!DD203*VLOOKUP('Données projet'!$B$13,Paramètres!$A$1:$I$89,3,0)*0.475*44/12</f>
        <v>1.4173552838024426</v>
      </c>
      <c r="DH203" s="23">
        <f>EXP(-LN(2)/2)*DH202+(1-EXP(-LN(2)/2))/(LN(2)/2)*DB203*DE203*VLOOKUP('Données projet'!$B$13,Paramètres!$A$1:$I$89,3,0)*0.475*44/12</f>
        <v>1.9933725070872175E-17</v>
      </c>
      <c r="DI203" s="24">
        <f t="shared" si="175"/>
        <v>18.98668555185624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7" thickBot="1" x14ac:dyDescent="0.2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6" thickBot="1" x14ac:dyDescent="0.2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1.1267530431577886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1.2467894073120835</v>
      </c>
      <c r="BA205" s="88">
        <f>EXP(LN('Données projet'!B88)/'Données projet'!A88)</f>
        <v>1.2721747796233518</v>
      </c>
      <c r="BV205" s="88">
        <f>EXP(LN('Données projet'!B114)/'Données projet'!A114)</f>
        <v>1.2414460987627769</v>
      </c>
      <c r="CQ205" s="88">
        <f>EXP(LN('Données projet'!B140)/'Données projet'!A140)</f>
        <v>1.4309690811052556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5" bestFit="1" customWidth="1"/>
    <col min="2" max="2" width="27.6640625" style="5" bestFit="1" customWidth="1"/>
    <col min="3" max="3" width="11.83203125" style="5" bestFit="1" customWidth="1"/>
    <col min="4" max="4" width="40" style="5" bestFit="1" customWidth="1"/>
    <col min="5" max="5" width="11.83203125" style="5" bestFit="1" customWidth="1"/>
    <col min="6" max="6" width="13.6640625" style="5" bestFit="1" customWidth="1"/>
    <col min="7" max="7" width="11.5" style="5" bestFit="1" customWidth="1"/>
    <col min="8" max="8" width="39" style="5" bestFit="1" customWidth="1"/>
    <col min="9" max="9" width="16.6640625" style="5" customWidth="1"/>
    <col min="10" max="14" width="11.5" style="5"/>
    <col min="15" max="15" width="23.5" style="5" bestFit="1" customWidth="1"/>
    <col min="16" max="16384" width="11.5" style="5"/>
  </cols>
  <sheetData>
    <row r="1" spans="1:16" ht="49" thickBot="1" x14ac:dyDescent="0.2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6" t="s">
        <v>238</v>
      </c>
      <c r="P2" s="130">
        <v>0</v>
      </c>
    </row>
    <row r="3" spans="1:16" ht="16" thickBot="1" x14ac:dyDescent="0.2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7"/>
      <c r="P3" s="137">
        <v>0.2</v>
      </c>
    </row>
    <row r="4" spans="1:16" ht="16" thickBot="1" x14ac:dyDescent="0.2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6" t="s">
        <v>237</v>
      </c>
      <c r="P5" s="130">
        <v>0</v>
      </c>
    </row>
    <row r="6" spans="1:16" x14ac:dyDescent="0.2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8"/>
      <c r="P6" s="138">
        <v>0.05</v>
      </c>
    </row>
    <row r="7" spans="1:16" x14ac:dyDescent="0.2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8"/>
      <c r="P7" s="138">
        <v>0.1</v>
      </c>
    </row>
    <row r="8" spans="1:16" ht="16" thickBot="1" x14ac:dyDescent="0.2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7"/>
      <c r="P8" s="137">
        <v>0.15</v>
      </c>
    </row>
    <row r="9" spans="1:16" ht="16" thickBot="1" x14ac:dyDescent="0.2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6" t="s">
        <v>236</v>
      </c>
      <c r="P10" s="130">
        <v>0</v>
      </c>
    </row>
    <row r="11" spans="1:16" ht="16" thickBot="1" x14ac:dyDescent="0.2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7"/>
      <c r="P11" s="137">
        <v>0.1</v>
      </c>
    </row>
    <row r="12" spans="1:16" x14ac:dyDescent="0.2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2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6" thickBot="1" x14ac:dyDescent="0.2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">
      <c r="A93" s="131" t="s">
        <v>208</v>
      </c>
    </row>
    <row r="94" spans="1:14" x14ac:dyDescent="0.2">
      <c r="A94" s="131" t="s">
        <v>209</v>
      </c>
    </row>
    <row r="95" spans="1:14" x14ac:dyDescent="0.2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zoomScale="90" zoomScaleNormal="90" workbookViewId="0">
      <selection activeCell="J26" sqref="J26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5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35">
      <c r="A2" s="307" t="s">
        <v>271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" thickBot="1" x14ac:dyDescent="0.2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65" thickBot="1" x14ac:dyDescent="0.2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">
      <c r="A6" s="154" t="str">
        <f>IF('Données projet'!$B$9="","",'Données projet'!$B$9)</f>
        <v>Chêne sessile</v>
      </c>
      <c r="B6" s="155">
        <f>'Données projet'!D9</f>
        <v>1.32999976</v>
      </c>
      <c r="C6" s="156">
        <f ca="1">IF(OR('Données projet'!B9="",'Données projet'!C9="",'Données projet'!C9=0%),0,Calculateur!S3)</f>
        <v>441.6145113257511</v>
      </c>
      <c r="D6" s="156">
        <f>IF(OR('Données projet'!B9="",'Données projet'!C9="",'Données projet'!C9=0%),0,Calculateur!T3)</f>
        <v>295.8399381972477</v>
      </c>
      <c r="E6" s="156">
        <f ca="1">MIN(C6,D6)</f>
        <v>295.8399381972477</v>
      </c>
      <c r="F6" s="156">
        <f ca="1">E6*B6</f>
        <v>393.46704680075425</v>
      </c>
      <c r="G6" s="156">
        <f ca="1">F6*(100%-'Données projet'!$C$24)*(100%-'Données projet'!$C$25)*(100%-'Données projet'!$C$26)*(100%-'Données projet'!$C$27)</f>
        <v>354.12034212067886</v>
      </c>
      <c r="H6" s="157">
        <f>IF(OR('Données projet'!B9="",'Données projet'!C9="",'Données projet'!C9=0%),0,AVERAGE(Calculateur!$AC$3:$AC$33)*B6)</f>
        <v>0</v>
      </c>
      <c r="I6" s="158">
        <f>H6*(100%-'Données projet'!$C$24)*(100%-'Données projet'!$C$25)*(100%-'Données projet'!$C$26)*(100%-'Données projet'!$C$27)</f>
        <v>0</v>
      </c>
      <c r="J6" s="159">
        <f>IF(OR('Données projet'!B9="",'Données projet'!C9="",'Données projet'!C9=0%),0,SUM(Calculateur!$V$3:$V$33)*VLOOKUP('Données projet'!$B$9,Paramètres!$A$1:$I$89,9,0)*B6)</f>
        <v>0</v>
      </c>
      <c r="K6" s="160">
        <f>J6*(100%-'Données projet'!$C$24)*(100%-'Données projet'!$C$25)*(100%-'Données projet'!$C$26)*(100%-'Données projet'!$C$27)</f>
        <v>0</v>
      </c>
      <c r="L6" s="161">
        <f ca="1">G6+I6+K6</f>
        <v>354.12034212067886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">
      <c r="A7" s="162" t="str">
        <f>IF('Données projet'!$B$10="","",'Données projet'!$B$10)</f>
        <v>Hêtre</v>
      </c>
      <c r="B7" s="163">
        <f>'Données projet'!D10</f>
        <v>0.53199864000000008</v>
      </c>
      <c r="C7" s="156">
        <f ca="1">IF(OR('Données projet'!B10="",'Données projet'!C10="",'Données projet'!C10=0%),0,Calculateur!AN3)</f>
        <v>623.31285537237943</v>
      </c>
      <c r="D7" s="156">
        <f>IF(OR('Données projet'!B10="",'Données projet'!C10="",'Données projet'!C10=0%),0,Calculateur!AO3)</f>
        <v>462.33909258902241</v>
      </c>
      <c r="E7" s="156">
        <f t="shared" ref="E7:E15" ca="1" si="0">MIN(C7,D7)</f>
        <v>462.33909258902241</v>
      </c>
      <c r="F7" s="156">
        <f t="shared" ref="F7:F15" ca="1" si="1">E7*B7</f>
        <v>245.96376847619405</v>
      </c>
      <c r="G7" s="156">
        <f ca="1">F7*(100%-'Données projet'!$C$24)*(100%-'Données projet'!$C$25)*(100%-'Données projet'!$C$26)*(100%-'Données projet'!$C$27)</f>
        <v>221.36739162857464</v>
      </c>
      <c r="H7" s="164">
        <f>IF(OR('Données projet'!B10="",'Données projet'!C10="",'Données projet'!C10=0%),0,AVERAGE(Calculateur!$AX$3:$AX$33)*B7)</f>
        <v>0.12422859920485432</v>
      </c>
      <c r="I7" s="158">
        <f>H7*(100%-'Données projet'!$C$24)*(100%-'Données projet'!$C$25)*(100%-'Données projet'!$C$26)*(100%-'Données projet'!$C$27)</f>
        <v>0.11180573928436889</v>
      </c>
      <c r="J7" s="159">
        <f>IF(OR('Données projet'!B10="",'Données projet'!C10="",'Données projet'!C10=0%),0,SUM(Calculateur!$AQ$3:$AQ$33)*VLOOKUP('Données projet'!$B$10,Paramètres!$A$1:$I$89,9,0)*B7)</f>
        <v>19.683949680000001</v>
      </c>
      <c r="K7" s="160">
        <f>J7*(100%-'Données projet'!$C$24)*(100%-'Données projet'!$C$25)*(100%-'Données projet'!$C$26)*(100%-'Données projet'!$C$27)</f>
        <v>17.715554712000003</v>
      </c>
      <c r="L7" s="161">
        <f t="shared" ref="L7:L15" ca="1" si="2">G7+I7+K7</f>
        <v>239.194752079859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">
      <c r="A8" s="162" t="str">
        <f>IF('Données projet'!$B$11="","",'Données projet'!$B$11)</f>
        <v>Erable sycomore</v>
      </c>
      <c r="B8" s="163">
        <f>'Données projet'!D11</f>
        <v>0.39900056</v>
      </c>
      <c r="C8" s="156">
        <f ca="1">IF(OR('Données projet'!B11="",'Données projet'!C11="",'Données projet'!C11=0%),0,Calculateur!BI3)</f>
        <v>299.10536994156814</v>
      </c>
      <c r="D8" s="156">
        <f>IF(OR('Données projet'!B11="",'Données projet'!C11="",'Données projet'!C11=0%),0,Calculateur!BJ3)</f>
        <v>292.57799203101769</v>
      </c>
      <c r="E8" s="156">
        <f t="shared" ca="1" si="0"/>
        <v>292.57799203101769</v>
      </c>
      <c r="F8" s="156">
        <f t="shared" ca="1" si="1"/>
        <v>116.7387826640516</v>
      </c>
      <c r="G8" s="156">
        <f ca="1">F8*(100%-'Données projet'!$C$24)*(100%-'Données projet'!$C$25)*(100%-'Données projet'!$C$26)*(100%-'Données projet'!$C$27)</f>
        <v>105.06490439764644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9.8752638600000004</v>
      </c>
      <c r="K8" s="160">
        <f>J8*(100%-'Données projet'!$C$24)*(100%-'Données projet'!$C$25)*(100%-'Données projet'!$C$26)*(100%-'Données projet'!$C$27)</f>
        <v>8.8877374740000015</v>
      </c>
      <c r="L8" s="161">
        <f t="shared" ca="1" si="2"/>
        <v>113.95264187164645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">
      <c r="A9" s="162" t="str">
        <f>IF('Données projet'!$B$12="","",'Données projet'!$B$12)</f>
        <v>Merisier</v>
      </c>
      <c r="B9" s="163">
        <f>'Données projet'!D12</f>
        <v>0.39900056</v>
      </c>
      <c r="C9" s="156">
        <f ca="1">IF(OR('Données projet'!B12="",'Données projet'!C12="",'Données projet'!C12=0%),0,Calculateur!CD3)</f>
        <v>197.51529454208725</v>
      </c>
      <c r="D9" s="156">
        <f>IF(OR('Données projet'!B12="",'Données projet'!C12="",'Données projet'!C12=0%),0,Calculateur!CE3)</f>
        <v>196.65362486387215</v>
      </c>
      <c r="E9" s="156">
        <f t="shared" ca="1" si="0"/>
        <v>196.65362486387215</v>
      </c>
      <c r="F9" s="156">
        <f t="shared" ca="1" si="1"/>
        <v>78.46490644671492</v>
      </c>
      <c r="G9" s="156">
        <f ca="1">F9*(100%-'Données projet'!$C$24)*(100%-'Données projet'!$C$25)*(100%-'Données projet'!$C$26)*(100%-'Données projet'!$C$27)</f>
        <v>70.61841580204343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3.5171899364000003</v>
      </c>
      <c r="K9" s="160">
        <f>J9*(100%-'Données projet'!$C$24)*(100%-'Données projet'!$C$25)*(100%-'Données projet'!$C$26)*(100%-'Données projet'!$C$27)</f>
        <v>3.1654709427600003</v>
      </c>
      <c r="L9" s="161">
        <f t="shared" ca="1" si="2"/>
        <v>73.783886744803425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">
      <c r="A10" s="162" t="str">
        <f>IF('Données projet'!$B$13="","",'Données projet'!$B$13)</f>
        <v>Mélèze hybride</v>
      </c>
      <c r="B10" s="163">
        <f>'Données projet'!D13</f>
        <v>0.50000048000000008</v>
      </c>
      <c r="C10" s="156">
        <f ca="1">IF(OR('Données projet'!B13="",'Données projet'!C13="",'Données projet'!C13=0%),0,Calculateur!CY3)</f>
        <v>303.14853302260451</v>
      </c>
      <c r="D10" s="156">
        <f>IF(OR('Données projet'!B13="",'Données projet'!C13="",'Données projet'!C13=0%),0,Calculateur!CZ3)</f>
        <v>298.74602928001929</v>
      </c>
      <c r="E10" s="156">
        <f t="shared" ca="1" si="0"/>
        <v>298.74602928001929</v>
      </c>
      <c r="F10" s="156">
        <f t="shared" ca="1" si="1"/>
        <v>149.37315803810372</v>
      </c>
      <c r="G10" s="156">
        <f ca="1">F10*(100%-'Données projet'!$C$24)*(100%-'Données projet'!$C$25)*(100%-'Données projet'!$C$26)*(100%-'Données projet'!$C$27)</f>
        <v>134.43584223429335</v>
      </c>
      <c r="H10" s="164">
        <f>IF(OR('Données projet'!B13="",'Données projet'!C13="",'Données projet'!C13=0%),0,AVERAGE(Calculateur!$DI$3:$DI$33)*B10)</f>
        <v>6.7714804705532252</v>
      </c>
      <c r="I10" s="158">
        <f>H10*(100%-'Données projet'!$C$24)*(100%-'Données projet'!$C$25)*(100%-'Données projet'!$C$26)*(100%-'Données projet'!$C$27)</f>
        <v>6.0943324234979031</v>
      </c>
      <c r="J10" s="159">
        <f>IF(OR('Données projet'!B13="",'Données projet'!C13="",'Données projet'!C13=0%),0,SUM(Calculateur!$DB$3:$DB$33)*VLOOKUP('Données projet'!$B$13,Paramètres!$A$1:$I$89,9,0)*B10)</f>
        <v>35.475034056000005</v>
      </c>
      <c r="K10" s="160">
        <f>J10*(100%-'Données projet'!$C$24)*(100%-'Données projet'!$C$25)*(100%-'Données projet'!$C$26)*(100%-'Données projet'!$C$27)</f>
        <v>31.927530650400005</v>
      </c>
      <c r="L10" s="161">
        <f t="shared" ca="1" si="2"/>
        <v>172.45770530819124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6" thickBot="1" x14ac:dyDescent="0.2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6" thickBot="1" x14ac:dyDescent="0.25">
      <c r="A16" s="225"/>
      <c r="B16" s="232"/>
      <c r="C16" s="233"/>
      <c r="D16" s="25"/>
      <c r="E16" s="25"/>
      <c r="F16" s="174">
        <f t="shared" ref="F16:L16" ca="1" si="3">SUM(F6:F15)</f>
        <v>984.00766242581858</v>
      </c>
      <c r="G16" s="175">
        <f t="shared" ca="1" si="3"/>
        <v>885.60689618323659</v>
      </c>
      <c r="H16" s="176">
        <f t="shared" si="3"/>
        <v>6.8957090697580794</v>
      </c>
      <c r="I16" s="176">
        <f t="shared" si="3"/>
        <v>6.2061381627822723</v>
      </c>
      <c r="J16" s="177">
        <f t="shared" si="3"/>
        <v>68.551437532400001</v>
      </c>
      <c r="K16" s="177">
        <f t="shared" si="3"/>
        <v>61.696293779160008</v>
      </c>
      <c r="L16" s="178">
        <f t="shared" ca="1" si="3"/>
        <v>953.50932812517908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6" thickBot="1" x14ac:dyDescent="0.2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6" thickBot="1" x14ac:dyDescent="0.25">
      <c r="A21" s="179" t="str">
        <f>A6</f>
        <v>Chêne sessile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6" thickBot="1" x14ac:dyDescent="0.2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6" thickBot="1" x14ac:dyDescent="0.25">
      <c r="A39" s="179" t="str">
        <f>A7</f>
        <v>Hêtre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6" thickBot="1" x14ac:dyDescent="0.2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6" thickBot="1" x14ac:dyDescent="0.25">
      <c r="A57" s="179" t="str">
        <f>A8</f>
        <v>Erable sycomore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6" thickBot="1" x14ac:dyDescent="0.2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6" thickBot="1" x14ac:dyDescent="0.25">
      <c r="A76" s="179" t="str">
        <f>A9</f>
        <v>Merisier</v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6" thickBot="1" x14ac:dyDescent="0.2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6" thickBot="1" x14ac:dyDescent="0.25">
      <c r="A94" s="179" t="str">
        <f>A10</f>
        <v>Mélèze hybride</v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6" thickBot="1" x14ac:dyDescent="0.2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6" thickBot="1" x14ac:dyDescent="0.2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6" thickBot="1" x14ac:dyDescent="0.2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6" thickBot="1" x14ac:dyDescent="0.2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6" thickBot="1" x14ac:dyDescent="0.2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6" thickBot="1" x14ac:dyDescent="0.2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6" thickBot="1" x14ac:dyDescent="0.2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6" thickBot="1" x14ac:dyDescent="0.2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6" thickBot="1" x14ac:dyDescent="0.2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6" thickBot="1" x14ac:dyDescent="0.2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M1" zoomScale="80" zoomScaleNormal="80" workbookViewId="0">
      <selection activeCell="C147" sqref="C147:C166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3" customWidth="1"/>
    <col min="7" max="7" width="17.5" style="3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35">
      <c r="A2" s="5"/>
      <c r="B2" s="307" t="s">
        <v>272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">
      <c r="A4" s="99"/>
      <c r="B4" s="99"/>
      <c r="C4" s="99"/>
      <c r="D4" s="99"/>
      <c r="E4" s="99"/>
      <c r="G4" s="180"/>
      <c r="H4" s="339" t="s">
        <v>315</v>
      </c>
      <c r="I4" s="339"/>
      <c r="K4" s="336" t="s">
        <v>253</v>
      </c>
      <c r="L4" s="337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6" thickBot="1" x14ac:dyDescent="0.25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3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28" t="s">
        <v>310</v>
      </c>
      <c r="S7" s="329"/>
      <c r="T7" s="329"/>
      <c r="U7" s="329"/>
      <c r="V7" s="330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Chêne sessile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-2452.6660615205933</v>
      </c>
      <c r="U10" s="190">
        <f>'Données projet'!D9</f>
        <v>1.32999976</v>
      </c>
      <c r="V10" s="189">
        <f>U10*T10</f>
        <v>-3262.0452731825344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Hêtre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-836.62368029156767</v>
      </c>
      <c r="U11" s="190">
        <f>'Données projet'!D10</f>
        <v>0.53199864000000008</v>
      </c>
      <c r="V11" s="189">
        <f t="shared" ref="V11" si="0">U11*T11</f>
        <v>-445.08266010690886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>Erable sycomore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-2197.3761055392338</v>
      </c>
      <c r="U12" s="190">
        <f>'Données projet'!D11</f>
        <v>0.39900056</v>
      </c>
      <c r="V12" s="189">
        <f t="shared" ref="V12:V19" si="1">U12*T12</f>
        <v>-876.75429664077342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>Merisier</v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-1875.6940282367843</v>
      </c>
      <c r="U13" s="190">
        <f>'Données projet'!D12</f>
        <v>0.39900056</v>
      </c>
      <c r="V13" s="189">
        <f t="shared" si="1"/>
        <v>-748.40296765513278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">
      <c r="A14" s="49" t="s">
        <v>165</v>
      </c>
      <c r="B14" s="186" t="str">
        <f>IF('Données projet'!$B$9="","",'Données projet'!$B$9)</f>
        <v>Chêne sessile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>Mélèze hybride</v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-586.46588135038701</v>
      </c>
      <c r="U14" s="190">
        <f>'Données projet'!D13</f>
        <v>0.50000048000000008</v>
      </c>
      <c r="V14" s="189">
        <f t="shared" si="1"/>
        <v>-293.23322217881662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">
      <c r="A15" s="5"/>
      <c r="B15" s="5"/>
      <c r="C15" s="5"/>
      <c r="D15" s="5"/>
      <c r="E15" s="5"/>
      <c r="F15" s="260"/>
      <c r="G15" s="340" t="s">
        <v>318</v>
      </c>
      <c r="H15" s="203"/>
      <c r="I15" s="204"/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/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40"/>
      <c r="H16" s="203"/>
      <c r="I16" s="204"/>
      <c r="J16" s="215"/>
      <c r="K16" s="224"/>
      <c r="L16" s="336" t="s">
        <v>254</v>
      </c>
      <c r="M16" s="337"/>
      <c r="N16" s="2"/>
      <c r="O16" s="25"/>
      <c r="P16" s="25"/>
      <c r="Q16" s="264"/>
      <c r="R16" s="25"/>
      <c r="S16" s="185" t="str">
        <f>B200</f>
        <v/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ht="16" x14ac:dyDescent="0.2">
      <c r="A17" s="209">
        <v>0</v>
      </c>
      <c r="B17" s="212" t="s">
        <v>132</v>
      </c>
      <c r="C17" s="211" t="s">
        <v>132</v>
      </c>
      <c r="D17" s="210" t="s">
        <v>132</v>
      </c>
      <c r="E17" s="206">
        <v>3945.6</v>
      </c>
      <c r="F17" s="260"/>
      <c r="G17" s="340"/>
      <c r="J17" s="215"/>
      <c r="K17" s="224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4"/>
      <c r="R17" s="25"/>
      <c r="S17" s="185" t="str">
        <f>B231</f>
        <v/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ht="16" x14ac:dyDescent="0.2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40"/>
      <c r="J18" s="215"/>
      <c r="K18" s="224"/>
      <c r="L18" s="294" t="s">
        <v>255</v>
      </c>
      <c r="M18" s="296"/>
      <c r="N18" s="205"/>
      <c r="O18" s="25"/>
      <c r="P18" s="25"/>
      <c r="Q18" s="264"/>
      <c r="R18" s="25"/>
      <c r="S18" s="185" t="str">
        <f>B262</f>
        <v/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40"/>
      <c r="H19" s="231" t="s">
        <v>178</v>
      </c>
      <c r="I19" s="231" t="s">
        <v>287</v>
      </c>
      <c r="J19" s="259"/>
      <c r="K19" s="183"/>
      <c r="L19" s="336" t="s">
        <v>288</v>
      </c>
      <c r="M19" s="337"/>
      <c r="N19" s="191">
        <f>N17*N18</f>
        <v>0</v>
      </c>
      <c r="O19" s="25"/>
      <c r="P19" s="5"/>
      <c r="Q19" s="265"/>
      <c r="R19" s="5"/>
      <c r="S19" s="185" t="str">
        <f>B293</f>
        <v/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ht="16" x14ac:dyDescent="0.2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40"/>
      <c r="H20" s="203">
        <v>0</v>
      </c>
      <c r="I20" s="204">
        <f>450+200</f>
        <v>650</v>
      </c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ht="16" x14ac:dyDescent="0.2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>
        <v>1</v>
      </c>
      <c r="I21" s="204">
        <v>450</v>
      </c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>
        <v>2</v>
      </c>
      <c r="I22" s="204">
        <v>480</v>
      </c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">
      <c r="A23" s="192">
        <f>'Données projet'!A36</f>
        <v>44</v>
      </c>
      <c r="B23" s="193">
        <f>'Données projet'!D36</f>
        <v>74.010000000000005</v>
      </c>
      <c r="C23" s="206">
        <f>225*'Données projet'!E36+13.8*('Données projet'!F36+'Données projet'!G36)+10*'Données projet'!G36</f>
        <v>45</v>
      </c>
      <c r="D23" s="194">
        <f>B23*C23</f>
        <v>3330.4500000000003</v>
      </c>
      <c r="E23" s="206"/>
      <c r="F23" s="260"/>
      <c r="H23" s="203">
        <v>3</v>
      </c>
      <c r="I23" s="204">
        <v>500</v>
      </c>
      <c r="K23" s="224"/>
      <c r="L23" s="338" t="s">
        <v>260</v>
      </c>
      <c r="M23" s="338"/>
      <c r="N23" s="338"/>
      <c r="O23" s="25"/>
      <c r="P23" s="25"/>
      <c r="Q23" s="264"/>
      <c r="R23" s="25"/>
      <c r="S23" s="185" t="s">
        <v>264</v>
      </c>
      <c r="T23" s="33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-11813.811794447014</v>
      </c>
      <c r="U23" s="333"/>
      <c r="V23" s="333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">
      <c r="A24" s="192">
        <f>'Données projet'!A37</f>
        <v>51</v>
      </c>
      <c r="B24" s="193">
        <f>'Données projet'!D37</f>
        <v>46.13</v>
      </c>
      <c r="C24" s="206">
        <f>225*'Données projet'!E37+13.8*('Données projet'!F37+'Données projet'!G37)+10*'Données projet'!G37</f>
        <v>45</v>
      </c>
      <c r="D24" s="194">
        <f t="shared" ref="D24:D42" si="2">B24*C24</f>
        <v>2075.85</v>
      </c>
      <c r="E24" s="206"/>
      <c r="F24" s="263"/>
      <c r="H24" s="203">
        <v>4</v>
      </c>
      <c r="I24" s="204"/>
      <c r="K24" s="224"/>
      <c r="O24" s="25"/>
      <c r="P24" s="25"/>
      <c r="Q24" s="264"/>
      <c r="R24" s="25"/>
      <c r="S24" s="185" t="s">
        <v>261</v>
      </c>
      <c r="T24" s="334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4"/>
      <c r="V24" s="334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">
      <c r="A25" s="192">
        <f>'Données projet'!A38</f>
        <v>59</v>
      </c>
      <c r="B25" s="193">
        <f>'Données projet'!D38</f>
        <v>48.96</v>
      </c>
      <c r="C25" s="206">
        <f>225*'Données projet'!E38+13.8*('Données projet'!F38+'Données projet'!G38)+10*'Données projet'!G38</f>
        <v>45</v>
      </c>
      <c r="D25" s="194">
        <f t="shared" si="2"/>
        <v>2203.1999999999998</v>
      </c>
      <c r="E25" s="206"/>
      <c r="F25" s="263"/>
      <c r="G25" s="1"/>
      <c r="H25" s="203">
        <v>5</v>
      </c>
      <c r="I25" s="204"/>
      <c r="K25" s="224"/>
      <c r="L25" s="270" t="s">
        <v>285</v>
      </c>
      <c r="M25" s="270"/>
      <c r="N25" s="270"/>
      <c r="O25" s="270"/>
      <c r="P25" s="205">
        <v>0</v>
      </c>
      <c r="Q25" s="264"/>
      <c r="R25" s="25"/>
      <c r="S25" s="198" t="s">
        <v>266</v>
      </c>
      <c r="T25" s="335">
        <f ca="1">T23-T24</f>
        <v>-11813.811794447014</v>
      </c>
      <c r="U25" s="335"/>
      <c r="V25" s="33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">
      <c r="A26" s="192">
        <f>'Données projet'!A39</f>
        <v>67</v>
      </c>
      <c r="B26" s="193">
        <f>'Données projet'!D39</f>
        <v>40.630000000000003</v>
      </c>
      <c r="C26" s="206">
        <f>225*'Données projet'!E39+13.8*('Données projet'!F39+'Données projet'!G39)+10*'Données projet'!G39</f>
        <v>67.5</v>
      </c>
      <c r="D26" s="194">
        <f t="shared" si="2"/>
        <v>2742.5250000000001</v>
      </c>
      <c r="E26" s="206"/>
      <c r="F26" s="263"/>
      <c r="G26" s="258"/>
      <c r="H26" s="203"/>
      <c r="I26" s="204"/>
      <c r="K26" s="224"/>
      <c r="L26" s="322" t="s">
        <v>258</v>
      </c>
      <c r="M26" s="323"/>
      <c r="N26" s="323"/>
      <c r="O26" s="323"/>
      <c r="P26" s="324"/>
      <c r="Q26" s="264"/>
      <c r="R26" s="25"/>
      <c r="S26" s="198" t="s">
        <v>265</v>
      </c>
      <c r="T26" s="332" t="str">
        <f ca="1">IF(T25&lt;0,"Votre projet est additionnel","Votre projet n'est pas additionnel")</f>
        <v>Votre projet est additionnel</v>
      </c>
      <c r="U26" s="332"/>
      <c r="V26" s="332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">
      <c r="A27" s="192">
        <f>'Données projet'!A40</f>
        <v>75</v>
      </c>
      <c r="B27" s="193">
        <f>'Données projet'!D40</f>
        <v>39.54</v>
      </c>
      <c r="C27" s="206">
        <f>225*'Données projet'!E40+13.8*('Données projet'!F40+'Données projet'!G40)+10*'Données projet'!G40</f>
        <v>67.5</v>
      </c>
      <c r="D27" s="194">
        <f t="shared" si="2"/>
        <v>2668.95</v>
      </c>
      <c r="E27" s="206"/>
      <c r="F27" s="263"/>
      <c r="G27" s="258"/>
      <c r="H27" s="203"/>
      <c r="I27" s="204"/>
      <c r="K27" s="224"/>
      <c r="L27" s="325"/>
      <c r="M27" s="326"/>
      <c r="N27" s="326"/>
      <c r="O27" s="326"/>
      <c r="P27" s="327"/>
      <c r="Q27" s="264"/>
      <c r="R27" s="25"/>
      <c r="S27" s="331" t="s">
        <v>267</v>
      </c>
      <c r="T27" s="331"/>
      <c r="U27" s="331"/>
      <c r="V27" s="331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">
      <c r="A28" s="192">
        <f>'Données projet'!A41</f>
        <v>84</v>
      </c>
      <c r="B28" s="193">
        <f>'Données projet'!D41</f>
        <v>44.89</v>
      </c>
      <c r="C28" s="206">
        <f>225*'Données projet'!E41+13.8*('Données projet'!F41+'Données projet'!G41)+10*'Données projet'!G41</f>
        <v>90</v>
      </c>
      <c r="D28" s="194">
        <f t="shared" si="2"/>
        <v>4040.1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">
      <c r="A29" s="192">
        <f>'Données projet'!A42</f>
        <v>93</v>
      </c>
      <c r="B29" s="193">
        <f>'Données projet'!D42</f>
        <v>38.57</v>
      </c>
      <c r="C29" s="206">
        <f>225*'Données projet'!E42+13.8*('Données projet'!F42+'Données projet'!G42)+10*'Données projet'!G42</f>
        <v>90</v>
      </c>
      <c r="D29" s="194">
        <f t="shared" si="2"/>
        <v>3471.3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">
      <c r="A30" s="192">
        <f>'Données projet'!A43</f>
        <v>103</v>
      </c>
      <c r="B30" s="193">
        <f>'Données projet'!D43</f>
        <v>50.51</v>
      </c>
      <c r="C30" s="206">
        <f>225*'Données projet'!E43+13.8*('Données projet'!F43+'Données projet'!G43)+10*'Données projet'!G43</f>
        <v>112.5</v>
      </c>
      <c r="D30" s="194">
        <f t="shared" si="2"/>
        <v>5682.375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">
      <c r="A31" s="192">
        <f>'Données projet'!A44</f>
        <v>113</v>
      </c>
      <c r="B31" s="193">
        <f>'Données projet'!D44</f>
        <v>40.479999999999997</v>
      </c>
      <c r="C31" s="206">
        <f>225*'Données projet'!E44+13.8*('Données projet'!F44+'Données projet'!G44)+10*'Données projet'!G44</f>
        <v>112.5</v>
      </c>
      <c r="D31" s="194">
        <f t="shared" si="2"/>
        <v>4554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">
      <c r="A32" s="192">
        <f>'Données projet'!A45</f>
        <v>125</v>
      </c>
      <c r="B32" s="193">
        <f>'Données projet'!D45</f>
        <v>61.5</v>
      </c>
      <c r="C32" s="206">
        <f>225*'Données projet'!E45+13.8*('Données projet'!F45+'Données projet'!G45)+10*'Données projet'!G45</f>
        <v>135</v>
      </c>
      <c r="D32" s="194">
        <f t="shared" si="2"/>
        <v>8302.5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">
      <c r="A33" s="192">
        <f>'Données projet'!A46</f>
        <v>137</v>
      </c>
      <c r="B33" s="193">
        <f>'Données projet'!D46</f>
        <v>65.53</v>
      </c>
      <c r="C33" s="206">
        <f>225*'Données projet'!E46+13.8*('Données projet'!F46+'Données projet'!G46)+10*'Données projet'!G46</f>
        <v>157.5</v>
      </c>
      <c r="D33" s="194">
        <f t="shared" si="2"/>
        <v>10320.975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">
      <c r="A34" s="192">
        <f>'Données projet'!A47</f>
        <v>149</v>
      </c>
      <c r="B34" s="193">
        <f>'Données projet'!D47</f>
        <v>153.56</v>
      </c>
      <c r="C34" s="206">
        <f>225*'Données projet'!E47+13.8*('Données projet'!F47+'Données projet'!G47)+10*'Données projet'!G47</f>
        <v>157.5</v>
      </c>
      <c r="D34" s="194">
        <f t="shared" si="2"/>
        <v>24185.7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">
      <c r="A35" s="192">
        <f>'Données projet'!A48</f>
        <v>153</v>
      </c>
      <c r="B35" s="193">
        <f>'Données projet'!D48</f>
        <v>89.29</v>
      </c>
      <c r="C35" s="206">
        <f>225*'Données projet'!E48+13.8*('Données projet'!F48+'Données projet'!G48)+10*'Données projet'!G48</f>
        <v>157.5</v>
      </c>
      <c r="D35" s="194">
        <f t="shared" si="2"/>
        <v>14063.175000000001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">
      <c r="A36" s="192">
        <f>'Données projet'!A49</f>
        <v>157</v>
      </c>
      <c r="B36" s="193">
        <f>'Données projet'!D49</f>
        <v>57.95</v>
      </c>
      <c r="C36" s="206">
        <f>225*'Données projet'!E49+13.8*('Données projet'!F49+'Données projet'!G49)+10*'Données projet'!G49</f>
        <v>157.5</v>
      </c>
      <c r="D36" s="194">
        <f t="shared" si="2"/>
        <v>9127.125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">
      <c r="A37" s="192">
        <f>'Données projet'!A50</f>
        <v>161</v>
      </c>
      <c r="B37" s="193">
        <f>'Données projet'!D50</f>
        <v>115.43</v>
      </c>
      <c r="C37" s="206">
        <f>225*'Données projet'!E50+13.8*('Données projet'!F50+'Données projet'!G50)+10*'Données projet'!G50</f>
        <v>180</v>
      </c>
      <c r="D37" s="194">
        <f t="shared" si="2"/>
        <v>20777.400000000001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">
      <c r="A38" s="192">
        <f>'Données projet'!A51</f>
        <v>0</v>
      </c>
      <c r="B38" s="193">
        <f>'Données projet'!D51</f>
        <v>0</v>
      </c>
      <c r="C38" s="206">
        <f>225*'Données projet'!E51+13.8*('Données projet'!F51+'Données projet'!G51)+10*'Données projet'!G51</f>
        <v>0</v>
      </c>
      <c r="D38" s="194">
        <f t="shared" si="2"/>
        <v>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">
      <c r="A39" s="192">
        <f>'Données projet'!A52</f>
        <v>0</v>
      </c>
      <c r="B39" s="193">
        <f>'Données projet'!D52</f>
        <v>0</v>
      </c>
      <c r="C39" s="206">
        <f>225*'Données projet'!E52+13.8*('Données projet'!F52+'Données projet'!G52)+10*'Données projet'!G52</f>
        <v>0</v>
      </c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">
      <c r="A40" s="192">
        <f>'Données projet'!A53</f>
        <v>0</v>
      </c>
      <c r="B40" s="193">
        <f>'Données projet'!D53</f>
        <v>0</v>
      </c>
      <c r="C40" s="206">
        <f>225*'Données projet'!E53+13.8*('Données projet'!F53+'Données projet'!G53)+10*'Données projet'!G53</f>
        <v>0</v>
      </c>
      <c r="D40" s="194">
        <f t="shared" si="2"/>
        <v>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">
      <c r="A41" s="192">
        <f>'Données projet'!A54</f>
        <v>0</v>
      </c>
      <c r="B41" s="193">
        <f>'Données projet'!D54</f>
        <v>0</v>
      </c>
      <c r="C41" s="206">
        <f>225*'Données projet'!E54+13.8*('Données projet'!F54+'Données projet'!G54)+10*'Données projet'!G54</f>
        <v>0</v>
      </c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">
      <c r="A42" s="192">
        <f>'Données projet'!A55</f>
        <v>0</v>
      </c>
      <c r="B42" s="193">
        <f>'Données projet'!D55</f>
        <v>0</v>
      </c>
      <c r="C42" s="206">
        <f>225*'Données projet'!E55+13.8*('Données projet'!F55+'Données projet'!G55)+10*'Données projet'!G55</f>
        <v>0</v>
      </c>
      <c r="D42" s="194">
        <f t="shared" si="2"/>
        <v>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">
      <c r="A45" s="49" t="s">
        <v>166</v>
      </c>
      <c r="B45" s="186" t="str">
        <f>IF('Données projet'!$B$10="","",'Données projet'!$B$10)</f>
        <v>Hêtre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ht="16" x14ac:dyDescent="0.2">
      <c r="A48" s="209">
        <v>0</v>
      </c>
      <c r="B48" s="212" t="s">
        <v>132</v>
      </c>
      <c r="C48" s="211" t="s">
        <v>132</v>
      </c>
      <c r="D48" s="210" t="s">
        <v>132</v>
      </c>
      <c r="E48" s="206">
        <v>3497.6</v>
      </c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ht="16" x14ac:dyDescent="0.2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ht="16" x14ac:dyDescent="0.2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ht="16" x14ac:dyDescent="0.2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">
      <c r="A54" s="192">
        <f>'Données projet'!A62</f>
        <v>18</v>
      </c>
      <c r="B54" s="193">
        <f>'Données projet'!D62</f>
        <v>2</v>
      </c>
      <c r="C54" s="204">
        <f>47*'Données projet'!E62+13.8*('Données projet'!F62+'Données projet'!G62)+10*'Données projet'!H62</f>
        <v>10</v>
      </c>
      <c r="D54" s="191">
        <f>B54*C54</f>
        <v>20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">
      <c r="A55" s="192">
        <f>'Données projet'!A63</f>
        <v>21</v>
      </c>
      <c r="B55" s="193">
        <f>'Données projet'!D63</f>
        <v>8</v>
      </c>
      <c r="C55" s="204">
        <f>47*'Données projet'!E63+13.8*('Données projet'!F63+'Données projet'!G63)+10*'Données projet'!H63</f>
        <v>10</v>
      </c>
      <c r="D55" s="191">
        <f t="shared" ref="D55:D73" si="4">B55*C55</f>
        <v>80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">
      <c r="A56" s="192">
        <f>'Données projet'!A64</f>
        <v>24</v>
      </c>
      <c r="B56" s="193">
        <f>'Données projet'!D64</f>
        <v>47</v>
      </c>
      <c r="C56" s="204">
        <f>47*'Données projet'!E64+13.8*('Données projet'!F64+'Données projet'!G64)+10*'Données projet'!H64</f>
        <v>10</v>
      </c>
      <c r="D56" s="191">
        <f t="shared" si="4"/>
        <v>470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">
      <c r="A57" s="192">
        <f>'Données projet'!A65</f>
        <v>27</v>
      </c>
      <c r="B57" s="193">
        <f>'Données projet'!D65</f>
        <v>43</v>
      </c>
      <c r="C57" s="204">
        <f>47*'Données projet'!E65+13.8*('Données projet'!F65+'Données projet'!G65)+10*'Données projet'!H65</f>
        <v>10</v>
      </c>
      <c r="D57" s="191">
        <f t="shared" si="4"/>
        <v>430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">
      <c r="A58" s="192">
        <f>'Données projet'!A66</f>
        <v>30</v>
      </c>
      <c r="B58" s="193">
        <f>'Données projet'!D66</f>
        <v>48</v>
      </c>
      <c r="C58" s="204">
        <f>47*'Données projet'!E66+13.8*('Données projet'!F66+'Données projet'!G66)+10*'Données projet'!H66</f>
        <v>21.1</v>
      </c>
      <c r="D58" s="191">
        <f t="shared" si="4"/>
        <v>1012.8000000000001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">
      <c r="A59" s="192">
        <f>'Données projet'!A67</f>
        <v>36</v>
      </c>
      <c r="B59" s="193">
        <f>'Données projet'!D67</f>
        <v>92</v>
      </c>
      <c r="C59" s="204">
        <f>47*'Données projet'!E67+13.8*('Données projet'!F67+'Données projet'!G67)+10*'Données projet'!H67</f>
        <v>24.8</v>
      </c>
      <c r="D59" s="191">
        <f t="shared" si="4"/>
        <v>2281.6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">
      <c r="A60" s="192">
        <f>'Données projet'!A68</f>
        <v>42</v>
      </c>
      <c r="B60" s="193">
        <f>'Données projet'!D68</f>
        <v>90</v>
      </c>
      <c r="C60" s="204">
        <f>47*'Données projet'!E68+13.8*('Données projet'!F68+'Données projet'!G68)+10*'Données projet'!H68</f>
        <v>28.5</v>
      </c>
      <c r="D60" s="191">
        <f t="shared" si="4"/>
        <v>2565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">
      <c r="A61" s="192">
        <f>'Données projet'!A69</f>
        <v>51</v>
      </c>
      <c r="B61" s="193">
        <f>'Données projet'!D69</f>
        <v>119</v>
      </c>
      <c r="C61" s="204">
        <f>47*'Données projet'!E69+13.8*('Données projet'!F69+'Données projet'!G69)+10*'Données projet'!H69</f>
        <v>32.200000000000003</v>
      </c>
      <c r="D61" s="191">
        <f t="shared" si="4"/>
        <v>3831.8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">
      <c r="A62" s="192">
        <f>'Données projet'!A70</f>
        <v>63</v>
      </c>
      <c r="B62" s="193">
        <f>'Données projet'!D70</f>
        <v>124</v>
      </c>
      <c r="C62" s="204">
        <f>47*'Données projet'!E70+13.8*('Données projet'!F70+'Données projet'!G70)+10*'Données projet'!H70</f>
        <v>35.9</v>
      </c>
      <c r="D62" s="191">
        <f t="shared" si="4"/>
        <v>4451.5999999999995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">
      <c r="A63" s="192">
        <f>'Données projet'!A71</f>
        <v>90</v>
      </c>
      <c r="B63" s="193">
        <f>'Données projet'!D71</f>
        <v>705</v>
      </c>
      <c r="C63" s="204">
        <f>47*'Données projet'!E71+13.8*('Données projet'!F71+'Données projet'!G71)+10*'Données projet'!H71</f>
        <v>39.6</v>
      </c>
      <c r="D63" s="191">
        <f t="shared" si="4"/>
        <v>27918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">
      <c r="A64" s="192">
        <f>'Données projet'!A72</f>
        <v>0</v>
      </c>
      <c r="B64" s="193">
        <f>'Données projet'!D72</f>
        <v>0</v>
      </c>
      <c r="C64" s="204">
        <f>47*'Données projet'!E72+13.8*('Données projet'!F72+'Données projet'!G72)+10*'Données projet'!H72</f>
        <v>0</v>
      </c>
      <c r="D64" s="191">
        <f t="shared" si="4"/>
        <v>0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">
      <c r="A65" s="192">
        <f>'Données projet'!A73</f>
        <v>0</v>
      </c>
      <c r="B65" s="193">
        <f>'Données projet'!D73</f>
        <v>0</v>
      </c>
      <c r="C65" s="204">
        <f>47*'Données projet'!E73+13.8*('Données projet'!F73+'Données projet'!G73)+10*'Données projet'!H73</f>
        <v>0</v>
      </c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">
      <c r="A66" s="192">
        <f>'Données projet'!A74</f>
        <v>0</v>
      </c>
      <c r="B66" s="193">
        <f>'Données projet'!D74</f>
        <v>0</v>
      </c>
      <c r="C66" s="204">
        <f>47*'Données projet'!E74+13.8*('Données projet'!F74+'Données projet'!G74)+10*'Données projet'!H74</f>
        <v>0</v>
      </c>
      <c r="D66" s="191">
        <f t="shared" si="4"/>
        <v>0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">
      <c r="A67" s="192">
        <f>'Données projet'!A75</f>
        <v>0</v>
      </c>
      <c r="B67" s="193">
        <f>'Données projet'!D75</f>
        <v>0</v>
      </c>
      <c r="C67" s="204">
        <f>47*'Données projet'!E75+13.8*('Données projet'!F75+'Données projet'!G75)+10*'Données projet'!H75</f>
        <v>0</v>
      </c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">
      <c r="A68" s="192">
        <f>'Données projet'!A76</f>
        <v>0</v>
      </c>
      <c r="B68" s="193">
        <f>'Données projet'!D76</f>
        <v>0</v>
      </c>
      <c r="C68" s="204">
        <f>47*'Données projet'!E76+13.8*('Données projet'!F76+'Données projet'!G76)+10*'Données projet'!H76</f>
        <v>0</v>
      </c>
      <c r="D68" s="191">
        <f t="shared" si="4"/>
        <v>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">
      <c r="A69" s="192">
        <f>'Données projet'!A77</f>
        <v>0</v>
      </c>
      <c r="B69" s="193">
        <f>'Données projet'!D77</f>
        <v>0</v>
      </c>
      <c r="C69" s="204">
        <f>47*'Données projet'!E77+13.8*('Données projet'!F77+'Données projet'!G77)+10*'Données projet'!H77</f>
        <v>0</v>
      </c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">
      <c r="A70" s="192">
        <f>'Données projet'!A78</f>
        <v>0</v>
      </c>
      <c r="B70" s="193">
        <f>'Données projet'!D78</f>
        <v>0</v>
      </c>
      <c r="C70" s="204">
        <f>47*'Données projet'!E78+13.8*('Données projet'!F78+'Données projet'!G78)+10*'Données projet'!H78</f>
        <v>0</v>
      </c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">
      <c r="A71" s="192">
        <f>'Données projet'!A79</f>
        <v>0</v>
      </c>
      <c r="B71" s="193">
        <f>'Données projet'!D79</f>
        <v>0</v>
      </c>
      <c r="C71" s="204">
        <f>47*'Données projet'!E79+13.8*('Données projet'!F79+'Données projet'!G79)+10*'Données projet'!H79</f>
        <v>0</v>
      </c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">
      <c r="A72" s="192">
        <f>'Données projet'!A80</f>
        <v>0</v>
      </c>
      <c r="B72" s="193">
        <f>'Données projet'!D80</f>
        <v>0</v>
      </c>
      <c r="C72" s="204">
        <f>47*'Données projet'!E80+13.8*('Données projet'!F80+'Données projet'!G80)+10*'Données projet'!H80</f>
        <v>0</v>
      </c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">
      <c r="A73" s="192">
        <f>'Données projet'!A81</f>
        <v>0</v>
      </c>
      <c r="B73" s="193">
        <f>'Données projet'!D81</f>
        <v>0</v>
      </c>
      <c r="C73" s="204">
        <f>47*'Données projet'!E81+13.8*('Données projet'!F81+'Données projet'!G81)+10*'Données projet'!H81</f>
        <v>0</v>
      </c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">
      <c r="A76" s="49" t="s">
        <v>167</v>
      </c>
      <c r="B76" s="186" t="str">
        <f>IF('Données projet'!B11="","",'Données projet'!B11)</f>
        <v>Erable sycomore</v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ht="16" x14ac:dyDescent="0.2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ht="16" x14ac:dyDescent="0.2">
      <c r="A79" s="209">
        <v>0</v>
      </c>
      <c r="B79" s="212" t="s">
        <v>132</v>
      </c>
      <c r="C79" s="211" t="s">
        <v>132</v>
      </c>
      <c r="D79" s="210" t="s">
        <v>132</v>
      </c>
      <c r="E79" s="206">
        <v>3498</v>
      </c>
      <c r="F79" s="261"/>
      <c r="G79" s="222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ht="16" x14ac:dyDescent="0.2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6" x14ac:dyDescent="0.2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6" x14ac:dyDescent="0.2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6" x14ac:dyDescent="0.2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">
      <c r="A85" s="192">
        <f>'Données projet'!A88</f>
        <v>15</v>
      </c>
      <c r="B85" s="193">
        <f>'Données projet'!D88</f>
        <v>15</v>
      </c>
      <c r="C85" s="204">
        <f>60*'Données projet'!E88+13.8*('Données projet'!F88+'Données projet'!G88)+10*'Données projet'!H88</f>
        <v>10</v>
      </c>
      <c r="D85" s="191">
        <f>B85*C85</f>
        <v>150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">
      <c r="A86" s="192">
        <f>'Données projet'!A89</f>
        <v>20</v>
      </c>
      <c r="B86" s="193">
        <f>'Données projet'!D89</f>
        <v>28</v>
      </c>
      <c r="C86" s="204">
        <f>60*'Données projet'!E89+13.8*('Données projet'!F89+'Données projet'!G89)+10*'Données projet'!H89</f>
        <v>10</v>
      </c>
      <c r="D86" s="191">
        <f t="shared" ref="D86:D104" si="6">B86*C86</f>
        <v>280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">
      <c r="A87" s="192">
        <f>'Données projet'!A90</f>
        <v>25</v>
      </c>
      <c r="B87" s="193">
        <f>'Données projet'!D90</f>
        <v>28</v>
      </c>
      <c r="C87" s="204">
        <f>60*'Données projet'!E90+13.8*('Données projet'!F90+'Données projet'!G90)+10*'Données projet'!H90</f>
        <v>10</v>
      </c>
      <c r="D87" s="191">
        <f t="shared" si="6"/>
        <v>280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">
      <c r="A88" s="192">
        <f>'Données projet'!A91</f>
        <v>30</v>
      </c>
      <c r="B88" s="193">
        <f>'Données projet'!D91</f>
        <v>28</v>
      </c>
      <c r="C88" s="204">
        <f>60*'Données projet'!E91+13.8*('Données projet'!F91+'Données projet'!G91)+10*'Données projet'!H91</f>
        <v>10</v>
      </c>
      <c r="D88" s="191">
        <f t="shared" si="6"/>
        <v>280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">
      <c r="A89" s="192">
        <f>'Données projet'!A92</f>
        <v>35</v>
      </c>
      <c r="B89" s="193">
        <f>'Données projet'!D92</f>
        <v>28</v>
      </c>
      <c r="C89" s="204">
        <f>60*'Données projet'!E92+13.8*('Données projet'!F92+'Données projet'!G92)+10*'Données projet'!H92</f>
        <v>20</v>
      </c>
      <c r="D89" s="191">
        <f t="shared" si="6"/>
        <v>560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">
      <c r="A90" s="192">
        <f>'Données projet'!A93</f>
        <v>40</v>
      </c>
      <c r="B90" s="193">
        <f>'Données projet'!D93</f>
        <v>28</v>
      </c>
      <c r="C90" s="204">
        <f>60*'Données projet'!E93+13.8*('Données projet'!F93+'Données projet'!G93)+10*'Données projet'!H93</f>
        <v>25</v>
      </c>
      <c r="D90" s="191">
        <f t="shared" si="6"/>
        <v>700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">
      <c r="A91" s="192">
        <f>'Données projet'!A94</f>
        <v>45</v>
      </c>
      <c r="B91" s="193">
        <f>'Données projet'!D94</f>
        <v>22</v>
      </c>
      <c r="C91" s="204">
        <f>60*'Données projet'!E94+13.8*('Données projet'!F94+'Données projet'!G94)+10*'Données projet'!H94</f>
        <v>30</v>
      </c>
      <c r="D91" s="191">
        <f t="shared" si="6"/>
        <v>660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">
      <c r="A92" s="192">
        <f>'Données projet'!A95</f>
        <v>50</v>
      </c>
      <c r="B92" s="193">
        <f>'Données projet'!D95</f>
        <v>17</v>
      </c>
      <c r="C92" s="204">
        <f>60*'Données projet'!E95+13.8*('Données projet'!F95+'Données projet'!G95)+10*'Données projet'!H95</f>
        <v>35</v>
      </c>
      <c r="D92" s="191">
        <f t="shared" si="6"/>
        <v>595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">
      <c r="A93" s="192">
        <f>'Données projet'!A96</f>
        <v>55</v>
      </c>
      <c r="B93" s="193">
        <f>'Données projet'!D96</f>
        <v>13</v>
      </c>
      <c r="C93" s="204">
        <f>60*'Données projet'!E96+13.8*('Données projet'!F96+'Données projet'!G96)+10*'Données projet'!H96</f>
        <v>35</v>
      </c>
      <c r="D93" s="191">
        <f t="shared" si="6"/>
        <v>455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">
      <c r="A94" s="192">
        <f>'Données projet'!A97</f>
        <v>60</v>
      </c>
      <c r="B94" s="193">
        <f>'Données projet'!D97</f>
        <v>12</v>
      </c>
      <c r="C94" s="204">
        <f>60*'Données projet'!E97+13.8*('Données projet'!F97+'Données projet'!G97)+10*'Données projet'!H97</f>
        <v>40</v>
      </c>
      <c r="D94" s="191">
        <f t="shared" si="6"/>
        <v>480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">
      <c r="A95" s="192">
        <f>'Données projet'!A98</f>
        <v>65</v>
      </c>
      <c r="B95" s="193">
        <f>'Données projet'!D98</f>
        <v>11</v>
      </c>
      <c r="C95" s="204">
        <f>60*'Données projet'!E98+13.8*('Données projet'!F98+'Données projet'!G98)+10*'Données projet'!H98</f>
        <v>40</v>
      </c>
      <c r="D95" s="191">
        <f t="shared" si="6"/>
        <v>440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">
      <c r="A96" s="192">
        <f>'Données projet'!A99</f>
        <v>70</v>
      </c>
      <c r="B96" s="193">
        <f>'Données projet'!D99</f>
        <v>10</v>
      </c>
      <c r="C96" s="204">
        <f>60*'Données projet'!E99+13.8*('Données projet'!F99+'Données projet'!G99)+10*'Données projet'!H99</f>
        <v>45</v>
      </c>
      <c r="D96" s="191">
        <f t="shared" si="6"/>
        <v>450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0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">
      <c r="A97" s="192">
        <f>'Données projet'!A100</f>
        <v>75</v>
      </c>
      <c r="B97" s="193">
        <f>'Données projet'!D100</f>
        <v>9</v>
      </c>
      <c r="C97" s="204">
        <f>60*'Données projet'!E100+13.8*('Données projet'!F100+'Données projet'!G100)+10*'Données projet'!H100</f>
        <v>45</v>
      </c>
      <c r="D97" s="191">
        <f t="shared" si="6"/>
        <v>405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0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">
      <c r="A98" s="192">
        <f>'Données projet'!A101</f>
        <v>80</v>
      </c>
      <c r="B98" s="193">
        <f>'Données projet'!D101</f>
        <v>275</v>
      </c>
      <c r="C98" s="204">
        <f>60*'Données projet'!E101+13.8*('Données projet'!F101+'Données projet'!G101)+10*'Données projet'!H101</f>
        <v>50</v>
      </c>
      <c r="D98" s="191">
        <f t="shared" si="6"/>
        <v>13750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0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">
      <c r="A99" s="192">
        <f>'Données projet'!A102</f>
        <v>0</v>
      </c>
      <c r="B99" s="193">
        <f>'Données projet'!D102</f>
        <v>0</v>
      </c>
      <c r="C99" s="204">
        <f>60*'Données projet'!E102+13.8*('Données projet'!F102+'Données projet'!G102)+10*'Données projet'!H102</f>
        <v>0</v>
      </c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0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">
      <c r="A100" s="192">
        <f>'Données projet'!A103</f>
        <v>0</v>
      </c>
      <c r="B100" s="193">
        <f>'Données projet'!D103</f>
        <v>0</v>
      </c>
      <c r="C100" s="204">
        <f>60*'Données projet'!E103+13.8*('Données projet'!F103+'Données projet'!G103)+10*'Données projet'!H103</f>
        <v>0</v>
      </c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0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">
      <c r="A101" s="192">
        <f>'Données projet'!A104</f>
        <v>0</v>
      </c>
      <c r="B101" s="193">
        <f>'Données projet'!D104</f>
        <v>0</v>
      </c>
      <c r="C101" s="204">
        <f>60*'Données projet'!E104+13.8*('Données projet'!F104+'Données projet'!G104)+10*'Données projet'!H104</f>
        <v>0</v>
      </c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0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">
      <c r="A102" s="192">
        <f>'Données projet'!A105</f>
        <v>0</v>
      </c>
      <c r="B102" s="193">
        <f>'Données projet'!D105</f>
        <v>0</v>
      </c>
      <c r="C102" s="204">
        <f>60*'Données projet'!E105+13.8*('Données projet'!F105+'Données projet'!G105)+10*'Données projet'!H105</f>
        <v>0</v>
      </c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0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">
      <c r="A103" s="192">
        <f>'Données projet'!A106</f>
        <v>0</v>
      </c>
      <c r="B103" s="193">
        <f>'Données projet'!D106</f>
        <v>0</v>
      </c>
      <c r="C103" s="204">
        <f>60*'Données projet'!E106+13.8*('Données projet'!F106+'Données projet'!G106)+10*'Données projet'!H106</f>
        <v>0</v>
      </c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 t="str">
        <f>IF(O102+1&lt;=MIN('Données projet'!$E$9:$E$18),O102+1,"STOP")</f>
        <v>STOP</v>
      </c>
      <c r="P103" s="197" t="e">
        <f t="shared" si="7"/>
        <v>#VALUE!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">
      <c r="A104" s="192">
        <f>'Données projet'!A107</f>
        <v>0</v>
      </c>
      <c r="B104" s="193">
        <f>'Données projet'!D107</f>
        <v>0</v>
      </c>
      <c r="C104" s="204">
        <f>60*'Données projet'!E107+13.8*('Données projet'!F107+'Données projet'!G107)+10*'Données projet'!H107</f>
        <v>0</v>
      </c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">
      <c r="A107" s="49" t="s">
        <v>168</v>
      </c>
      <c r="B107" s="186" t="str">
        <f>IF('Données projet'!B12="","",'Données projet'!B12)</f>
        <v>Merisier</v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6" x14ac:dyDescent="0.2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6" x14ac:dyDescent="0.2">
      <c r="A110" s="209">
        <v>0</v>
      </c>
      <c r="B110" s="212" t="s">
        <v>132</v>
      </c>
      <c r="C110" s="211" t="s">
        <v>132</v>
      </c>
      <c r="D110" s="210" t="s">
        <v>132</v>
      </c>
      <c r="E110" s="206">
        <v>3498</v>
      </c>
      <c r="F110" s="261"/>
      <c r="G110" s="222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6" x14ac:dyDescent="0.2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ht="16" x14ac:dyDescent="0.2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ht="16" x14ac:dyDescent="0.2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ht="16" x14ac:dyDescent="0.2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">
      <c r="A116" s="192">
        <f>'Données projet'!A114</f>
        <v>15</v>
      </c>
      <c r="B116" s="193">
        <f>'Données projet'!D114</f>
        <v>1.92</v>
      </c>
      <c r="C116" s="204">
        <f>80*'Données projet'!E114+13.8*('Données projet'!F114+'Données projet'!G114)+10*'Données projet'!H114</f>
        <v>10</v>
      </c>
      <c r="D116" s="191">
        <f>B116*C116</f>
        <v>19.2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">
      <c r="A117" s="192">
        <f>'Données projet'!A115</f>
        <v>20</v>
      </c>
      <c r="B117" s="193">
        <f>'Données projet'!D115</f>
        <v>16.03</v>
      </c>
      <c r="C117" s="204">
        <f>80*'Données projet'!E115+13.8*('Données projet'!F115+'Données projet'!G115)+10*'Données projet'!H115</f>
        <v>10</v>
      </c>
      <c r="D117" s="191">
        <f t="shared" ref="D117:D135" si="8">B117*C117</f>
        <v>160.30000000000001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">
      <c r="A118" s="192">
        <f>'Données projet'!A116</f>
        <v>25</v>
      </c>
      <c r="B118" s="193">
        <f>'Données projet'!D116</f>
        <v>17.309999999999999</v>
      </c>
      <c r="C118" s="204">
        <f>80*'Données projet'!E116+13.8*('Données projet'!F116+'Données projet'!G116)+10*'Données projet'!H116</f>
        <v>10</v>
      </c>
      <c r="D118" s="191">
        <f t="shared" si="8"/>
        <v>173.1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">
      <c r="A119" s="192">
        <f>'Données projet'!A117</f>
        <v>31</v>
      </c>
      <c r="B119" s="193">
        <f>'Données projet'!D117</f>
        <v>23.08</v>
      </c>
      <c r="C119" s="204">
        <f>80*'Données projet'!E117+13.8*('Données projet'!F117+'Données projet'!G117)+10*'Données projet'!H117</f>
        <v>31</v>
      </c>
      <c r="D119" s="191">
        <f t="shared" si="8"/>
        <v>715.4799999999999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">
      <c r="A120" s="192">
        <f>'Données projet'!A118</f>
        <v>37</v>
      </c>
      <c r="B120" s="193">
        <f>'Données projet'!D118</f>
        <v>23.08</v>
      </c>
      <c r="C120" s="204">
        <f>80*'Données projet'!E118+13.8*('Données projet'!F118+'Données projet'!G118)+10*'Données projet'!H118</f>
        <v>38</v>
      </c>
      <c r="D120" s="191">
        <f t="shared" si="8"/>
        <v>877.04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">
      <c r="A121" s="192">
        <f>'Données projet'!A119</f>
        <v>44</v>
      </c>
      <c r="B121" s="193">
        <f>'Données projet'!D119</f>
        <v>27.56</v>
      </c>
      <c r="C121" s="204">
        <f>80*'Données projet'!E119+13.8*('Données projet'!F119+'Données projet'!G119)+10*'Données projet'!H119</f>
        <v>45</v>
      </c>
      <c r="D121" s="191">
        <f t="shared" si="8"/>
        <v>1240.2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">
      <c r="A122" s="192">
        <f>'Données projet'!A120</f>
        <v>52</v>
      </c>
      <c r="B122" s="193">
        <f>'Données projet'!D120</f>
        <v>30.77</v>
      </c>
      <c r="C122" s="204">
        <f>80*'Données projet'!E120+13.8*('Données projet'!F120+'Données projet'!G120)+10*'Données projet'!H120</f>
        <v>52</v>
      </c>
      <c r="D122" s="191">
        <f t="shared" si="8"/>
        <v>1600.04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">
      <c r="A123" s="192">
        <f>'Données projet'!A121</f>
        <v>60</v>
      </c>
      <c r="B123" s="193">
        <f>'Données projet'!D121</f>
        <v>30.13</v>
      </c>
      <c r="C123" s="204">
        <f>80*'Données projet'!E121+13.8*('Données projet'!F121+'Données projet'!G121)+10*'Données projet'!H121</f>
        <v>59</v>
      </c>
      <c r="D123" s="191">
        <f t="shared" si="8"/>
        <v>1777.6699999999998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">
      <c r="A124" s="192">
        <f>'Données projet'!A122</f>
        <v>69</v>
      </c>
      <c r="B124" s="193">
        <f>'Données projet'!D122</f>
        <v>210.26</v>
      </c>
      <c r="C124" s="204">
        <f>80*'Données projet'!E122+13.8*('Données projet'!F122+'Données projet'!G122)+10*'Données projet'!H122</f>
        <v>66</v>
      </c>
      <c r="D124" s="191">
        <f t="shared" si="8"/>
        <v>13877.16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">
      <c r="A125" s="192">
        <f>'Données projet'!A123</f>
        <v>0</v>
      </c>
      <c r="B125" s="193">
        <f>'Données projet'!D123</f>
        <v>0</v>
      </c>
      <c r="C125" s="204">
        <f>80*'Données projet'!E123+13.8*('Données projet'!F123+'Données projet'!G123)+10*'Données projet'!H123</f>
        <v>0</v>
      </c>
      <c r="D125" s="191">
        <f t="shared" si="8"/>
        <v>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">
      <c r="A126" s="192">
        <f>'Données projet'!A124</f>
        <v>0</v>
      </c>
      <c r="B126" s="193">
        <f>'Données projet'!D124</f>
        <v>0</v>
      </c>
      <c r="C126" s="204">
        <f>80*'Données projet'!E124+13.8*('Données projet'!F124+'Données projet'!G124)+10*'Données projet'!H124</f>
        <v>0</v>
      </c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">
      <c r="A127" s="192">
        <f>'Données projet'!A125</f>
        <v>0</v>
      </c>
      <c r="B127" s="193">
        <f>'Données projet'!D125</f>
        <v>0</v>
      </c>
      <c r="C127" s="204">
        <f>80*'Données projet'!E125+13.8*('Données projet'!F125+'Données projet'!G125)+10*'Données projet'!H125</f>
        <v>0</v>
      </c>
      <c r="D127" s="191">
        <f t="shared" si="8"/>
        <v>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">
      <c r="A128" s="192">
        <f>'Données projet'!A126</f>
        <v>0</v>
      </c>
      <c r="B128" s="193">
        <f>'Données projet'!D126</f>
        <v>0</v>
      </c>
      <c r="C128" s="204">
        <f>80*'Données projet'!E126+13.8*('Données projet'!F126+'Données projet'!G126)+10*'Données projet'!H126</f>
        <v>0</v>
      </c>
      <c r="D128" s="191">
        <f t="shared" si="8"/>
        <v>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">
      <c r="A129" s="192">
        <f>'Données projet'!A127</f>
        <v>0</v>
      </c>
      <c r="B129" s="193">
        <f>'Données projet'!D127</f>
        <v>0</v>
      </c>
      <c r="C129" s="204">
        <f>80*'Données projet'!E127+13.8*('Données projet'!F127+'Données projet'!G127)+10*'Données projet'!H127</f>
        <v>0</v>
      </c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">
      <c r="A130" s="192">
        <f>'Données projet'!A128</f>
        <v>0</v>
      </c>
      <c r="B130" s="193">
        <f>'Données projet'!D128</f>
        <v>0</v>
      </c>
      <c r="C130" s="204">
        <f>80*'Données projet'!E128+13.8*('Données projet'!F128+'Données projet'!G128)+10*'Données projet'!H128</f>
        <v>0</v>
      </c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">
      <c r="A131" s="192">
        <f>'Données projet'!A129</f>
        <v>0</v>
      </c>
      <c r="B131" s="193">
        <f>'Données projet'!D129</f>
        <v>0</v>
      </c>
      <c r="C131" s="204">
        <f>80*'Données projet'!E129+13.8*('Données projet'!F129+'Données projet'!G129)+10*'Données projet'!H129</f>
        <v>0</v>
      </c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">
      <c r="A132" s="192">
        <f>'Données projet'!A130</f>
        <v>0</v>
      </c>
      <c r="B132" s="193">
        <f>'Données projet'!D130</f>
        <v>0</v>
      </c>
      <c r="C132" s="204">
        <f>80*'Données projet'!E130+13.8*('Données projet'!F130+'Données projet'!G130)+10*'Données projet'!H130</f>
        <v>0</v>
      </c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">
      <c r="A133" s="192">
        <f>'Données projet'!A131</f>
        <v>0</v>
      </c>
      <c r="B133" s="193">
        <f>'Données projet'!D131</f>
        <v>0</v>
      </c>
      <c r="C133" s="204">
        <f>80*'Données projet'!E131+13.8*('Données projet'!F131+'Données projet'!G131)+10*'Données projet'!H131</f>
        <v>0</v>
      </c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">
      <c r="A134" s="192">
        <f>'Données projet'!A132</f>
        <v>0</v>
      </c>
      <c r="B134" s="193">
        <f>'Données projet'!D132</f>
        <v>0</v>
      </c>
      <c r="C134" s="204">
        <f>80*'Données projet'!E132+13.8*('Données projet'!F132+'Données projet'!G132)+10*'Données projet'!H132</f>
        <v>0</v>
      </c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">
      <c r="A135" s="192">
        <f>'Données projet'!A133</f>
        <v>0</v>
      </c>
      <c r="B135" s="193">
        <f>'Données projet'!D133</f>
        <v>0</v>
      </c>
      <c r="C135" s="204">
        <f>80*'Données projet'!E133+13.8*('Données projet'!F133+'Données projet'!G133)+10*'Données projet'!H133</f>
        <v>0</v>
      </c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">
      <c r="A138" s="49" t="s">
        <v>169</v>
      </c>
      <c r="B138" s="186" t="str">
        <f>IF('Données projet'!B13="","",'Données projet'!B13)</f>
        <v>Mélèze hybride</v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ht="16" x14ac:dyDescent="0.2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ht="16" x14ac:dyDescent="0.2">
      <c r="A141" s="209">
        <v>0</v>
      </c>
      <c r="B141" s="212" t="s">
        <v>132</v>
      </c>
      <c r="C141" s="211" t="s">
        <v>132</v>
      </c>
      <c r="D141" s="210" t="s">
        <v>132</v>
      </c>
      <c r="E141" s="206">
        <v>3721.6</v>
      </c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ht="16" x14ac:dyDescent="0.2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ht="16" x14ac:dyDescent="0.2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ht="16" x14ac:dyDescent="0.2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ht="16" x14ac:dyDescent="0.2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">
      <c r="A147" s="45">
        <f>'Données projet'!A140</f>
        <v>10</v>
      </c>
      <c r="B147" s="187">
        <f>'Données projet'!D140</f>
        <v>0</v>
      </c>
      <c r="C147" s="204">
        <f>50*'Données projet'!E140+19.4*('Données projet'!F140+'Données projet'!G140)+10*'Données projet'!H140</f>
        <v>19.399999999999999</v>
      </c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">
      <c r="A148" s="45">
        <f>'Données projet'!A141</f>
        <v>15</v>
      </c>
      <c r="B148" s="187">
        <f>'Données projet'!D141</f>
        <v>39</v>
      </c>
      <c r="C148" s="204">
        <f>50*'Données projet'!E141+19.4*('Données projet'!F141+'Données projet'!G141)+10*'Données projet'!H141</f>
        <v>19.399999999999999</v>
      </c>
      <c r="D148" s="194">
        <f t="shared" ref="D148:D166" si="10">B148*C148</f>
        <v>756.59999999999991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">
      <c r="A149" s="45">
        <f>'Données projet'!A142</f>
        <v>20</v>
      </c>
      <c r="B149" s="187">
        <f>'Données projet'!D142</f>
        <v>42</v>
      </c>
      <c r="C149" s="204">
        <f>50*'Données projet'!E142+19.4*('Données projet'!F142+'Données projet'!G142)+10*'Données projet'!H142</f>
        <v>25.52</v>
      </c>
      <c r="D149" s="194">
        <f t="shared" si="10"/>
        <v>1071.8399999999999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">
      <c r="A150" s="45">
        <f>'Données projet'!A143</f>
        <v>25</v>
      </c>
      <c r="B150" s="187">
        <f>'Données projet'!D143</f>
        <v>42</v>
      </c>
      <c r="C150" s="204">
        <f>50*'Données projet'!E143+19.4*('Données projet'!F143+'Données projet'!G143)+10*'Données projet'!H143</f>
        <v>25.52</v>
      </c>
      <c r="D150" s="194">
        <f t="shared" si="10"/>
        <v>1071.8399999999999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">
      <c r="A151" s="45">
        <f>'Données projet'!A144</f>
        <v>30</v>
      </c>
      <c r="B151" s="187">
        <f>'Données projet'!D144</f>
        <v>42</v>
      </c>
      <c r="C151" s="204">
        <f>50*'Données projet'!E144+19.4*('Données projet'!F144+'Données projet'!G144)+10*'Données projet'!H144</f>
        <v>28.58</v>
      </c>
      <c r="D151" s="194">
        <f t="shared" si="10"/>
        <v>1200.3599999999999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">
      <c r="A152" s="45">
        <f>'Données projet'!A145</f>
        <v>35</v>
      </c>
      <c r="B152" s="187">
        <f>'Données projet'!D145</f>
        <v>42</v>
      </c>
      <c r="C152" s="204">
        <f>50*'Données projet'!E145+19.4*('Données projet'!F145+'Données projet'!G145)+10*'Données projet'!H145</f>
        <v>31.64</v>
      </c>
      <c r="D152" s="194">
        <f t="shared" si="10"/>
        <v>1328.88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">
      <c r="A153" s="45">
        <f>'Données projet'!A146</f>
        <v>40</v>
      </c>
      <c r="B153" s="187">
        <f>'Données projet'!D146</f>
        <v>38</v>
      </c>
      <c r="C153" s="204">
        <f>50*'Données projet'!E146+19.4*('Données projet'!F146+'Données projet'!G146)+10*'Données projet'!H146</f>
        <v>31.64</v>
      </c>
      <c r="D153" s="194">
        <f t="shared" si="10"/>
        <v>1202.32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">
      <c r="A154" s="45">
        <f>'Données projet'!A147</f>
        <v>45</v>
      </c>
      <c r="B154" s="187">
        <f>'Données projet'!D147</f>
        <v>34</v>
      </c>
      <c r="C154" s="204">
        <f>50*'Données projet'!E147+19.4*('Données projet'!F147+'Données projet'!G147)+10*'Données projet'!H147</f>
        <v>34.700000000000003</v>
      </c>
      <c r="D154" s="194">
        <f t="shared" si="10"/>
        <v>1179.8000000000002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">
      <c r="A155" s="45">
        <f>'Données projet'!A148</f>
        <v>50</v>
      </c>
      <c r="B155" s="187">
        <f>'Données projet'!D148</f>
        <v>31</v>
      </c>
      <c r="C155" s="204">
        <f>50*'Données projet'!E148+19.4*('Données projet'!F148+'Données projet'!G148)+10*'Données projet'!H148</f>
        <v>34.700000000000003</v>
      </c>
      <c r="D155" s="194">
        <f t="shared" si="10"/>
        <v>1075.7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">
      <c r="A156" s="45">
        <f>'Données projet'!A149</f>
        <v>55</v>
      </c>
      <c r="B156" s="187">
        <f>'Données projet'!D149</f>
        <v>29</v>
      </c>
      <c r="C156" s="204">
        <f>50*'Données projet'!E149+19.4*('Données projet'!F149+'Données projet'!G149)+10*'Données projet'!H149</f>
        <v>37.76</v>
      </c>
      <c r="D156" s="194">
        <f t="shared" si="10"/>
        <v>1095.04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">
      <c r="A157" s="45">
        <f>'Données projet'!A150</f>
        <v>60</v>
      </c>
      <c r="B157" s="187">
        <f>'Données projet'!D150</f>
        <v>27</v>
      </c>
      <c r="C157" s="204">
        <f>50*'Données projet'!E150+19.4*('Données projet'!F150+'Données projet'!G150)+10*'Données projet'!H150</f>
        <v>37.76</v>
      </c>
      <c r="D157" s="194">
        <f t="shared" si="10"/>
        <v>1019.52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">
      <c r="A158" s="45">
        <f>'Données projet'!A151</f>
        <v>65</v>
      </c>
      <c r="B158" s="187">
        <f>'Données projet'!D151</f>
        <v>26</v>
      </c>
      <c r="C158" s="204">
        <f>50*'Données projet'!E151+19.4*('Données projet'!F151+'Données projet'!G151)+10*'Données projet'!H151</f>
        <v>40.82</v>
      </c>
      <c r="D158" s="194">
        <f t="shared" si="10"/>
        <v>1061.32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">
      <c r="A159" s="45">
        <f>'Données projet'!A152</f>
        <v>70</v>
      </c>
      <c r="B159" s="187">
        <f>'Données projet'!D152</f>
        <v>26</v>
      </c>
      <c r="C159" s="204">
        <f>50*'Données projet'!E152+19.4*('Données projet'!F152+'Données projet'!G152)+10*'Données projet'!H152</f>
        <v>40.82</v>
      </c>
      <c r="D159" s="194">
        <f t="shared" si="10"/>
        <v>1061.32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">
      <c r="A160" s="45">
        <f>'Données projet'!A153</f>
        <v>75</v>
      </c>
      <c r="B160" s="187">
        <f>'Données projet'!D153</f>
        <v>26</v>
      </c>
      <c r="C160" s="204">
        <f>50*'Données projet'!E153+19.4*('Données projet'!F153+'Données projet'!G153)+10*'Données projet'!H153</f>
        <v>43.88</v>
      </c>
      <c r="D160" s="194">
        <f t="shared" si="10"/>
        <v>1140.8800000000001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">
      <c r="A161" s="45">
        <f>'Données projet'!A154</f>
        <v>80</v>
      </c>
      <c r="B161" s="187">
        <f>'Données projet'!D154</f>
        <v>407</v>
      </c>
      <c r="C161" s="204">
        <f>50*'Données projet'!E154+19.4*('Données projet'!F154+'Données projet'!G154)+10*'Données projet'!H154</f>
        <v>43.88</v>
      </c>
      <c r="D161" s="194">
        <f t="shared" si="10"/>
        <v>17859.16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">
      <c r="A162" s="45">
        <f>'Données projet'!A155</f>
        <v>0</v>
      </c>
      <c r="B162" s="187">
        <f>'Données projet'!D155</f>
        <v>0</v>
      </c>
      <c r="C162" s="204">
        <f>50*'Données projet'!E155+19.4*('Données projet'!F155+'Données projet'!G155)+10*'Données projet'!H155</f>
        <v>0</v>
      </c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">
      <c r="A163" s="45">
        <f>'Données projet'!A156</f>
        <v>0</v>
      </c>
      <c r="B163" s="187">
        <f>'Données projet'!D156</f>
        <v>0</v>
      </c>
      <c r="C163" s="204">
        <f>50*'Données projet'!E156+19.4*('Données projet'!F156+'Données projet'!G156)+10*'Données projet'!H156</f>
        <v>0</v>
      </c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">
      <c r="A164" s="45">
        <f>'Données projet'!A157</f>
        <v>0</v>
      </c>
      <c r="B164" s="187">
        <f>'Données projet'!D157</f>
        <v>0</v>
      </c>
      <c r="C164" s="204">
        <f>50*'Données projet'!E157+19.4*('Données projet'!F157+'Données projet'!G157)+10*'Données projet'!H157</f>
        <v>0</v>
      </c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">
      <c r="A165" s="45">
        <f>'Données projet'!A158</f>
        <v>0</v>
      </c>
      <c r="B165" s="187">
        <f>'Données projet'!D158</f>
        <v>0</v>
      </c>
      <c r="C165" s="204">
        <f>50*'Données projet'!E158+19.4*('Données projet'!F158+'Données projet'!G158)+10*'Données projet'!H158</f>
        <v>0</v>
      </c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">
      <c r="A166" s="45">
        <f>'Données projet'!A159</f>
        <v>0</v>
      </c>
      <c r="B166" s="187">
        <f>'Données projet'!D159</f>
        <v>0</v>
      </c>
      <c r="C166" s="204">
        <f>50*'Données projet'!E159+19.4*('Données projet'!F159+'Données projet'!G159)+10*'Données projet'!H159</f>
        <v>0</v>
      </c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ht="16" x14ac:dyDescent="0.2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ht="16" x14ac:dyDescent="0.2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ht="16" x14ac:dyDescent="0.2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ht="16" x14ac:dyDescent="0.2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ht="16" x14ac:dyDescent="0.2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ht="16" x14ac:dyDescent="0.2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">
      <c r="A178" s="192">
        <f>'Données projet'!A166</f>
        <v>0</v>
      </c>
      <c r="B178" s="193">
        <f>'Données projet'!D166</f>
        <v>0</v>
      </c>
      <c r="C178" s="206">
        <f>225*'Données projet'!E166+13.8*('Données projet'!F166+'Données projet'!G168)+10*'Données projet'!H166</f>
        <v>0</v>
      </c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">
      <c r="A179" s="192">
        <f>'Données projet'!A167</f>
        <v>0</v>
      </c>
      <c r="B179" s="193">
        <f>'Données projet'!D167</f>
        <v>0</v>
      </c>
      <c r="C179" s="206">
        <f>225*'Données projet'!E167+13.8*('Données projet'!F167+'Données projet'!G169)+10*'Données projet'!H167</f>
        <v>0</v>
      </c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">
      <c r="A180" s="192">
        <f>'Données projet'!A168</f>
        <v>0</v>
      </c>
      <c r="B180" s="193">
        <f>'Données projet'!D168</f>
        <v>0</v>
      </c>
      <c r="C180" s="206">
        <f>225*'Données projet'!E168+13.8*('Données projet'!F168+'Données projet'!G170)+10*'Données projet'!H168</f>
        <v>0</v>
      </c>
      <c r="D180" s="191">
        <f t="shared" si="11"/>
        <v>0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">
      <c r="A181" s="192">
        <f>'Données projet'!A169</f>
        <v>0</v>
      </c>
      <c r="B181" s="193">
        <f>'Données projet'!D169</f>
        <v>0</v>
      </c>
      <c r="C181" s="206">
        <f>225*'Données projet'!E169+13.8*('Données projet'!F169+'Données projet'!G171)+10*'Données projet'!H169</f>
        <v>0</v>
      </c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">
      <c r="A182" s="192">
        <f>'Données projet'!A170</f>
        <v>0</v>
      </c>
      <c r="B182" s="193">
        <f>'Données projet'!D170</f>
        <v>0</v>
      </c>
      <c r="C182" s="206">
        <f>225*'Données projet'!E170+13.8*('Données projet'!F170+'Données projet'!G172)+10*'Données projet'!H170</f>
        <v>0</v>
      </c>
      <c r="D182" s="191">
        <f t="shared" si="11"/>
        <v>0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">
      <c r="A183" s="192">
        <f>'Données projet'!A171</f>
        <v>0</v>
      </c>
      <c r="B183" s="193">
        <f>'Données projet'!D171</f>
        <v>0</v>
      </c>
      <c r="C183" s="206">
        <f>225*'Données projet'!E171+13.8*('Données projet'!F171+'Données projet'!G173)+10*'Données projet'!H171</f>
        <v>0</v>
      </c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">
      <c r="A184" s="192">
        <f>'Données projet'!A172</f>
        <v>0</v>
      </c>
      <c r="B184" s="193">
        <f>'Données projet'!D172</f>
        <v>0</v>
      </c>
      <c r="C184" s="206">
        <f>225*'Données projet'!E172+13.8*('Données projet'!F172+'Données projet'!G174)+10*'Données projet'!H172</f>
        <v>0</v>
      </c>
      <c r="D184" s="191">
        <f t="shared" si="11"/>
        <v>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">
      <c r="A185" s="192">
        <f>'Données projet'!A173</f>
        <v>0</v>
      </c>
      <c r="B185" s="193">
        <f>'Données projet'!D173</f>
        <v>0</v>
      </c>
      <c r="C185" s="206">
        <f>225*'Données projet'!E173+13.8*('Données projet'!F173+'Données projet'!G175)+10*'Données projet'!H173</f>
        <v>0</v>
      </c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">
      <c r="A186" s="192">
        <f>'Données projet'!A174</f>
        <v>0</v>
      </c>
      <c r="B186" s="193">
        <f>'Données projet'!D174</f>
        <v>0</v>
      </c>
      <c r="C186" s="206">
        <f>225*'Données projet'!E174+13.8*('Données projet'!F174+'Données projet'!G176)+10*'Données projet'!H174</f>
        <v>0</v>
      </c>
      <c r="D186" s="191">
        <f t="shared" si="11"/>
        <v>0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">
      <c r="A187" s="192">
        <f>'Données projet'!A175</f>
        <v>0</v>
      </c>
      <c r="B187" s="193">
        <f>'Données projet'!D175</f>
        <v>0</v>
      </c>
      <c r="C187" s="206">
        <f>225*'Données projet'!E175+13.8*('Données projet'!F175+'Données projet'!G177)+10*'Données projet'!H175</f>
        <v>0</v>
      </c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">
      <c r="A188" s="192">
        <f>'Données projet'!A176</f>
        <v>0</v>
      </c>
      <c r="B188" s="193">
        <f>'Données projet'!D176</f>
        <v>0</v>
      </c>
      <c r="C188" s="206">
        <f>225*'Données projet'!E176+13.8*('Données projet'!F176+'Données projet'!G178)+10*'Données projet'!H176</f>
        <v>0</v>
      </c>
      <c r="D188" s="191">
        <f t="shared" si="11"/>
        <v>0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">
      <c r="A189" s="192">
        <f>'Données projet'!A177</f>
        <v>0</v>
      </c>
      <c r="B189" s="193">
        <f>'Données projet'!D177</f>
        <v>0</v>
      </c>
      <c r="C189" s="206">
        <f>225*'Données projet'!E177+13.8*('Données projet'!F177+'Données projet'!G179)+10*'Données projet'!H177</f>
        <v>0</v>
      </c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">
      <c r="A190" s="192">
        <f>'Données projet'!A178</f>
        <v>0</v>
      </c>
      <c r="B190" s="193">
        <f>'Données projet'!D178</f>
        <v>0</v>
      </c>
      <c r="C190" s="206">
        <f>225*'Données projet'!E178+13.8*('Données projet'!F178+'Données projet'!G180)+10*'Données projet'!H178</f>
        <v>0</v>
      </c>
      <c r="D190" s="191">
        <f t="shared" si="11"/>
        <v>0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">
      <c r="A191" s="192">
        <f>'Données projet'!A179</f>
        <v>0</v>
      </c>
      <c r="B191" s="193">
        <f>'Données projet'!D179</f>
        <v>0</v>
      </c>
      <c r="C191" s="206">
        <f>225*'Données projet'!E179+13.8*('Données projet'!F179+'Données projet'!G181)+10*'Données projet'!H179</f>
        <v>0</v>
      </c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">
      <c r="A192" s="192">
        <f>'Données projet'!A180</f>
        <v>0</v>
      </c>
      <c r="B192" s="193">
        <f>'Données projet'!D180</f>
        <v>0</v>
      </c>
      <c r="C192" s="206">
        <f>225*'Données projet'!E180+13.8*('Données projet'!F180+'Données projet'!G182)+10*'Données projet'!H180</f>
        <v>0</v>
      </c>
      <c r="D192" s="191">
        <f t="shared" si="11"/>
        <v>0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">
      <c r="A193" s="192">
        <f>'Données projet'!A181</f>
        <v>0</v>
      </c>
      <c r="B193" s="193">
        <f>'Données projet'!D181</f>
        <v>0</v>
      </c>
      <c r="C193" s="206">
        <f>225*'Données projet'!E181+13.8*('Données projet'!F181+'Données projet'!G183)+10*'Données projet'!H181</f>
        <v>0</v>
      </c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">
      <c r="A194" s="192">
        <f>'Données projet'!A182</f>
        <v>0</v>
      </c>
      <c r="B194" s="193">
        <f>'Données projet'!D182</f>
        <v>0</v>
      </c>
      <c r="C194" s="206">
        <f>225*'Données projet'!E182+13.8*('Données projet'!F182+'Données projet'!G184)+10*'Données projet'!H182</f>
        <v>0</v>
      </c>
      <c r="D194" s="191">
        <f t="shared" si="11"/>
        <v>0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">
      <c r="A195" s="192">
        <f>'Données projet'!A183</f>
        <v>0</v>
      </c>
      <c r="B195" s="193">
        <f>'Données projet'!D183</f>
        <v>0</v>
      </c>
      <c r="C195" s="206">
        <f>225*'Données projet'!E183+13.8*('Données projet'!F183+'Données projet'!G185)+10*'Données projet'!H183</f>
        <v>0</v>
      </c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">
      <c r="A196" s="192">
        <f>'Données projet'!A184</f>
        <v>0</v>
      </c>
      <c r="B196" s="193">
        <f>'Données projet'!D184</f>
        <v>0</v>
      </c>
      <c r="C196" s="206">
        <f>225*'Données projet'!E184+13.8*('Données projet'!F184+'Données projet'!G186)+10*'Données projet'!H184</f>
        <v>0</v>
      </c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">
      <c r="A197" s="192">
        <f>'Données projet'!A185</f>
        <v>0</v>
      </c>
      <c r="B197" s="193">
        <f>'Données projet'!D185</f>
        <v>0</v>
      </c>
      <c r="C197" s="206">
        <f>225*'Données projet'!E185+13.8*('Données projet'!F185+'Données projet'!G187)+10*'Données projet'!H185</f>
        <v>0</v>
      </c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ht="16" x14ac:dyDescent="0.2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ht="16" x14ac:dyDescent="0.2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ht="16" x14ac:dyDescent="0.2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ht="16" x14ac:dyDescent="0.2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ht="16" x14ac:dyDescent="0.2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ht="16" x14ac:dyDescent="0.2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ht="16" x14ac:dyDescent="0.2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">
      <c r="A209" s="192">
        <f>'Données projet'!A192</f>
        <v>0</v>
      </c>
      <c r="B209" s="193">
        <f>'Données projet'!D192</f>
        <v>0</v>
      </c>
      <c r="C209" s="206">
        <f>225*'Données projet'!E192+13.8*('Données projet'!F192+'Données projet'!G192)+10*'Données projet'!H192</f>
        <v>0</v>
      </c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">
      <c r="A210" s="192">
        <f>'Données projet'!A193</f>
        <v>0</v>
      </c>
      <c r="B210" s="193">
        <f>'Données projet'!D193</f>
        <v>0</v>
      </c>
      <c r="C210" s="206">
        <f>225*'Données projet'!E193+13.8*('Données projet'!F193+'Données projet'!G193)+10*'Données projet'!H193</f>
        <v>0</v>
      </c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">
      <c r="A211" s="192">
        <f>'Données projet'!A194</f>
        <v>0</v>
      </c>
      <c r="B211" s="193">
        <f>'Données projet'!D194</f>
        <v>0</v>
      </c>
      <c r="C211" s="206">
        <f>225*'Données projet'!E194+13.8*('Données projet'!F194+'Données projet'!G194)+10*'Données projet'!H194</f>
        <v>0</v>
      </c>
      <c r="D211" s="191">
        <f t="shared" si="12"/>
        <v>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">
      <c r="A212" s="192">
        <f>'Données projet'!A195</f>
        <v>0</v>
      </c>
      <c r="B212" s="193">
        <f>'Données projet'!D195</f>
        <v>0</v>
      </c>
      <c r="C212" s="206">
        <f>225*'Données projet'!E195+13.8*('Données projet'!F195+'Données projet'!G195)+10*'Données projet'!H195</f>
        <v>0</v>
      </c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">
      <c r="A213" s="192">
        <f>'Données projet'!A196</f>
        <v>0</v>
      </c>
      <c r="B213" s="193">
        <f>'Données projet'!D196</f>
        <v>0</v>
      </c>
      <c r="C213" s="206">
        <f>225*'Données projet'!E196+13.8*('Données projet'!F196+'Données projet'!G196)+10*'Données projet'!H196</f>
        <v>0</v>
      </c>
      <c r="D213" s="191">
        <f t="shared" si="12"/>
        <v>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">
      <c r="A214" s="192">
        <f>'Données projet'!A197</f>
        <v>0</v>
      </c>
      <c r="B214" s="193">
        <f>'Données projet'!D197</f>
        <v>0</v>
      </c>
      <c r="C214" s="206">
        <f>225*'Données projet'!E197+13.8*('Données projet'!F197+'Données projet'!G197)+10*'Données projet'!H197</f>
        <v>0</v>
      </c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">
      <c r="A215" s="192">
        <f>'Données projet'!A198</f>
        <v>0</v>
      </c>
      <c r="B215" s="193">
        <f>'Données projet'!D198</f>
        <v>0</v>
      </c>
      <c r="C215" s="206">
        <f>225*'Données projet'!E198+13.8*('Données projet'!F198+'Données projet'!G198)+10*'Données projet'!H198</f>
        <v>0</v>
      </c>
      <c r="D215" s="191">
        <f t="shared" si="12"/>
        <v>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">
      <c r="A216" s="192">
        <f>'Données projet'!A199</f>
        <v>0</v>
      </c>
      <c r="B216" s="193">
        <f>'Données projet'!D199</f>
        <v>0</v>
      </c>
      <c r="C216" s="206">
        <f>225*'Données projet'!E199+13.8*('Données projet'!F199+'Données projet'!G199)+10*'Données projet'!H199</f>
        <v>0</v>
      </c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">
      <c r="A217" s="192">
        <f>'Données projet'!A200</f>
        <v>0</v>
      </c>
      <c r="B217" s="193">
        <f>'Données projet'!D200</f>
        <v>0</v>
      </c>
      <c r="C217" s="206">
        <f>225*'Données projet'!E200+13.8*('Données projet'!F200+'Données projet'!G200)+10*'Données projet'!H200</f>
        <v>0</v>
      </c>
      <c r="D217" s="191">
        <f t="shared" si="12"/>
        <v>0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">
      <c r="A218" s="192">
        <f>'Données projet'!A201</f>
        <v>0</v>
      </c>
      <c r="B218" s="193">
        <f>'Données projet'!D201</f>
        <v>0</v>
      </c>
      <c r="C218" s="206">
        <f>225*'Données projet'!E201+13.8*('Données projet'!F201+'Données projet'!G201)+10*'Données projet'!H201</f>
        <v>0</v>
      </c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">
      <c r="A219" s="192">
        <f>'Données projet'!A202</f>
        <v>0</v>
      </c>
      <c r="B219" s="193">
        <f>'Données projet'!D202</f>
        <v>0</v>
      </c>
      <c r="C219" s="206">
        <f>225*'Données projet'!E202+13.8*('Données projet'!F202+'Données projet'!G202)+10*'Données projet'!H202</f>
        <v>0</v>
      </c>
      <c r="D219" s="191">
        <f t="shared" si="12"/>
        <v>0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">
      <c r="A220" s="192">
        <f>'Données projet'!A203</f>
        <v>0</v>
      </c>
      <c r="B220" s="193">
        <f>'Données projet'!D203</f>
        <v>0</v>
      </c>
      <c r="C220" s="206">
        <f>225*'Données projet'!E203+13.8*('Données projet'!F203+'Données projet'!G203)+10*'Données projet'!H203</f>
        <v>0</v>
      </c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">
      <c r="A221" s="192">
        <f>'Données projet'!A204</f>
        <v>0</v>
      </c>
      <c r="B221" s="193">
        <f>'Données projet'!D204</f>
        <v>0</v>
      </c>
      <c r="C221" s="206">
        <f>225*'Données projet'!E204+13.8*('Données projet'!F204+'Données projet'!G204)+10*'Données projet'!H204</f>
        <v>0</v>
      </c>
      <c r="D221" s="191">
        <f t="shared" si="12"/>
        <v>0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">
      <c r="A222" s="192">
        <f>'Données projet'!A205</f>
        <v>0</v>
      </c>
      <c r="B222" s="193">
        <f>'Données projet'!D205</f>
        <v>0</v>
      </c>
      <c r="C222" s="206">
        <f>225*'Données projet'!E205+13.8*('Données projet'!F205+'Données projet'!G205)+10*'Données projet'!H205</f>
        <v>0</v>
      </c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">
      <c r="A223" s="192">
        <f>'Données projet'!A206</f>
        <v>0</v>
      </c>
      <c r="B223" s="193">
        <f>'Données projet'!D206</f>
        <v>0</v>
      </c>
      <c r="C223" s="206">
        <f>225*'Données projet'!E206+13.8*('Données projet'!F206+'Données projet'!G206)+10*'Données projet'!H206</f>
        <v>0</v>
      </c>
      <c r="D223" s="191">
        <f t="shared" si="12"/>
        <v>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">
      <c r="A224" s="192">
        <f>'Données projet'!A207</f>
        <v>0</v>
      </c>
      <c r="B224" s="193">
        <f>'Données projet'!D207</f>
        <v>0</v>
      </c>
      <c r="C224" s="206">
        <f>225*'Données projet'!E207+13.8*('Données projet'!F207+'Données projet'!G207)+10*'Données projet'!H207</f>
        <v>0</v>
      </c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">
      <c r="A225" s="192">
        <f>'Données projet'!A208</f>
        <v>0</v>
      </c>
      <c r="B225" s="193">
        <f>'Données projet'!D208</f>
        <v>0</v>
      </c>
      <c r="C225" s="206">
        <f>225*'Données projet'!E208+13.8*('Données projet'!F208+'Données projet'!G208)+10*'Données projet'!H208</f>
        <v>0</v>
      </c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">
      <c r="A226" s="192">
        <f>'Données projet'!A209</f>
        <v>0</v>
      </c>
      <c r="B226" s="193">
        <f>'Données projet'!D209</f>
        <v>0</v>
      </c>
      <c r="C226" s="206">
        <f>225*'Données projet'!E209+13.8*('Données projet'!F209+'Données projet'!G209)+10*'Données projet'!H209</f>
        <v>0</v>
      </c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">
      <c r="A227" s="192">
        <f>'Données projet'!A210</f>
        <v>0</v>
      </c>
      <c r="B227" s="193">
        <f>'Données projet'!D210</f>
        <v>0</v>
      </c>
      <c r="C227" s="206">
        <f>225*'Données projet'!E210+13.8*('Données projet'!F210+'Données projet'!G210)+10*'Données projet'!H210</f>
        <v>0</v>
      </c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">
      <c r="A228" s="192">
        <f>'Données projet'!A211</f>
        <v>0</v>
      </c>
      <c r="B228" s="193">
        <f>'Données projet'!D211</f>
        <v>0</v>
      </c>
      <c r="C228" s="206">
        <f>225*'Données projet'!E211+13.8*('Données projet'!F211+'Données projet'!G211)+10*'Données projet'!H211</f>
        <v>0</v>
      </c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ht="16" x14ac:dyDescent="0.2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ht="16" x14ac:dyDescent="0.2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ht="16" x14ac:dyDescent="0.2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ht="16" x14ac:dyDescent="0.2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ht="16" x14ac:dyDescent="0.2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ht="16" x14ac:dyDescent="0.2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ht="16" x14ac:dyDescent="0.2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">
      <c r="A240" s="192">
        <f>'Données projet'!A218</f>
        <v>0</v>
      </c>
      <c r="B240" s="193">
        <f>'Données projet'!D218</f>
        <v>0</v>
      </c>
      <c r="C240" s="206">
        <f>225*'Données projet'!E218+13.8*('Données projet'!F218+'Données projet'!G218)+10*'Données projet'!H218</f>
        <v>0</v>
      </c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">
      <c r="A241" s="192">
        <f>'Données projet'!A219</f>
        <v>0</v>
      </c>
      <c r="B241" s="193">
        <f>'Données projet'!D219</f>
        <v>0</v>
      </c>
      <c r="C241" s="206">
        <f>225*'Données projet'!E219+13.8*('Données projet'!F219+'Données projet'!G219)+10*'Données projet'!H219</f>
        <v>0</v>
      </c>
      <c r="D241" s="191">
        <f t="shared" ref="D241:D259" si="13">B241*C241</f>
        <v>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">
      <c r="A242" s="192">
        <f>'Données projet'!A220</f>
        <v>0</v>
      </c>
      <c r="B242" s="193">
        <f>'Données projet'!D220</f>
        <v>0</v>
      </c>
      <c r="C242" s="206">
        <f>225*'Données projet'!E220+13.8*('Données projet'!F220+'Données projet'!G220)+10*'Données projet'!H220</f>
        <v>0</v>
      </c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">
      <c r="A243" s="192">
        <f>'Données projet'!A221</f>
        <v>0</v>
      </c>
      <c r="B243" s="193">
        <f>'Données projet'!D221</f>
        <v>0</v>
      </c>
      <c r="C243" s="206">
        <f>225*'Données projet'!E221+13.8*('Données projet'!F221+'Données projet'!G221)+10*'Données projet'!H221</f>
        <v>0</v>
      </c>
      <c r="D243" s="191">
        <f t="shared" si="13"/>
        <v>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">
      <c r="A244" s="192">
        <f>'Données projet'!A222</f>
        <v>0</v>
      </c>
      <c r="B244" s="193">
        <f>'Données projet'!D222</f>
        <v>0</v>
      </c>
      <c r="C244" s="206">
        <f>225*'Données projet'!E222+13.8*('Données projet'!F222+'Données projet'!G222)+10*'Données projet'!H222</f>
        <v>0</v>
      </c>
      <c r="D244" s="191">
        <f t="shared" si="13"/>
        <v>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">
      <c r="A245" s="192">
        <f>'Données projet'!A223</f>
        <v>0</v>
      </c>
      <c r="B245" s="193">
        <f>'Données projet'!D223</f>
        <v>0</v>
      </c>
      <c r="C245" s="206">
        <f>225*'Données projet'!E223+13.8*('Données projet'!F223+'Données projet'!G223)+10*'Données projet'!H223</f>
        <v>0</v>
      </c>
      <c r="D245" s="191">
        <f t="shared" si="13"/>
        <v>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">
      <c r="A246" s="192">
        <f>'Données projet'!A224</f>
        <v>0</v>
      </c>
      <c r="B246" s="193">
        <f>'Données projet'!D224</f>
        <v>0</v>
      </c>
      <c r="C246" s="206">
        <f>225*'Données projet'!E224+13.8*('Données projet'!F224+'Données projet'!G224)+10*'Données projet'!H224</f>
        <v>0</v>
      </c>
      <c r="D246" s="191">
        <f t="shared" si="13"/>
        <v>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">
      <c r="A247" s="192">
        <f>'Données projet'!A225</f>
        <v>0</v>
      </c>
      <c r="B247" s="193">
        <f>'Données projet'!D225</f>
        <v>0</v>
      </c>
      <c r="C247" s="206">
        <f>225*'Données projet'!E225+13.8*('Données projet'!F225+'Données projet'!G225)+10*'Données projet'!H225</f>
        <v>0</v>
      </c>
      <c r="D247" s="191">
        <f t="shared" si="13"/>
        <v>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">
      <c r="A248" s="192">
        <f>'Données projet'!A226</f>
        <v>0</v>
      </c>
      <c r="B248" s="193">
        <f>'Données projet'!D226</f>
        <v>0</v>
      </c>
      <c r="C248" s="206">
        <f>225*'Données projet'!E226+13.8*('Données projet'!F226+'Données projet'!G226)+10*'Données projet'!H226</f>
        <v>0</v>
      </c>
      <c r="D248" s="191">
        <f t="shared" si="13"/>
        <v>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">
      <c r="A249" s="192">
        <f>'Données projet'!A227</f>
        <v>0</v>
      </c>
      <c r="B249" s="193">
        <f>'Données projet'!D227</f>
        <v>0</v>
      </c>
      <c r="C249" s="206">
        <f>225*'Données projet'!E227+13.8*('Données projet'!F227+'Données projet'!G227)+10*'Données projet'!H227</f>
        <v>0</v>
      </c>
      <c r="D249" s="191">
        <f t="shared" si="13"/>
        <v>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">
      <c r="A250" s="192">
        <f>'Données projet'!A228</f>
        <v>0</v>
      </c>
      <c r="B250" s="193">
        <f>'Données projet'!D228</f>
        <v>0</v>
      </c>
      <c r="C250" s="206">
        <f>225*'Données projet'!E228+13.8*('Données projet'!F228+'Données projet'!G228)+10*'Données projet'!H228</f>
        <v>0</v>
      </c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">
      <c r="A251" s="192">
        <f>'Données projet'!A229</f>
        <v>0</v>
      </c>
      <c r="B251" s="193">
        <f>'Données projet'!D229</f>
        <v>0</v>
      </c>
      <c r="C251" s="206">
        <f>225*'Données projet'!E229+13.8*('Données projet'!F229+'Données projet'!G229)+10*'Données projet'!H229</f>
        <v>0</v>
      </c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">
      <c r="A252" s="192">
        <f>'Données projet'!A230</f>
        <v>0</v>
      </c>
      <c r="B252" s="193">
        <f>'Données projet'!D230</f>
        <v>0</v>
      </c>
      <c r="C252" s="206">
        <f>225*'Données projet'!E230+13.8*('Données projet'!F230+'Données projet'!G230)+10*'Données projet'!H230</f>
        <v>0</v>
      </c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">
      <c r="A253" s="192">
        <f>'Données projet'!A231</f>
        <v>0</v>
      </c>
      <c r="B253" s="193">
        <f>'Données projet'!D231</f>
        <v>0</v>
      </c>
      <c r="C253" s="206">
        <f>225*'Données projet'!E231+13.8*('Données projet'!F231+'Données projet'!G231)+10*'Données projet'!H231</f>
        <v>0</v>
      </c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">
      <c r="A254" s="192">
        <f>'Données projet'!A232</f>
        <v>0</v>
      </c>
      <c r="B254" s="193">
        <f>'Données projet'!D232</f>
        <v>0</v>
      </c>
      <c r="C254" s="206">
        <f>225*'Données projet'!E232+13.8*('Données projet'!F232+'Données projet'!G232)+10*'Données projet'!H232</f>
        <v>0</v>
      </c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">
      <c r="A255" s="192">
        <f>'Données projet'!A233</f>
        <v>0</v>
      </c>
      <c r="B255" s="193">
        <f>'Données projet'!D233</f>
        <v>0</v>
      </c>
      <c r="C255" s="206">
        <f>225*'Données projet'!E233+13.8*('Données projet'!F233+'Données projet'!G233)+10*'Données projet'!H233</f>
        <v>0</v>
      </c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">
      <c r="A256" s="192">
        <f>'Données projet'!A234</f>
        <v>0</v>
      </c>
      <c r="B256" s="193">
        <f>'Données projet'!D234</f>
        <v>0</v>
      </c>
      <c r="C256" s="206">
        <f>225*'Données projet'!E234+13.8*('Données projet'!F234+'Données projet'!G234)+10*'Données projet'!H234</f>
        <v>0</v>
      </c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">
      <c r="A257" s="192">
        <f>'Données projet'!A235</f>
        <v>0</v>
      </c>
      <c r="B257" s="193">
        <f>'Données projet'!D235</f>
        <v>0</v>
      </c>
      <c r="C257" s="206">
        <f>225*'Données projet'!E235+13.8*('Données projet'!F235+'Données projet'!G235)+10*'Données projet'!H235</f>
        <v>0</v>
      </c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">
      <c r="A258" s="192">
        <f>'Données projet'!A236</f>
        <v>0</v>
      </c>
      <c r="B258" s="193">
        <f>'Données projet'!D236</f>
        <v>0</v>
      </c>
      <c r="C258" s="206">
        <f>225*'Données projet'!E236+13.8*('Données projet'!F236+'Données projet'!G236)+10*'Données projet'!H236</f>
        <v>0</v>
      </c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">
      <c r="A259" s="192">
        <f>'Données projet'!A237</f>
        <v>0</v>
      </c>
      <c r="B259" s="193">
        <f>'Données projet'!D237</f>
        <v>0</v>
      </c>
      <c r="C259" s="206">
        <f>225*'Données projet'!E237+13.8*('Données projet'!F237+'Données projet'!G237)+10*'Données projet'!H237</f>
        <v>0</v>
      </c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ht="16" x14ac:dyDescent="0.2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ht="16" x14ac:dyDescent="0.2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ht="16" x14ac:dyDescent="0.2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ht="16" x14ac:dyDescent="0.2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ht="16" x14ac:dyDescent="0.2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ht="16" x14ac:dyDescent="0.2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ht="16" x14ac:dyDescent="0.2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">
      <c r="A271" s="192">
        <f>'Données projet'!A244</f>
        <v>0</v>
      </c>
      <c r="B271" s="193">
        <f>'Données projet'!D244</f>
        <v>0</v>
      </c>
      <c r="C271" s="206">
        <f>225*'Données projet'!E244+13.8*('Données projet'!F244+'Données projet'!G244)+10*'Données projet'!H244</f>
        <v>0</v>
      </c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">
      <c r="A272" s="192">
        <f>'Données projet'!A245</f>
        <v>0</v>
      </c>
      <c r="B272" s="193">
        <f>'Données projet'!D245</f>
        <v>0</v>
      </c>
      <c r="C272" s="206">
        <f>225*'Données projet'!E245+13.8*('Données projet'!F245+'Données projet'!G245)+10*'Données projet'!H245</f>
        <v>0</v>
      </c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">
      <c r="A273" s="192">
        <f>'Données projet'!A246</f>
        <v>0</v>
      </c>
      <c r="B273" s="193">
        <f>'Données projet'!D246</f>
        <v>0</v>
      </c>
      <c r="C273" s="206">
        <f>225*'Données projet'!E246+13.8*('Données projet'!F246+'Données projet'!G246)+10*'Données projet'!H246</f>
        <v>0</v>
      </c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">
      <c r="A274" s="192">
        <f>'Données projet'!A247</f>
        <v>0</v>
      </c>
      <c r="B274" s="193">
        <f>'Données projet'!D247</f>
        <v>0</v>
      </c>
      <c r="C274" s="206">
        <f>225*'Données projet'!E247+13.8*('Données projet'!F247+'Données projet'!G247)+10*'Données projet'!H247</f>
        <v>0</v>
      </c>
      <c r="D274" s="191">
        <f t="shared" si="14"/>
        <v>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">
      <c r="A275" s="192">
        <f>'Données projet'!A248</f>
        <v>0</v>
      </c>
      <c r="B275" s="193">
        <f>'Données projet'!D248</f>
        <v>0</v>
      </c>
      <c r="C275" s="206">
        <f>225*'Données projet'!E248+13.8*('Données projet'!F248+'Données projet'!G248)+10*'Données projet'!H248</f>
        <v>0</v>
      </c>
      <c r="D275" s="191">
        <f t="shared" si="14"/>
        <v>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">
      <c r="A276" s="192">
        <f>'Données projet'!A249</f>
        <v>0</v>
      </c>
      <c r="B276" s="193">
        <f>'Données projet'!D249</f>
        <v>0</v>
      </c>
      <c r="C276" s="206">
        <f>225*'Données projet'!E249+13.8*('Données projet'!F249+'Données projet'!G249)+10*'Données projet'!H249</f>
        <v>0</v>
      </c>
      <c r="D276" s="191">
        <f t="shared" si="14"/>
        <v>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">
      <c r="A277" s="192">
        <f>'Données projet'!A250</f>
        <v>0</v>
      </c>
      <c r="B277" s="193">
        <f>'Données projet'!D250</f>
        <v>0</v>
      </c>
      <c r="C277" s="206">
        <f>225*'Données projet'!E250+13.8*('Données projet'!F250+'Données projet'!G250)+10*'Données projet'!H250</f>
        <v>0</v>
      </c>
      <c r="D277" s="191">
        <f t="shared" si="14"/>
        <v>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">
      <c r="A278" s="192">
        <f>'Données projet'!A251</f>
        <v>0</v>
      </c>
      <c r="B278" s="193">
        <f>'Données projet'!D251</f>
        <v>0</v>
      </c>
      <c r="C278" s="206">
        <f>225*'Données projet'!E251+13.8*('Données projet'!F251+'Données projet'!G251)+10*'Données projet'!H251</f>
        <v>0</v>
      </c>
      <c r="D278" s="191">
        <f t="shared" si="14"/>
        <v>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">
      <c r="A279" s="192">
        <f>'Données projet'!A252</f>
        <v>0</v>
      </c>
      <c r="B279" s="193">
        <f>'Données projet'!D252</f>
        <v>0</v>
      </c>
      <c r="C279" s="206">
        <f>225*'Données projet'!E252+13.8*('Données projet'!F252+'Données projet'!G252)+10*'Données projet'!H252</f>
        <v>0</v>
      </c>
      <c r="D279" s="191">
        <f t="shared" si="14"/>
        <v>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">
      <c r="A280" s="192">
        <f>'Données projet'!A253</f>
        <v>0</v>
      </c>
      <c r="B280" s="193">
        <f>'Données projet'!D253</f>
        <v>0</v>
      </c>
      <c r="C280" s="206">
        <f>225*'Données projet'!E253+13.8*('Données projet'!F253+'Données projet'!G253)+10*'Données projet'!H253</f>
        <v>0</v>
      </c>
      <c r="D280" s="191">
        <f t="shared" si="14"/>
        <v>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">
      <c r="A281" s="192">
        <f>'Données projet'!A254</f>
        <v>0</v>
      </c>
      <c r="B281" s="193">
        <f>'Données projet'!D254</f>
        <v>0</v>
      </c>
      <c r="C281" s="206">
        <f>225*'Données projet'!E254+13.8*('Données projet'!F254+'Données projet'!G254)+10*'Données projet'!H254</f>
        <v>0</v>
      </c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">
      <c r="A282" s="192">
        <f>'Données projet'!A255</f>
        <v>0</v>
      </c>
      <c r="B282" s="193">
        <f>'Données projet'!D255</f>
        <v>0</v>
      </c>
      <c r="C282" s="206">
        <f>225*'Données projet'!E255+13.8*('Données projet'!F255+'Données projet'!G255)+10*'Données projet'!H255</f>
        <v>0</v>
      </c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">
      <c r="A283" s="192">
        <f>'Données projet'!A256</f>
        <v>0</v>
      </c>
      <c r="B283" s="193">
        <f>'Données projet'!D256</f>
        <v>0</v>
      </c>
      <c r="C283" s="206">
        <f>225*'Données projet'!E256+13.8*('Données projet'!F256+'Données projet'!G256)+10*'Données projet'!H256</f>
        <v>0</v>
      </c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">
      <c r="A284" s="192">
        <f>'Données projet'!A257</f>
        <v>0</v>
      </c>
      <c r="B284" s="193">
        <f>'Données projet'!D257</f>
        <v>0</v>
      </c>
      <c r="C284" s="206">
        <f>225*'Données projet'!E257+13.8*('Données projet'!F257+'Données projet'!G257)+10*'Données projet'!H257</f>
        <v>0</v>
      </c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">
      <c r="A285" s="192">
        <f>'Données projet'!A258</f>
        <v>0</v>
      </c>
      <c r="B285" s="193">
        <f>'Données projet'!D258</f>
        <v>0</v>
      </c>
      <c r="C285" s="206">
        <f>225*'Données projet'!E258+13.8*('Données projet'!F258+'Données projet'!G258)+10*'Données projet'!H258</f>
        <v>0</v>
      </c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">
      <c r="A286" s="192">
        <f>'Données projet'!A259</f>
        <v>0</v>
      </c>
      <c r="B286" s="193">
        <f>'Données projet'!D259</f>
        <v>0</v>
      </c>
      <c r="C286" s="206">
        <f>225*'Données projet'!E259+13.8*('Données projet'!F259+'Données projet'!G259)+10*'Données projet'!H259</f>
        <v>0</v>
      </c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">
      <c r="A287" s="192">
        <f>'Données projet'!A260</f>
        <v>0</v>
      </c>
      <c r="B287" s="193">
        <f>'Données projet'!D260</f>
        <v>0</v>
      </c>
      <c r="C287" s="206">
        <f>225*'Données projet'!E260+13.8*('Données projet'!F260+'Données projet'!G260)+10*'Données projet'!H260</f>
        <v>0</v>
      </c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">
      <c r="A288" s="192">
        <f>'Données projet'!A261</f>
        <v>0</v>
      </c>
      <c r="B288" s="193">
        <f>'Données projet'!D261</f>
        <v>0</v>
      </c>
      <c r="C288" s="206">
        <f>225*'Données projet'!E261+13.8*('Données projet'!F261+'Données projet'!G261)+10*'Données projet'!H261</f>
        <v>0</v>
      </c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">
      <c r="A289" s="192">
        <f>'Données projet'!A262</f>
        <v>0</v>
      </c>
      <c r="B289" s="193">
        <f>'Données projet'!D262</f>
        <v>0</v>
      </c>
      <c r="C289" s="206">
        <f>225*'Données projet'!E262+13.8*('Données projet'!F262+'Données projet'!G262)+10*'Données projet'!H262</f>
        <v>0</v>
      </c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">
      <c r="A290" s="192">
        <f>'Données projet'!A263</f>
        <v>0</v>
      </c>
      <c r="B290" s="193">
        <f>'Données projet'!D263</f>
        <v>0</v>
      </c>
      <c r="C290" s="206">
        <f>225*'Données projet'!E263+13.8*('Données projet'!F263+'Données projet'!G263)+10*'Données projet'!H263</f>
        <v>0</v>
      </c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ht="16" x14ac:dyDescent="0.2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ht="16" x14ac:dyDescent="0.2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ht="16" x14ac:dyDescent="0.2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ht="16" x14ac:dyDescent="0.2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ht="16" x14ac:dyDescent="0.2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ht="16" x14ac:dyDescent="0.2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ht="16" x14ac:dyDescent="0.2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">
      <c r="A302" s="192">
        <f>'Données projet'!A270</f>
        <v>0</v>
      </c>
      <c r="B302" s="193">
        <f>'Données projet'!D270</f>
        <v>0</v>
      </c>
      <c r="C302" s="204">
        <f>225*'Données projet'!E270+13.8*('Données projet'!F270+'Données projet'!G270)+10*'Données projet'!H270</f>
        <v>0</v>
      </c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">
      <c r="A303" s="192">
        <f>'Données projet'!A271</f>
        <v>0</v>
      </c>
      <c r="B303" s="193">
        <f>'Données projet'!D271</f>
        <v>0</v>
      </c>
      <c r="C303" s="204">
        <f>225*'Données projet'!E271+13.8*('Données projet'!F271+'Données projet'!G271)+10*'Données projet'!H271</f>
        <v>0</v>
      </c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">
      <c r="A304" s="192">
        <f>'Données projet'!A272</f>
        <v>0</v>
      </c>
      <c r="B304" s="193">
        <f>'Données projet'!D272</f>
        <v>0</v>
      </c>
      <c r="C304" s="204">
        <f>225*'Données projet'!E272+13.8*('Données projet'!F272+'Données projet'!G272)+10*'Données projet'!H272</f>
        <v>0</v>
      </c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">
      <c r="A305" s="192">
        <f>'Données projet'!A273</f>
        <v>0</v>
      </c>
      <c r="B305" s="193">
        <f>'Données projet'!D273</f>
        <v>0</v>
      </c>
      <c r="C305" s="204">
        <f>225*'Données projet'!E273+13.8*('Données projet'!F273+'Données projet'!G273)+10*'Données projet'!H273</f>
        <v>0</v>
      </c>
      <c r="D305" s="194">
        <f t="shared" si="15"/>
        <v>0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">
      <c r="A306" s="192">
        <f>'Données projet'!A274</f>
        <v>0</v>
      </c>
      <c r="B306" s="193">
        <f>'Données projet'!D274</f>
        <v>0</v>
      </c>
      <c r="C306" s="204">
        <f>225*'Données projet'!E274+13.8*('Données projet'!F274+'Données projet'!G274)+10*'Données projet'!H274</f>
        <v>0</v>
      </c>
      <c r="D306" s="194">
        <f t="shared" si="15"/>
        <v>0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">
      <c r="A307" s="192">
        <f>'Données projet'!A275</f>
        <v>0</v>
      </c>
      <c r="B307" s="193">
        <f>'Données projet'!D275</f>
        <v>0</v>
      </c>
      <c r="C307" s="204">
        <f>225*'Données projet'!E275+13.8*('Données projet'!F275+'Données projet'!G275)+10*'Données projet'!H275</f>
        <v>0</v>
      </c>
      <c r="D307" s="194">
        <f t="shared" si="15"/>
        <v>0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">
      <c r="A308" s="192">
        <f>'Données projet'!A276</f>
        <v>0</v>
      </c>
      <c r="B308" s="193">
        <f>'Données projet'!D276</f>
        <v>0</v>
      </c>
      <c r="C308" s="204">
        <f>225*'Données projet'!E276+13.8*('Données projet'!F276+'Données projet'!G276)+10*'Données projet'!H276</f>
        <v>0</v>
      </c>
      <c r="D308" s="194">
        <f t="shared" si="15"/>
        <v>0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">
      <c r="A309" s="192">
        <f>'Données projet'!A277</f>
        <v>0</v>
      </c>
      <c r="B309" s="193">
        <f>'Données projet'!D277</f>
        <v>0</v>
      </c>
      <c r="C309" s="204">
        <f>225*'Données projet'!E277+13.8*('Données projet'!F277+'Données projet'!G277)+10*'Données projet'!H277</f>
        <v>0</v>
      </c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">
      <c r="A310" s="192">
        <f>'Données projet'!A278</f>
        <v>0</v>
      </c>
      <c r="B310" s="193">
        <f>'Données projet'!D278</f>
        <v>0</v>
      </c>
      <c r="C310" s="204">
        <f>225*'Données projet'!E278+13.8*('Données projet'!F278+'Données projet'!G278)+10*'Données projet'!H278</f>
        <v>0</v>
      </c>
      <c r="D310" s="194">
        <f t="shared" si="15"/>
        <v>0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">
      <c r="A311" s="192">
        <f>'Données projet'!A279</f>
        <v>0</v>
      </c>
      <c r="B311" s="193">
        <f>'Données projet'!D279</f>
        <v>0</v>
      </c>
      <c r="C311" s="204">
        <f>225*'Données projet'!E279+13.8*('Données projet'!F279+'Données projet'!G279)+10*'Données projet'!H279</f>
        <v>0</v>
      </c>
      <c r="D311" s="194">
        <f t="shared" si="15"/>
        <v>0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">
      <c r="A312" s="192">
        <f>'Données projet'!A280</f>
        <v>0</v>
      </c>
      <c r="B312" s="193">
        <f>'Données projet'!D280</f>
        <v>0</v>
      </c>
      <c r="C312" s="204">
        <f>225*'Données projet'!E280+13.8*('Données projet'!F280+'Données projet'!G280)+10*'Données projet'!H280</f>
        <v>0</v>
      </c>
      <c r="D312" s="194">
        <f t="shared" si="15"/>
        <v>0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">
      <c r="A313" s="192">
        <f>'Données projet'!A281</f>
        <v>0</v>
      </c>
      <c r="B313" s="193">
        <f>'Données projet'!D281</f>
        <v>0</v>
      </c>
      <c r="C313" s="204">
        <f>225*'Données projet'!E281+13.8*('Données projet'!F281+'Données projet'!G281)+10*'Données projet'!H281</f>
        <v>0</v>
      </c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">
      <c r="A314" s="192">
        <f>'Données projet'!A282</f>
        <v>0</v>
      </c>
      <c r="B314" s="193">
        <f>'Données projet'!D282</f>
        <v>0</v>
      </c>
      <c r="C314" s="204">
        <f>225*'Données projet'!E282+13.8*('Données projet'!F282+'Données projet'!G282)+10*'Données projet'!H282</f>
        <v>0</v>
      </c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">
      <c r="A315" s="192">
        <f>'Données projet'!A283</f>
        <v>0</v>
      </c>
      <c r="B315" s="193">
        <f>'Données projet'!D283</f>
        <v>0</v>
      </c>
      <c r="C315" s="204">
        <f>225*'Données projet'!E283+13.8*('Données projet'!F283+'Données projet'!G283)+10*'Données projet'!H283</f>
        <v>0</v>
      </c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">
      <c r="A316" s="192">
        <f>'Données projet'!A284</f>
        <v>0</v>
      </c>
      <c r="B316" s="193">
        <f>'Données projet'!D284</f>
        <v>0</v>
      </c>
      <c r="C316" s="204">
        <f>225*'Données projet'!E284+13.8*('Données projet'!F284+'Données projet'!G284)+10*'Données projet'!H284</f>
        <v>0</v>
      </c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">
      <c r="A317" s="192">
        <f>'Données projet'!A285</f>
        <v>0</v>
      </c>
      <c r="B317" s="193">
        <f>'Données projet'!D285</f>
        <v>0</v>
      </c>
      <c r="C317" s="204">
        <f>225*'Données projet'!E285+13.8*('Données projet'!F285+'Données projet'!G285)+10*'Données projet'!H285</f>
        <v>0</v>
      </c>
      <c r="D317" s="194">
        <f t="shared" si="15"/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">
      <c r="A318" s="192">
        <f>'Données projet'!A286</f>
        <v>0</v>
      </c>
      <c r="B318" s="193">
        <f>'Données projet'!D286</f>
        <v>0</v>
      </c>
      <c r="C318" s="204">
        <f>225*'Données projet'!E286+13.8*('Données projet'!F286+'Données projet'!G286)+10*'Données projet'!H286</f>
        <v>0</v>
      </c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">
      <c r="A319" s="192">
        <f>'Données projet'!A287</f>
        <v>0</v>
      </c>
      <c r="B319" s="193">
        <f>'Données projet'!D287</f>
        <v>0</v>
      </c>
      <c r="C319" s="204">
        <f>225*'Données projet'!E287+13.8*('Données projet'!F287+'Données projet'!G287)+10*'Données projet'!H287</f>
        <v>0</v>
      </c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">
      <c r="A320" s="192">
        <f>'Données projet'!A288</f>
        <v>0</v>
      </c>
      <c r="B320" s="193">
        <f>'Données projet'!D288</f>
        <v>0</v>
      </c>
      <c r="C320" s="204">
        <f>225*'Données projet'!E288+13.8*('Données projet'!F288+'Données projet'!G288)+10*'Données projet'!H288</f>
        <v>0</v>
      </c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">
      <c r="A321" s="192">
        <f>'Données projet'!A289</f>
        <v>0</v>
      </c>
      <c r="B321" s="193">
        <f>'Données projet'!D289</f>
        <v>0</v>
      </c>
      <c r="C321" s="204">
        <f>225*'Données projet'!E289+13.8*('Données projet'!F289+'Données projet'!G289)+10*'Données projet'!H289</f>
        <v>0</v>
      </c>
      <c r="D321" s="194">
        <f t="shared" si="15"/>
        <v>0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2024-12-09T14:21:50Z</dcterms:modified>
</cp:coreProperties>
</file>