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LIVAROT-PAYS-D'AUGE (HEURTEVENT) (14) - NEUVILLE Gilles\"/>
    </mc:Choice>
  </mc:AlternateContent>
  <xr:revisionPtr revIDLastSave="0" documentId="13_ncr:1_{C0FAC836-F911-46C4-AB8D-2ABD4F9E2FE9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DH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ED184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199" i="2" l="1" a="1"/>
  <c r="AH199" i="2" s="1"/>
  <c r="BC126" i="2" a="1"/>
  <c r="BC126" i="2" s="1"/>
  <c r="BC68" i="2" a="1"/>
  <c r="BC68" i="2" s="1"/>
  <c r="BC34" i="2" a="1"/>
  <c r="BC34" i="2" s="1"/>
  <c r="BC58" i="2" a="1"/>
  <c r="BC58" i="2" s="1"/>
  <c r="BC164" i="2" a="1"/>
  <c r="BC164" i="2" s="1"/>
  <c r="CS114" i="2" a="1"/>
  <c r="CS114" i="2" s="1"/>
  <c r="CS72" i="2" a="1"/>
  <c r="CS72" i="2" s="1"/>
  <c r="CS38" i="2" a="1"/>
  <c r="CS38" i="2" s="1"/>
  <c r="CS105" i="2" a="1"/>
  <c r="CS105" i="2" s="1"/>
  <c r="CS161" i="2" a="1"/>
  <c r="CS161" i="2" s="1"/>
  <c r="CS120" i="2" a="1"/>
  <c r="CS120" i="2" s="1"/>
  <c r="CS77" i="2" a="1"/>
  <c r="CS77" i="2" s="1"/>
  <c r="CS56" i="2" a="1"/>
  <c r="CS56" i="2" s="1"/>
  <c r="CS185" i="2" a="1"/>
  <c r="CS185" i="2" s="1"/>
  <c r="CS134" i="2" a="1"/>
  <c r="CS134" i="2" s="1"/>
  <c r="CS137" i="2" a="1"/>
  <c r="CS137" i="2" s="1"/>
  <c r="CS24" i="2" a="1"/>
  <c r="CS24" i="2" s="1"/>
  <c r="CS129" i="2" a="1"/>
  <c r="CS129" i="2" s="1"/>
  <c r="CS52" i="2" a="1"/>
  <c r="CS52" i="2" s="1"/>
  <c r="CS66" i="2" a="1"/>
  <c r="CS66" i="2" s="1"/>
  <c r="BX107" i="2" a="1"/>
  <c r="BX107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<sst xmlns="http://schemas.openxmlformats.org/spreadsheetml/2006/main" count="1174" uniqueCount="324">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</sst>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161.80307694345501</c:v>
                </c:pt>
                <c:pt idx="27">
                  <c:v>180.89077768928109</c:v>
                </c:pt>
                <c:pt idx="28">
                  <c:v>199.93131520555607</c:v>
                </c:pt>
                <c:pt idx="29">
                  <c:v>218.92981441202699</c:v>
                </c:pt>
                <c:pt idx="30">
                  <c:v>237.89043696225227</c:v>
                </c:pt>
                <c:pt idx="31">
                  <c:v>210.70200716722289</c:v>
                </c:pt>
                <c:pt idx="32">
                  <c:v>227.7825944575965</c:v>
                </c:pt>
                <c:pt idx="33">
                  <c:v>244.8338742611146</c:v>
                </c:pt>
                <c:pt idx="34">
                  <c:v>261.85817498084759</c:v>
                </c:pt>
                <c:pt idx="35">
                  <c:v>278.85749740718308</c:v>
                </c:pt>
                <c:pt idx="36">
                  <c:v>249.5654620134529</c:v>
                </c:pt>
                <c:pt idx="37">
                  <c:v>264.37812461851803</c:v>
                </c:pt>
                <c:pt idx="38">
                  <c:v>279.17207549354754</c:v>
                </c:pt>
                <c:pt idx="39">
                  <c:v>293.9484459457056</c:v>
                </c:pt>
                <c:pt idx="40">
                  <c:v>308.70824422691652</c:v>
                </c:pt>
                <c:pt idx="41">
                  <c:v>277.59910531675155</c:v>
                </c:pt>
                <c:pt idx="42">
                  <c:v>290.49166725088827</c:v>
                </c:pt>
                <c:pt idx="43">
                  <c:v>303.37144778612094</c:v>
                </c:pt>
                <c:pt idx="44">
                  <c:v>316.23906615147223</c:v>
                </c:pt>
                <c:pt idx="45">
                  <c:v>329.09508705409201</c:v>
                </c:pt>
                <c:pt idx="46">
                  <c:v>305.5692029643111</c:v>
                </c:pt>
                <c:pt idx="47">
                  <c:v>316.5527634287896</c:v>
                </c:pt>
                <c:pt idx="48">
                  <c:v>327.52788280677868</c:v>
                </c:pt>
                <c:pt idx="49">
                  <c:v>338.49488394193025</c:v>
                </c:pt>
                <c:pt idx="50">
                  <c:v>349.45406704138003</c:v>
                </c:pt>
                <c:pt idx="51">
                  <c:v>332.54235777302142</c:v>
                </c:pt>
                <c:pt idx="52">
                  <c:v>342.25318435718231</c:v>
                </c:pt>
                <c:pt idx="53">
                  <c:v>351.95795503306755</c:v>
                </c:pt>
                <c:pt idx="54">
                  <c:v>361.65686041782391</c:v>
                </c:pt>
                <c:pt idx="55">
                  <c:v>371.3500800649436</c:v>
                </c:pt>
                <c:pt idx="56">
                  <c:v>359.15446843311423</c:v>
                </c:pt>
                <c:pt idx="57">
                  <c:v>367.28586264352117</c:v>
                </c:pt>
                <c:pt idx="58">
                  <c:v>375.41332750586383</c:v>
                </c:pt>
                <c:pt idx="59">
                  <c:v>383.5369601443262</c:v>
                </c:pt>
                <c:pt idx="60">
                  <c:v>391.65685323028885</c:v>
                </c:pt>
                <c:pt idx="61">
                  <c:v>379.47561696033398</c:v>
                </c:pt>
                <c:pt idx="62">
                  <c:v>386.03578289316653</c:v>
                </c:pt>
                <c:pt idx="63">
                  <c:v>392.59352739030788</c:v>
                </c:pt>
                <c:pt idx="64">
                  <c:v>399.14889663922969</c:v>
                </c:pt>
                <c:pt idx="65">
                  <c:v>405.70193518524519</c:v>
                </c:pt>
                <c:pt idx="66">
                  <c:v>394.46673042704833</c:v>
                </c:pt>
                <c:pt idx="67">
                  <c:v>400.39727281265851</c:v>
                </c:pt>
                <c:pt idx="68">
                  <c:v>406.3259141167116</c:v>
                </c:pt>
                <c:pt idx="69">
                  <c:v>412.2526860160653</c:v>
                </c:pt>
                <c:pt idx="70">
                  <c:v>418.17761920165594</c:v>
                </c:pt>
                <c:pt idx="71">
                  <c:v>407.88577090657145</c:v>
                </c:pt>
                <c:pt idx="72">
                  <c:v>413.1883232492998</c:v>
                </c:pt>
                <c:pt idx="73">
                  <c:v>418.48940742442966</c:v>
                </c:pt>
                <c:pt idx="74">
                  <c:v>423.78904467117599</c:v>
                </c:pt>
                <c:pt idx="75">
                  <c:v>429.08725565371265</c:v>
                </c:pt>
                <c:pt idx="76">
                  <c:v>419.73651029301595</c:v>
                </c:pt>
                <c:pt idx="77">
                  <c:v>424.41243724402005</c:v>
                </c:pt>
                <c:pt idx="78">
                  <c:v>429.08725565371265</c:v>
                </c:pt>
                <c:pt idx="79">
                  <c:v>433.76097931567165</c:v>
                </c:pt>
                <c:pt idx="80">
                  <c:v>438.43362170168308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410.98518940455659</c:v>
                </c:pt>
                <c:pt idx="62">
                  <c:v>418.0913790215223</c:v>
                </c:pt>
                <c:pt idx="63">
                  <c:v>425.19496598542577</c:v>
                </c:pt>
                <c:pt idx="64">
                  <c:v>432.29599994035442</c:v>
                </c:pt>
                <c:pt idx="65">
                  <c:v>439.39452876533943</c:v>
                </c:pt>
                <c:pt idx="66">
                  <c:v>427.22409121469815</c:v>
                </c:pt>
                <c:pt idx="67">
                  <c:v>433.64829237194994</c:v>
                </c:pt>
                <c:pt idx="68">
                  <c:v>440.070450172959</c:v>
                </c:pt>
                <c:pt idx="69">
                  <c:v>446.49059866524129</c:v>
                </c:pt>
                <c:pt idx="70">
                  <c:v>452.90877083660661</c:v>
                </c:pt>
                <c:pt idx="71">
                  <c:v>441.76015637738465</c:v>
                </c:pt>
                <c:pt idx="72">
                  <c:v>447.5041248287875</c:v>
                </c:pt>
                <c:pt idx="73">
                  <c:v>453.24651523667291</c:v>
                </c:pt>
                <c:pt idx="74">
                  <c:v>458.98735042977302</c:v>
                </c:pt>
                <c:pt idx="75">
                  <c:v>464.72665261874414</c:v>
                </c:pt>
                <c:pt idx="76">
                  <c:v>454.59743907080389</c:v>
                </c:pt>
                <c:pt idx="77">
                  <c:v>459.66264159638718</c:v>
                </c:pt>
                <c:pt idx="78">
                  <c:v>464.72665261874414</c:v>
                </c:pt>
                <c:pt idx="79">
                  <c:v>469.78948696374727</c:v>
                </c:pt>
                <c:pt idx="80">
                  <c:v>474.85115911139525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2.1235768107516506</c:v>
                </c:pt>
                <c:pt idx="2">
                  <c:v>3.1747774382906919</c:v>
                </c:pt>
                <c:pt idx="3">
                  <c:v>4.7487335057765518</c:v>
                </c:pt>
                <c:pt idx="4">
                  <c:v>7.1065266585855369</c:v>
                </c:pt>
                <c:pt idx="5">
                  <c:v>10.64015134219788</c:v>
                </c:pt>
                <c:pt idx="6">
                  <c:v>15.938398260732454</c:v>
                </c:pt>
                <c:pt idx="7">
                  <c:v>23.886005345963287</c:v>
                </c:pt>
                <c:pt idx="8">
                  <c:v>35.812925399151389</c:v>
                </c:pt>
                <c:pt idx="9">
                  <c:v>53.719116545060238</c:v>
                </c:pt>
                <c:pt idx="10">
                  <c:v>80.613174971542193</c:v>
                </c:pt>
                <c:pt idx="11">
                  <c:v>81.819481103992061</c:v>
                </c:pt>
                <c:pt idx="12">
                  <c:v>104.66135602287243</c:v>
                </c:pt>
                <c:pt idx="13">
                  <c:v>127.37953432582198</c:v>
                </c:pt>
                <c:pt idx="14">
                  <c:v>149.99929195346508</c:v>
                </c:pt>
                <c:pt idx="15">
                  <c:v>172.53759735059677</c:v>
                </c:pt>
                <c:pt idx="16">
                  <c:v>147.62234714684953</c:v>
                </c:pt>
                <c:pt idx="17">
                  <c:v>171.35318959873044</c:v>
                </c:pt>
                <c:pt idx="18">
                  <c:v>195.00660139274046</c:v>
                </c:pt>
                <c:pt idx="19">
                  <c:v>218.59330254631723</c:v>
                </c:pt>
                <c:pt idx="20">
                  <c:v>242.12150514745778</c:v>
                </c:pt>
                <c:pt idx="21">
                  <c:v>207.98697030718017</c:v>
                </c:pt>
                <c:pt idx="22">
                  <c:v>229.18781162828358</c:v>
                </c:pt>
                <c:pt idx="23">
                  <c:v>250.3437966497514</c:v>
                </c:pt>
                <c:pt idx="24">
                  <c:v>271.45924852820451</c:v>
                </c:pt>
                <c:pt idx="25">
                  <c:v>292.53776259751828</c:v>
                </c:pt>
                <c:pt idx="26">
                  <c:v>257.85595699105767</c:v>
                </c:pt>
                <c:pt idx="27">
                  <c:v>274.74047191396772</c:v>
                </c:pt>
                <c:pt idx="28">
                  <c:v>291.60168035874665</c:v>
                </c:pt>
                <c:pt idx="29">
                  <c:v>308.44111949657531</c:v>
                </c:pt>
                <c:pt idx="30">
                  <c:v>325.26014493454312</c:v>
                </c:pt>
                <c:pt idx="31">
                  <c:v>294.87767605242158</c:v>
                </c:pt>
                <c:pt idx="32">
                  <c:v>307.73989261056744</c:v>
                </c:pt>
                <c:pt idx="33">
                  <c:v>320.59016923293353</c:v>
                </c:pt>
                <c:pt idx="34">
                  <c:v>333.42905204366167</c:v>
                </c:pt>
                <c:pt idx="35">
                  <c:v>346.25704166537025</c:v>
                </c:pt>
                <c:pt idx="36">
                  <c:v>321.99131895367555</c:v>
                </c:pt>
                <c:pt idx="37">
                  <c:v>331.56226659313359</c:v>
                </c:pt>
                <c:pt idx="38">
                  <c:v>341.12712268545346</c:v>
                </c:pt>
                <c:pt idx="39">
                  <c:v>350.68608221443066</c:v>
                </c:pt>
                <c:pt idx="40">
                  <c:v>360.23932866053048</c:v>
                </c:pt>
                <c:pt idx="41">
                  <c:v>341.59354866525337</c:v>
                </c:pt>
                <c:pt idx="42">
                  <c:v>348.58826964633084</c:v>
                </c:pt>
                <c:pt idx="43">
                  <c:v>355.57991102673355</c:v>
                </c:pt>
                <c:pt idx="44">
                  <c:v>362.56854195764782</c:v>
                </c:pt>
                <c:pt idx="45">
                  <c:v>369.55422870449621</c:v>
                </c:pt>
                <c:pt idx="46">
                  <c:v>355.81291351737855</c:v>
                </c:pt>
                <c:pt idx="47">
                  <c:v>360.70519760433893</c:v>
                </c:pt>
                <c:pt idx="48">
                  <c:v>365.59603057312398</c:v>
                </c:pt>
                <c:pt idx="49">
                  <c:v>370.48543459961485</c:v>
                </c:pt>
                <c:pt idx="50">
                  <c:v>375.3734312259034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30" sqref="E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11.22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0.186</v>
      </c>
      <c r="D9" s="36">
        <f t="shared" ref="D9:D18" si="0">C9*$C$5</f>
        <v>2.0869200000000001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0.20200000000000001</v>
      </c>
      <c r="D10" s="36">
        <f t="shared" si="0"/>
        <v>2.2664400000000002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35">
        <v>0.22</v>
      </c>
      <c r="D11" s="36">
        <f t="shared" si="0"/>
        <v>2.4684000000000004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0.18</v>
      </c>
      <c r="D12" s="36">
        <f t="shared" si="0"/>
        <v>2.0196000000000001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2.1000000000000001E-2</v>
      </c>
      <c r="D13" s="36">
        <f t="shared" si="0"/>
        <v>0.23562000000000002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81</v>
      </c>
      <c r="C14" s="35">
        <v>0.14899999999999999</v>
      </c>
      <c r="D14" s="36">
        <f t="shared" si="0"/>
        <v>1.67178</v>
      </c>
      <c r="E14" s="37">
        <v>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0.95800000000000007</v>
      </c>
      <c r="D19" s="41">
        <f>SUM(D9:D18)</f>
        <v>10.748760000000003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154.44</v>
      </c>
      <c r="C36" s="63">
        <v>1</v>
      </c>
      <c r="D36" s="63">
        <v>0</v>
      </c>
      <c r="E36" s="54"/>
      <c r="F36" s="54"/>
      <c r="G36" s="54">
        <v>1</v>
      </c>
      <c r="H36" s="54"/>
      <c r="I36" s="52">
        <f>IFERROR(B36/A36,"")</f>
        <v>8.1284210526315785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v>195.15</v>
      </c>
      <c r="C37" s="63">
        <v>2</v>
      </c>
      <c r="D37" s="63">
        <v>64.58</v>
      </c>
      <c r="E37" s="54"/>
      <c r="F37" s="54">
        <v>0.2</v>
      </c>
      <c r="G37" s="54">
        <v>0.8</v>
      </c>
      <c r="H37" s="54"/>
      <c r="I37" s="56">
        <f t="shared" ref="I37:I55" si="1">IF(A37&lt;&gt;0,(B37-(B36-D36))/(A37-A36),"")</f>
        <v>20.355000000000004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v>281.86</v>
      </c>
      <c r="C38" s="63">
        <v>3</v>
      </c>
      <c r="D38" s="53">
        <v>67.61</v>
      </c>
      <c r="E38" s="54">
        <v>0.2</v>
      </c>
      <c r="F38" s="54">
        <v>0.2</v>
      </c>
      <c r="G38" s="54">
        <v>0.6</v>
      </c>
      <c r="H38" s="54"/>
      <c r="I38" s="56">
        <f t="shared" si="1"/>
        <v>21.612857142857145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53">
        <v>377.12</v>
      </c>
      <c r="C39" s="63">
        <v>4</v>
      </c>
      <c r="D39" s="53">
        <v>86.68</v>
      </c>
      <c r="E39" s="54"/>
      <c r="F39" s="54"/>
      <c r="G39" s="54"/>
      <c r="H39" s="54"/>
      <c r="I39" s="52">
        <f t="shared" si="1"/>
        <v>23.267142857142858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42</v>
      </c>
      <c r="B40" s="53">
        <v>450.23</v>
      </c>
      <c r="C40" s="63">
        <v>5</v>
      </c>
      <c r="D40" s="53">
        <v>99.98</v>
      </c>
      <c r="E40" s="54"/>
      <c r="F40" s="54"/>
      <c r="G40" s="54"/>
      <c r="H40" s="54"/>
      <c r="I40" s="52">
        <f t="shared" si="1"/>
        <v>22.82714285714286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49</v>
      </c>
      <c r="B41" s="53">
        <v>503.83</v>
      </c>
      <c r="C41" s="63">
        <v>6</v>
      </c>
      <c r="D41" s="53">
        <v>112.61</v>
      </c>
      <c r="E41" s="54"/>
      <c r="F41" s="54"/>
      <c r="G41" s="54"/>
      <c r="H41" s="54"/>
      <c r="I41" s="56">
        <f t="shared" si="1"/>
        <v>21.939999999999998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53">
        <v>533.49</v>
      </c>
      <c r="C42" s="63">
        <v>7</v>
      </c>
      <c r="D42" s="53">
        <v>94.57</v>
      </c>
      <c r="E42" s="54"/>
      <c r="F42" s="54"/>
      <c r="G42" s="54"/>
      <c r="H42" s="54"/>
      <c r="I42" s="56">
        <f t="shared" si="1"/>
        <v>20.324285714285718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63</v>
      </c>
      <c r="B43" s="53">
        <v>569</v>
      </c>
      <c r="C43" s="63">
        <v>8</v>
      </c>
      <c r="D43" s="53">
        <v>99.49</v>
      </c>
      <c r="E43" s="54"/>
      <c r="F43" s="54"/>
      <c r="G43" s="54"/>
      <c r="H43" s="54"/>
      <c r="I43" s="52">
        <f t="shared" si="1"/>
        <v>18.58285714285714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69</v>
      </c>
      <c r="B44" s="53">
        <v>569.98</v>
      </c>
      <c r="C44" s="63">
        <v>9</v>
      </c>
      <c r="D44" s="53">
        <v>0</v>
      </c>
      <c r="E44" s="54"/>
      <c r="F44" s="54"/>
      <c r="G44" s="54"/>
      <c r="H44" s="54"/>
      <c r="I44" s="52">
        <f t="shared" si="1"/>
        <v>16.745000000000005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70</v>
      </c>
      <c r="B45" s="53">
        <v>586.05999999999995</v>
      </c>
      <c r="C45" s="63">
        <v>10</v>
      </c>
      <c r="D45" s="53">
        <v>586.05999999999995</v>
      </c>
      <c r="E45" s="54"/>
      <c r="F45" s="54"/>
      <c r="G45" s="54"/>
      <c r="H45" s="54"/>
      <c r="I45" s="52">
        <f t="shared" si="1"/>
        <v>16.079999999999927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37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80</v>
      </c>
      <c r="C63" s="63">
        <v>2</v>
      </c>
      <c r="D63" s="63">
        <v>28</v>
      </c>
      <c r="E63" s="54"/>
      <c r="F63" s="54"/>
      <c r="G63" s="54">
        <v>1</v>
      </c>
      <c r="H63" s="54"/>
      <c r="I63" s="52">
        <f>IF(A63&lt;&gt;0,(B63-(B62-D62))/(A63-A62),"")</f>
        <v>11.6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115</v>
      </c>
      <c r="C64" s="63">
        <v>3</v>
      </c>
      <c r="D64" s="63">
        <v>28</v>
      </c>
      <c r="E64" s="54"/>
      <c r="F64" s="54">
        <v>0.8</v>
      </c>
      <c r="G64" s="54">
        <v>0.2</v>
      </c>
      <c r="H64" s="54"/>
      <c r="I64" s="52">
        <f>IF(A64&lt;&gt;0,(B64-(B63-D63))/(A64-A63),"")</f>
        <v>12.6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147</v>
      </c>
      <c r="C65" s="63">
        <v>4</v>
      </c>
      <c r="D65" s="63">
        <v>28</v>
      </c>
      <c r="E65" s="54">
        <v>0.2</v>
      </c>
      <c r="F65" s="54">
        <v>0.2</v>
      </c>
      <c r="G65" s="54">
        <v>0.6</v>
      </c>
      <c r="H65" s="54"/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173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10.8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192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9.4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205</v>
      </c>
      <c r="C68" s="63">
        <v>7</v>
      </c>
      <c r="D68" s="63">
        <v>22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218</v>
      </c>
      <c r="C69" s="53">
        <v>8</v>
      </c>
      <c r="D69" s="53">
        <v>17</v>
      </c>
      <c r="E69" s="54"/>
      <c r="F69" s="54"/>
      <c r="G69" s="54"/>
      <c r="H69" s="54"/>
      <c r="I69" s="52">
        <f t="shared" si="2"/>
        <v>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232</v>
      </c>
      <c r="C70" s="53">
        <v>9</v>
      </c>
      <c r="D70" s="53">
        <v>13</v>
      </c>
      <c r="E70" s="54"/>
      <c r="F70" s="54"/>
      <c r="G70" s="54"/>
      <c r="H70" s="54"/>
      <c r="I70" s="52">
        <f t="shared" si="2"/>
        <v>6.2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245</v>
      </c>
      <c r="C71" s="53">
        <v>10</v>
      </c>
      <c r="D71" s="53">
        <v>12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254</v>
      </c>
      <c r="C72" s="53">
        <v>11</v>
      </c>
      <c r="D72" s="53">
        <v>11</v>
      </c>
      <c r="E72" s="54"/>
      <c r="F72" s="54"/>
      <c r="G72" s="54"/>
      <c r="H72" s="54"/>
      <c r="I72" s="52">
        <f t="shared" si="2"/>
        <v>4.2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262</v>
      </c>
      <c r="C73" s="53">
        <v>12</v>
      </c>
      <c r="D73" s="53">
        <v>10</v>
      </c>
      <c r="E73" s="54"/>
      <c r="F73" s="54"/>
      <c r="G73" s="54"/>
      <c r="H73" s="54"/>
      <c r="I73" s="52">
        <f t="shared" si="2"/>
        <v>3.8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v>269</v>
      </c>
      <c r="C74" s="53">
        <v>13</v>
      </c>
      <c r="D74" s="53">
        <v>9</v>
      </c>
      <c r="E74" s="54"/>
      <c r="F74" s="54"/>
      <c r="G74" s="54"/>
      <c r="H74" s="54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275</v>
      </c>
      <c r="C75" s="53">
        <v>14</v>
      </c>
      <c r="D75" s="53">
        <v>275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37</v>
      </c>
      <c r="C88" s="63">
        <v>1</v>
      </c>
      <c r="D88" s="63">
        <v>15</v>
      </c>
      <c r="E88" s="54"/>
      <c r="F88" s="54"/>
      <c r="G88" s="54">
        <v>1</v>
      </c>
      <c r="H88" s="93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80</v>
      </c>
      <c r="C89" s="63">
        <v>2</v>
      </c>
      <c r="D89" s="63">
        <v>28</v>
      </c>
      <c r="E89" s="54"/>
      <c r="F89" s="54"/>
      <c r="G89" s="54">
        <v>1</v>
      </c>
      <c r="H89" s="93"/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115</v>
      </c>
      <c r="C90" s="63">
        <v>3</v>
      </c>
      <c r="D90" s="63">
        <v>28</v>
      </c>
      <c r="E90" s="93"/>
      <c r="F90" s="93"/>
      <c r="G90" s="93">
        <v>1</v>
      </c>
      <c r="H90" s="93"/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147</v>
      </c>
      <c r="C91" s="63">
        <v>4</v>
      </c>
      <c r="D91" s="63">
        <v>28</v>
      </c>
      <c r="E91" s="93"/>
      <c r="F91" s="93">
        <v>0.2</v>
      </c>
      <c r="G91" s="93">
        <v>1</v>
      </c>
      <c r="H91" s="93"/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173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10.8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192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9.4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205</v>
      </c>
      <c r="C94" s="63">
        <v>7</v>
      </c>
      <c r="D94" s="63">
        <v>22</v>
      </c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218</v>
      </c>
      <c r="C95" s="63">
        <v>8</v>
      </c>
      <c r="D95" s="63">
        <v>17</v>
      </c>
      <c r="E95" s="93"/>
      <c r="F95" s="93"/>
      <c r="G95" s="93"/>
      <c r="H95" s="93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232</v>
      </c>
      <c r="C96" s="63">
        <v>9</v>
      </c>
      <c r="D96" s="63">
        <v>13</v>
      </c>
      <c r="E96" s="93"/>
      <c r="F96" s="93"/>
      <c r="G96" s="93"/>
      <c r="H96" s="93"/>
      <c r="I96" s="56">
        <f t="shared" si="3"/>
        <v>6.2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245</v>
      </c>
      <c r="C97" s="63">
        <v>10</v>
      </c>
      <c r="D97" s="63">
        <v>12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254</v>
      </c>
      <c r="C98" s="63">
        <v>11</v>
      </c>
      <c r="D98" s="63">
        <v>11</v>
      </c>
      <c r="E98" s="93"/>
      <c r="F98" s="93"/>
      <c r="G98" s="93"/>
      <c r="H98" s="93"/>
      <c r="I98" s="56">
        <f t="shared" si="3"/>
        <v>4.2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262</v>
      </c>
      <c r="C99" s="63">
        <v>12</v>
      </c>
      <c r="D99" s="63">
        <v>10</v>
      </c>
      <c r="E99" s="93"/>
      <c r="F99" s="93"/>
      <c r="G99" s="93"/>
      <c r="H99" s="93"/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v>269</v>
      </c>
      <c r="C100" s="63">
        <v>13</v>
      </c>
      <c r="D100" s="63">
        <v>9</v>
      </c>
      <c r="E100" s="68"/>
      <c r="F100" s="68"/>
      <c r="G100" s="68"/>
      <c r="H100" s="68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v>275</v>
      </c>
      <c r="C101" s="63">
        <v>14</v>
      </c>
      <c r="D101" s="63">
        <v>275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>
        <v>0</v>
      </c>
      <c r="F114" s="54">
        <v>0</v>
      </c>
      <c r="G114" s="54">
        <v>0</v>
      </c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40</v>
      </c>
      <c r="C140" s="53">
        <v>1</v>
      </c>
      <c r="D140" s="63">
        <v>3</v>
      </c>
      <c r="E140" s="54"/>
      <c r="F140" s="54"/>
      <c r="G140" s="54">
        <v>1</v>
      </c>
      <c r="H140" s="54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85</v>
      </c>
      <c r="C141" s="53">
        <v>2</v>
      </c>
      <c r="D141" s="63">
        <v>25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113</v>
      </c>
      <c r="C142" s="53">
        <v>3</v>
      </c>
      <c r="D142" s="63">
        <v>27</v>
      </c>
      <c r="E142" s="54"/>
      <c r="F142" s="54"/>
      <c r="G142" s="54">
        <v>1</v>
      </c>
      <c r="H142" s="54"/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31</v>
      </c>
      <c r="B143" s="63">
        <v>155</v>
      </c>
      <c r="C143" s="53">
        <v>4</v>
      </c>
      <c r="D143" s="63">
        <v>36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37</v>
      </c>
      <c r="B144" s="63">
        <v>188</v>
      </c>
      <c r="C144" s="53">
        <v>5</v>
      </c>
      <c r="D144" s="63">
        <v>36</v>
      </c>
      <c r="E144" s="54"/>
      <c r="F144" s="54"/>
      <c r="G144" s="54"/>
      <c r="H144" s="54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44</v>
      </c>
      <c r="B145" s="63">
        <v>230</v>
      </c>
      <c r="C145" s="53">
        <v>6</v>
      </c>
      <c r="D145" s="63">
        <v>43</v>
      </c>
      <c r="E145" s="54"/>
      <c r="F145" s="54"/>
      <c r="G145" s="54"/>
      <c r="H145" s="54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52</v>
      </c>
      <c r="B146" s="63">
        <v>270</v>
      </c>
      <c r="C146" s="53">
        <v>7</v>
      </c>
      <c r="D146" s="63">
        <v>48</v>
      </c>
      <c r="E146" s="54"/>
      <c r="F146" s="54"/>
      <c r="G146" s="54"/>
      <c r="H146" s="54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297</v>
      </c>
      <c r="C147" s="53">
        <v>8</v>
      </c>
      <c r="D147" s="63">
        <v>47</v>
      </c>
      <c r="E147" s="54"/>
      <c r="F147" s="54"/>
      <c r="G147" s="54"/>
      <c r="H147" s="54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69</v>
      </c>
      <c r="B148" s="63">
        <v>328</v>
      </c>
      <c r="C148" s="53">
        <v>9</v>
      </c>
      <c r="D148" s="63">
        <v>328</v>
      </c>
      <c r="E148" s="54"/>
      <c r="F148" s="54"/>
      <c r="G148" s="54"/>
      <c r="H148" s="54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Mélèze hybride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65</v>
      </c>
      <c r="C166" s="63">
        <v>1</v>
      </c>
      <c r="D166" s="63">
        <v>18</v>
      </c>
      <c r="E166" s="54"/>
      <c r="F166" s="54"/>
      <c r="G166" s="54">
        <v>1</v>
      </c>
      <c r="H166" s="54"/>
      <c r="I166" s="52">
        <f>IFERROR(B166/A166,"")</f>
        <v>6.5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142</v>
      </c>
      <c r="C167" s="63">
        <v>2</v>
      </c>
      <c r="D167" s="63">
        <v>41</v>
      </c>
      <c r="E167" s="54"/>
      <c r="F167" s="54"/>
      <c r="G167" s="54">
        <v>1</v>
      </c>
      <c r="H167" s="54"/>
      <c r="I167" s="52">
        <f t="shared" ref="I167:I185" si="6">IF(A167&lt;&gt;0,(B167-(B166-D166))/(A167-A166),"")</f>
        <v>19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201</v>
      </c>
      <c r="C168" s="63">
        <v>3</v>
      </c>
      <c r="D168" s="63">
        <v>47</v>
      </c>
      <c r="E168" s="54"/>
      <c r="F168" s="54">
        <v>0.2</v>
      </c>
      <c r="G168" s="54">
        <v>0.8</v>
      </c>
      <c r="H168" s="54"/>
      <c r="I168" s="52">
        <f t="shared" si="6"/>
        <v>20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244</v>
      </c>
      <c r="C169" s="63">
        <v>4</v>
      </c>
      <c r="D169" s="63">
        <v>44</v>
      </c>
      <c r="E169" s="54">
        <v>0.2</v>
      </c>
      <c r="F169" s="54">
        <v>0.2</v>
      </c>
      <c r="G169" s="54">
        <v>0.6</v>
      </c>
      <c r="H169" s="54"/>
      <c r="I169" s="52">
        <f t="shared" si="6"/>
        <v>18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272</v>
      </c>
      <c r="C170" s="63">
        <v>5</v>
      </c>
      <c r="D170" s="63">
        <v>37</v>
      </c>
      <c r="E170" s="54">
        <v>0.2</v>
      </c>
      <c r="F170" s="54">
        <v>0.2</v>
      </c>
      <c r="G170" s="54">
        <v>0.6</v>
      </c>
      <c r="H170" s="54"/>
      <c r="I170" s="52">
        <f t="shared" si="6"/>
        <v>14.4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290</v>
      </c>
      <c r="C171" s="63">
        <v>6</v>
      </c>
      <c r="D171" s="63">
        <v>29</v>
      </c>
      <c r="E171" s="54"/>
      <c r="F171" s="54"/>
      <c r="G171" s="54"/>
      <c r="H171" s="54"/>
      <c r="I171" s="52">
        <f t="shared" si="6"/>
        <v>11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302</v>
      </c>
      <c r="C172" s="63">
        <v>7</v>
      </c>
      <c r="D172" s="63">
        <v>22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45</v>
      </c>
      <c r="B173" s="63">
        <v>310</v>
      </c>
      <c r="C173" s="63">
        <v>8</v>
      </c>
      <c r="D173" s="63">
        <v>16</v>
      </c>
      <c r="E173" s="54"/>
      <c r="F173" s="54"/>
      <c r="G173" s="54"/>
      <c r="H173" s="54"/>
      <c r="I173" s="52">
        <f t="shared" si="6"/>
        <v>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3">
        <v>50</v>
      </c>
      <c r="B174" s="63">
        <v>315</v>
      </c>
      <c r="C174" s="63">
        <v>9</v>
      </c>
      <c r="D174" s="63">
        <v>315</v>
      </c>
      <c r="E174" s="54"/>
      <c r="F174" s="54"/>
      <c r="G174" s="54"/>
      <c r="H174" s="54"/>
      <c r="I174" s="52">
        <f t="shared" si="6"/>
        <v>4.2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0" sqref="C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0.21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0.79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Douglas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Châtaignier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Erable sycomore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sessile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Merisier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Mélèze hybride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1.05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3.85</v>
      </c>
      <c r="H3" s="70">
        <f>(B3+E3+F3)*44/12+(C3+D3)*0.475*44/12</f>
        <v>241.26666666666665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237.41666666666666</v>
      </c>
      <c r="S3" s="62">
        <f ca="1">AVERAGE(OFFSET($R$3,0,0,'Données projet'!$E$9+1,1))-AVERAGE(OFFSET($H$3,0,0,'Données projet'!$E$9+1,1))</f>
        <v>393.3487617557011</v>
      </c>
      <c r="T3" s="62">
        <f>IF('Données projet'!E9&gt;30,$R$33-$H$33,LOOKUP('Données projet'!$E$9,$A$3:$A$203,R3:R203)-LOOKUP('Données projet'!$E$9,$A$3:$A$203,$H$3:$H$203))</f>
        <v>360.09400083977084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237.41666666666666</v>
      </c>
      <c r="AN3" s="62">
        <f ca="1">AVERAGE(OFFSET($AM$3,0,0,'Données projet'!$E$10+1,1))-AVERAGE(OFFSET($H$3,0,0,'Données projet'!$E$10+1,1))</f>
        <v>283.28499080043167</v>
      </c>
      <c r="AO3" s="62">
        <f>IF('Données projet'!E10&gt;30,$AM$33-$H$33,LOOKUP('Données projet'!$E$10,$A$3:$A$203,AM3:AM203)-LOOKUP('Données projet'!$E$10,$A$3:$A$203,$H$3:$H$203))</f>
        <v>278.56966286485783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237.41666666666666</v>
      </c>
      <c r="BI3" s="62">
        <f ca="1">AVERAGE(OFFSET($BH$3,0,0,'Données projet'!$E$11+1,1))-AVERAGE(OFFSET($H$3,0,0,'Données projet'!$E$11+1,1))</f>
        <v>303.91914071195419</v>
      </c>
      <c r="BJ3" s="62">
        <f>IF('Données projet'!E11&gt;30,$BH$33-$H$33,LOOKUP('Données projet'!$E$11,$A$3:$A$203,BH3:BH203)-LOOKUP('Données projet'!$E$11,$A$3:$A$203,$H$3:$H$203))</f>
        <v>298.30050362688769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237.41666666666666</v>
      </c>
      <c r="CD3" s="62">
        <f ca="1">AVERAGE(OFFSET($CC$3,0,0,'Données projet'!$E$12+1,1))-AVERAGE(OFFSET($H$3,0,0,'Données projet'!$E$12+1,1))</f>
        <v>446.15737983598251</v>
      </c>
      <c r="CE3" s="62">
        <f>IF('Données projet'!E12&gt;30,$CC$33-$H$33,LOOKUP('Données projet'!$E$12,$A$3:$A$203,CC3:CC203)-LOOKUP('Données projet'!$E$12,$A$3:$A$203,$H$3:$H$203))</f>
        <v>282.2299715529382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237.41666666666666</v>
      </c>
      <c r="CY3" s="62">
        <f ca="1">AVERAGE(OFFSET($CX$3,0,0,'Données projet'!$E$13+1,1))-AVERAGE(OFFSET($H$3,0,0,'Données projet'!$E$13+1,1))</f>
        <v>293.03320024876842</v>
      </c>
      <c r="CZ3" s="62">
        <f>IF('Données projet'!E13&gt;30,$CX$33-$H$33,LOOKUP('Données projet'!$E$13,$A$3:$A$203,CX3:CX203)-LOOKUP('Données projet'!$E$13,$A$3:$A$203,$H$3:$H$203))</f>
        <v>287.49994652707915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237.41666666666666</v>
      </c>
      <c r="DT3" s="62">
        <f ca="1">AVERAGE(OFFSET($DS$3,0,0,'Données projet'!$E$14+1,1))-AVERAGE(OFFSET($H$3,0,0,'Données projet'!$E$14+1,1))</f>
        <v>253.0312006976271</v>
      </c>
      <c r="DU3" s="62">
        <f>IF('Données projet'!E14&gt;30,$DS$33-$H$33,LOOKUP('Données projet'!$E$14,$A$3:$A$203,DS3:DS203)-LOOKUP('Données projet'!$E$14,$A$3:$A$203,$H$3:$H$203))</f>
        <v>365.93937083714866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1.05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3.85</v>
      </c>
      <c r="H4" s="70">
        <f t="shared" ref="H4:H67" si="1">(B4+E4+F4)*44/12+(C4+D4)*0.475*44/12</f>
        <v>241.26666666666665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8.1284210526315785</v>
      </c>
      <c r="N4" s="14">
        <f>IF('Données projet'!$A$36&gt;35,N3+M4-V3,IF(A4&lt;'Données projet'!$A$36,$K$205^A4,IF(A4='Données projet'!$A$36,'Données projet'!$B$36,N3+M4-V3)))</f>
        <v>1.3037606943669584</v>
      </c>
      <c r="O4" s="14">
        <f>N4*VLOOKUP('Données projet'!$B$9,Paramètres!$A$1:$I$89,3,0)*VLOOKUP('Données projet'!$B$9,Paramètres!$A$1:$I$89,5,0)</f>
        <v>0.72880222815112972</v>
      </c>
      <c r="P4" s="14">
        <f>EXP(-1.0587+0.8836*LN(O4)+0.284)</f>
        <v>0.34846084744582984</v>
      </c>
      <c r="Q4" s="22">
        <f t="shared" ref="Q4:Q34" si="2">(O4+P4)*0.475*44/12</f>
        <v>1.876233189998038</v>
      </c>
      <c r="R4" s="62">
        <f t="shared" si="0"/>
        <v>240.84906654233424</v>
      </c>
      <c r="S4" s="62">
        <f ca="1">AVERAGE(OFFSET($R$3,0,0,'Données projet'!$E$9+1,1))-AVERAGE(OFFSET($H$3,0,0,'Données projet'!$E$9+1,1))</f>
        <v>393.3487617557011</v>
      </c>
      <c r="T4" s="62">
        <f>$T$3</f>
        <v>360.09400083977084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0.9327585484198414</v>
      </c>
      <c r="AK4" s="14">
        <f>EXP(-1.0587+0.8836*LN(AJ4)+0.284)</f>
        <v>0.43335135961225768</v>
      </c>
      <c r="AL4" s="22">
        <f t="shared" ref="AL4:AL67" si="4">(AJ4+AK4)*0.475*44/12</f>
        <v>2.3793080898225729</v>
      </c>
      <c r="AM4" s="62">
        <f t="shared" ref="AM4:AM67" si="5">AL4+(AD4+AE4)*44/12</f>
        <v>241.3521414421588</v>
      </c>
      <c r="AN4" s="62">
        <f ca="1">AVERAGE(OFFSET($AM$3,0,0,'Données projet'!$E$10+1,1))-AVERAGE(OFFSET($H$3,0,0,'Données projet'!$E$10+1,1))</f>
        <v>283.28499080043167</v>
      </c>
      <c r="AO4" s="62">
        <f>$AO$3</f>
        <v>278.56966286485783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1.0121422546683387</v>
      </c>
      <c r="BF4" s="14">
        <f>EXP(-1.0587+0.8836*LN(BE4)+0.284)</f>
        <v>0.46578286063395047</v>
      </c>
      <c r="BG4" s="22">
        <f t="shared" ref="BG4:BG67" si="7">(BE4+BF4)*0.475*44/12</f>
        <v>2.574052909151487</v>
      </c>
      <c r="BH4" s="62">
        <f t="shared" ref="BH4:BH67" si="8">BG4+(AY4+AZ4)*44/12</f>
        <v>241.54688626148769</v>
      </c>
      <c r="BI4" s="62">
        <f ca="1">AVERAGE(OFFSET($BH$3,0,0,'Données projet'!$E$11+1,1))-AVERAGE(OFFSET($H$3,0,0,'Données projet'!$E$11+1,1))</f>
        <v>303.91914071195419</v>
      </c>
      <c r="BJ4" s="62">
        <f>$BJ$3</f>
        <v>298.30050362688769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1.1212920291467359</v>
      </c>
      <c r="CA4" s="14">
        <f>EXP(-1.0587+0.8836*LN(BZ4)+0.284)</f>
        <v>0.50989827066551541</v>
      </c>
      <c r="CB4" s="22">
        <f t="shared" ref="CB4:CB67" si="10">(BZ4+CA4)*0.475*44/12</f>
        <v>2.8409897721730037</v>
      </c>
      <c r="CC4" s="62">
        <f t="shared" ref="CC4:CC67" si="11">CB4+(BT4+BU4)*44/12</f>
        <v>241.81382312450921</v>
      </c>
      <c r="CD4" s="62">
        <f ca="1">AVERAGE(OFFSET($CC$3,0,0,'Données projet'!$E$12+1,1))-AVERAGE(OFFSET($H$3,0,0,'Données projet'!$E$12+1,1))</f>
        <v>446.15737983598251</v>
      </c>
      <c r="CE4" s="62">
        <f>$CE$3</f>
        <v>282.2299715529382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241.51092523362499</v>
      </c>
      <c r="CY4" s="62">
        <f ca="1">AVERAGE(OFFSET($CX$3,0,0,'Données projet'!$E$13+1,1))-AVERAGE(OFFSET($H$3,0,0,'Données projet'!$E$13+1,1))</f>
        <v>293.03320024876842</v>
      </c>
      <c r="CZ4" s="62">
        <f>$CZ$3</f>
        <v>287.49994652707915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6.5</v>
      </c>
      <c r="DO4" s="13">
        <f>IF('Données projet'!$A$166&gt;35,DO3+DN4-DW3,IF(A4&lt;'Données projet'!$A$166,$DL$205^A4,IF(A4='Données projet'!$A$166,'Données projet'!$B$166,DO3+DN4-DW3)))</f>
        <v>1.5180683844287584</v>
      </c>
      <c r="DP4" s="18">
        <f>DO4*VLOOKUP('Données projet'!$B$14,Paramètres!$A$1:$I$89,3,0)*VLOOKUP('Données projet'!$B$14,Paramètres!$A$1:$I$89,5,0)</f>
        <v>0.82886533789810213</v>
      </c>
      <c r="DQ4" s="14">
        <f>EXP(-1.0587+0.8836*LN(DP4)+0.284)</f>
        <v>0.39041321372963989</v>
      </c>
      <c r="DR4" s="22">
        <f t="shared" ref="DR4:DR67" si="16">(DP4+DQ4)*0.475*44/12</f>
        <v>2.1235768107516506</v>
      </c>
      <c r="DS4" s="62">
        <f t="shared" ref="DS4:DS67" si="17">DR4+(DJ4+DK4)*44/12</f>
        <v>241.09641016308785</v>
      </c>
      <c r="DT4" s="62">
        <f ca="1">AVERAGE(OFFSET($DS$3,0,0,'Données projet'!$E$14+1,1))-AVERAGE(OFFSET($H$3,0,0,'Données projet'!$E$14+1,1))</f>
        <v>253.0312006976271</v>
      </c>
      <c r="DU4" s="62">
        <f>$DU$3</f>
        <v>365.93937083714866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1.05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3.85</v>
      </c>
      <c r="H5" s="70">
        <f t="shared" si="1"/>
        <v>241.26666666666665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8.1284210526315785</v>
      </c>
      <c r="N5" s="14">
        <f>IF('Données projet'!$A$36&gt;35,N4+M5-V4,IF(A5&lt;'Données projet'!$A$36,$K$205^A5,IF(A5='Données projet'!$A$36,'Données projet'!$B$36,N4+M5-V4)))</f>
        <v>1.6997919481762136</v>
      </c>
      <c r="O5" s="14">
        <f>N5*VLOOKUP('Données projet'!$B$9,Paramètres!$A$1:$I$89,3,0)*VLOOKUP('Données projet'!$B$9,Paramètres!$A$1:$I$89,5,0)</f>
        <v>0.95018369903050348</v>
      </c>
      <c r="P5" s="14">
        <f t="shared" ref="P5:P68" si="33">EXP(-1.0587+0.8836*LN(O5)+0.284)</f>
        <v>0.44049688197714731</v>
      </c>
      <c r="Q5" s="22">
        <f t="shared" si="2"/>
        <v>2.4221020119216585</v>
      </c>
      <c r="R5" s="62">
        <f t="shared" si="0"/>
        <v>242.94530886007465</v>
      </c>
      <c r="S5" s="62">
        <f ca="1">AVERAGE(OFFSET($R$3,0,0,'Données projet'!$E$9+1,1))-AVERAGE(OFFSET($H$3,0,0,'Données projet'!$E$9+1,1))</f>
        <v>393.3487617557011</v>
      </c>
      <c r="T5" s="62">
        <f t="shared" ref="T5:T68" si="34">$T$3</f>
        <v>360.09400083977084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1.1866319007778094</v>
      </c>
      <c r="AK5" s="14">
        <f t="shared" ref="AK5:AK68" si="35">EXP(-1.0587+0.8836*LN(AJ5)+0.284)</f>
        <v>0.53606530474621483</v>
      </c>
      <c r="AL5" s="22">
        <f t="shared" si="4"/>
        <v>3.0003642996210083</v>
      </c>
      <c r="AM5" s="62">
        <f t="shared" si="5"/>
        <v>243.52357114777399</v>
      </c>
      <c r="AN5" s="62">
        <f ca="1">AVERAGE(OFFSET($AM$3,0,0,'Données projet'!$E$10+1,1))-AVERAGE(OFFSET($H$3,0,0,'Données projet'!$E$10+1,1))</f>
        <v>283.28499080043167</v>
      </c>
      <c r="AO5" s="62">
        <f t="shared" ref="AO5:AO68" si="36">$AO$3</f>
        <v>278.56966286485783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1.2876218497801761</v>
      </c>
      <c r="BF5" s="14">
        <f t="shared" ref="BF5:BF68" si="37">EXP(-1.0587+0.8836*LN(BE5)+0.284)</f>
        <v>0.57618379541883336</v>
      </c>
      <c r="BG5" s="22">
        <f t="shared" si="7"/>
        <v>3.2461281653882743</v>
      </c>
      <c r="BH5" s="62">
        <f t="shared" si="8"/>
        <v>243.76933501354128</v>
      </c>
      <c r="BI5" s="62">
        <f ca="1">AVERAGE(OFFSET($BH$3,0,0,'Données projet'!$E$11+1,1))-AVERAGE(OFFSET($H$3,0,0,'Données projet'!$E$11+1,1))</f>
        <v>303.91914071195419</v>
      </c>
      <c r="BJ5" s="62">
        <f t="shared" ref="BJ5:BJ68" si="38">$BJ$3</f>
        <v>298.30050362688769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1.3895842336737447</v>
      </c>
      <c r="CA5" s="14">
        <f t="shared" ref="CA5:CA68" si="39">EXP(-1.0587+0.8836*LN(BZ5)+0.284)</f>
        <v>0.61631841327304715</v>
      </c>
      <c r="CB5" s="22">
        <f t="shared" si="10"/>
        <v>3.4936137767656628</v>
      </c>
      <c r="CC5" s="62">
        <f t="shared" si="11"/>
        <v>244.01682062491867</v>
      </c>
      <c r="CD5" s="62">
        <f ca="1">AVERAGE(OFFSET($CC$3,0,0,'Données projet'!$E$12+1,1))-AVERAGE(OFFSET($H$3,0,0,'Données projet'!$E$12+1,1))</f>
        <v>446.15737983598251</v>
      </c>
      <c r="CE5" s="62">
        <f t="shared" ref="CE5:CE68" si="40">$CE$3</f>
        <v>282.2299715529382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243.74002865983672</v>
      </c>
      <c r="CY5" s="62">
        <f ca="1">AVERAGE(OFFSET($CX$3,0,0,'Données projet'!$E$13+1,1))-AVERAGE(OFFSET($H$3,0,0,'Données projet'!$E$13+1,1))</f>
        <v>293.03320024876842</v>
      </c>
      <c r="CZ5" s="62">
        <f t="shared" ref="CZ5:CZ68" si="42">$CZ$3</f>
        <v>287.49994652707915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6.5</v>
      </c>
      <c r="DO5" s="13">
        <f>IF('Données projet'!$A$166&gt;35,DO4+DN5-DW4,IF(A5&lt;'Données projet'!$A$166,$DL$205^A5,IF(A5='Données projet'!$A$166,'Données projet'!$B$166,DO4+DN5-DW4)))</f>
        <v>2.3045316198021406</v>
      </c>
      <c r="DP5" s="18">
        <f>DO5*VLOOKUP('Données projet'!$B$14,Paramètres!$A$1:$I$89,3,0)*VLOOKUP('Données projet'!$B$14,Paramètres!$A$1:$I$89,5,0)</f>
        <v>1.2582742644119687</v>
      </c>
      <c r="DQ5" s="14">
        <f t="shared" ref="DQ5:DQ68" si="43">EXP(-1.0587+0.8836*LN(DP5)+0.284)</f>
        <v>0.564564456137711</v>
      </c>
      <c r="DR5" s="22">
        <f t="shared" si="16"/>
        <v>3.1747774382906919</v>
      </c>
      <c r="DS5" s="62">
        <f t="shared" si="17"/>
        <v>243.6979842864437</v>
      </c>
      <c r="DT5" s="62">
        <f ca="1">AVERAGE(OFFSET($DS$3,0,0,'Données projet'!$E$14+1,1))-AVERAGE(OFFSET($H$3,0,0,'Données projet'!$E$14+1,1))</f>
        <v>253.0312006976271</v>
      </c>
      <c r="DU5" s="62">
        <f t="shared" ref="DU5:DU68" si="44">$DU$3</f>
        <v>365.93937083714866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1.05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3.85</v>
      </c>
      <c r="H6" s="70">
        <f t="shared" si="1"/>
        <v>241.26666666666665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8.1284210526315785</v>
      </c>
      <c r="N6" s="14">
        <f>IF('Données projet'!$A$36&gt;35,N5+M6-V5,IF(A6&lt;'Données projet'!$A$36,$K$205^A6,IF(A6='Données projet'!$A$36,'Données projet'!$B$36,N5+M6-V5)))</f>
        <v>2.2161219306335851</v>
      </c>
      <c r="O6" s="14">
        <f>N6*VLOOKUP('Données projet'!$B$9,Paramètres!$A$1:$I$89,3,0)*VLOOKUP('Données projet'!$B$9,Paramètres!$A$1:$I$89,5,0)</f>
        <v>1.2388121592241741</v>
      </c>
      <c r="P6" s="14">
        <f t="shared" si="33"/>
        <v>0.5568416206694583</v>
      </c>
      <c r="Q6" s="22">
        <f t="shared" si="2"/>
        <v>3.1274303333147428</v>
      </c>
      <c r="R6" s="62">
        <f t="shared" si="0"/>
        <v>245.19531798632391</v>
      </c>
      <c r="S6" s="62">
        <f ca="1">AVERAGE(OFFSET($R$3,0,0,'Données projet'!$E$9+1,1))-AVERAGE(OFFSET($H$3,0,0,'Données projet'!$E$9+1,1))</f>
        <v>393.3487617557011</v>
      </c>
      <c r="T6" s="62">
        <f t="shared" si="34"/>
        <v>360.09400083977084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1.5096031768660487</v>
      </c>
      <c r="AK6" s="14">
        <f t="shared" si="35"/>
        <v>0.66312474757151718</v>
      </c>
      <c r="AL6" s="22">
        <f t="shared" si="4"/>
        <v>3.7841678017287599</v>
      </c>
      <c r="AM6" s="62">
        <f t="shared" si="5"/>
        <v>245.85205545473792</v>
      </c>
      <c r="AN6" s="62">
        <f ca="1">AVERAGE(OFFSET($AM$3,0,0,'Données projet'!$E$10+1,1))-AVERAGE(OFFSET($H$3,0,0,'Données projet'!$E$10+1,1))</f>
        <v>283.28499080043167</v>
      </c>
      <c r="AO6" s="62">
        <f t="shared" si="36"/>
        <v>278.56966286485783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1.6380800429823084</v>
      </c>
      <c r="BF6" s="14">
        <f t="shared" si="37"/>
        <v>0.71275221602487127</v>
      </c>
      <c r="BG6" s="22">
        <f t="shared" si="7"/>
        <v>4.0943661844375043</v>
      </c>
      <c r="BH6" s="62">
        <f t="shared" si="8"/>
        <v>246.16225383744666</v>
      </c>
      <c r="BI6" s="62">
        <f ca="1">AVERAGE(OFFSET($BH$3,0,0,'Données projet'!$E$11+1,1))-AVERAGE(OFFSET($H$3,0,0,'Données projet'!$E$11+1,1))</f>
        <v>303.91914071195419</v>
      </c>
      <c r="BJ6" s="62">
        <f t="shared" si="38"/>
        <v>298.30050362688769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1.7220708720671365</v>
      </c>
      <c r="CA6" s="14">
        <f t="shared" si="39"/>
        <v>0.74494935243383209</v>
      </c>
      <c r="CB6" s="22">
        <f t="shared" si="10"/>
        <v>4.2967268910058536</v>
      </c>
      <c r="CC6" s="62">
        <f t="shared" si="11"/>
        <v>246.36461454401501</v>
      </c>
      <c r="CD6" s="62">
        <f ca="1">AVERAGE(OFFSET($CC$3,0,0,'Données projet'!$E$12+1,1))-AVERAGE(OFFSET($H$3,0,0,'Données projet'!$E$12+1,1))</f>
        <v>446.15737983598251</v>
      </c>
      <c r="CE6" s="62">
        <f t="shared" si="40"/>
        <v>282.2299715529382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246.14565745653834</v>
      </c>
      <c r="CY6" s="62">
        <f ca="1">AVERAGE(OFFSET($CX$3,0,0,'Données projet'!$E$13+1,1))-AVERAGE(OFFSET($H$3,0,0,'Données projet'!$E$13+1,1))</f>
        <v>293.03320024876842</v>
      </c>
      <c r="CZ6" s="62">
        <f t="shared" si="42"/>
        <v>287.49994652707915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6.5</v>
      </c>
      <c r="DO6" s="13">
        <f>IF('Données projet'!$A$166&gt;35,DO5+DN6-DW5,IF(A6&lt;'Données projet'!$A$166,$DL$205^A6,IF(A6='Données projet'!$A$166,'Données projet'!$B$166,DO5+DN6-DW5)))</f>
        <v>3.4984365929380252</v>
      </c>
      <c r="DP6" s="18">
        <f>DO6*VLOOKUP('Données projet'!$B$14,Paramètres!$A$1:$I$89,3,0)*VLOOKUP('Données projet'!$B$14,Paramètres!$A$1:$I$89,5,0)</f>
        <v>1.9101463797441618</v>
      </c>
      <c r="DQ6" s="14">
        <f t="shared" si="43"/>
        <v>0.8163991738117532</v>
      </c>
      <c r="DR6" s="22">
        <f t="shared" si="16"/>
        <v>4.7487335057765518</v>
      </c>
      <c r="DS6" s="62">
        <f t="shared" si="17"/>
        <v>246.81662115878572</v>
      </c>
      <c r="DT6" s="62">
        <f ca="1">AVERAGE(OFFSET($DS$3,0,0,'Données projet'!$E$14+1,1))-AVERAGE(OFFSET($H$3,0,0,'Données projet'!$E$14+1,1))</f>
        <v>253.0312006976271</v>
      </c>
      <c r="DU6" s="62">
        <f t="shared" si="44"/>
        <v>365.93937083714866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1.05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3.85</v>
      </c>
      <c r="H7" s="70">
        <f t="shared" si="1"/>
        <v>241.26666666666665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8.1284210526315785</v>
      </c>
      <c r="N7" s="14">
        <f>IF('Données projet'!$A$36&gt;35,N6+M7-V6,IF(A7&lt;'Données projet'!$A$36,$K$205^A7,IF(A7='Données projet'!$A$36,'Données projet'!$B$36,N6+M7-V6)))</f>
        <v>2.8892926670846877</v>
      </c>
      <c r="O7" s="14">
        <f>N7*VLOOKUP('Données projet'!$B$9,Paramètres!$A$1:$I$89,3,0)*VLOOKUP('Données projet'!$B$9,Paramètres!$A$1:$I$89,5,0)</f>
        <v>1.6151146009003403</v>
      </c>
      <c r="P7" s="14">
        <f t="shared" si="33"/>
        <v>0.70391551721783874</v>
      </c>
      <c r="Q7" s="22">
        <f t="shared" si="2"/>
        <v>4.0389774557224944</v>
      </c>
      <c r="R7" s="62">
        <f t="shared" si="0"/>
        <v>247.64595197808853</v>
      </c>
      <c r="S7" s="62">
        <f ca="1">AVERAGE(OFFSET($R$3,0,0,'Données projet'!$E$9+1,1))-AVERAGE(OFFSET($H$3,0,0,'Données projet'!$E$9+1,1))</f>
        <v>393.3487617557011</v>
      </c>
      <c r="T7" s="62">
        <f t="shared" si="34"/>
        <v>360.09400083977084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1.9204790888482772</v>
      </c>
      <c r="AK7" s="14">
        <f t="shared" si="35"/>
        <v>0.82030011446080875</v>
      </c>
      <c r="AL7" s="22">
        <f t="shared" si="4"/>
        <v>4.7735237790966574</v>
      </c>
      <c r="AM7" s="62">
        <f t="shared" si="5"/>
        <v>248.38049830146269</v>
      </c>
      <c r="AN7" s="62">
        <f ca="1">AVERAGE(OFFSET($AM$3,0,0,'Données projet'!$E$10+1,1))-AVERAGE(OFFSET($H$3,0,0,'Données projet'!$E$10+1,1))</f>
        <v>283.28499080043167</v>
      </c>
      <c r="AO7" s="62">
        <f t="shared" si="36"/>
        <v>278.56966286485783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2.0839241176864287</v>
      </c>
      <c r="BF7" s="14">
        <f t="shared" si="37"/>
        <v>0.88169040068036508</v>
      </c>
      <c r="BG7" s="22">
        <f t="shared" si="7"/>
        <v>5.1651119528221656</v>
      </c>
      <c r="BH7" s="62">
        <f t="shared" si="8"/>
        <v>248.77208647518822</v>
      </c>
      <c r="BI7" s="62">
        <f ca="1">AVERAGE(OFFSET($BH$3,0,0,'Données projet'!$E$11+1,1))-AVERAGE(OFFSET($H$3,0,0,'Données projet'!$E$11+1,1))</f>
        <v>303.91914071195419</v>
      </c>
      <c r="BJ7" s="62">
        <f t="shared" si="38"/>
        <v>298.30050362688769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2.1341117843442179</v>
      </c>
      <c r="CA7" s="14">
        <f t="shared" si="39"/>
        <v>0.90042667189585779</v>
      </c>
      <c r="CB7" s="22">
        <f t="shared" si="10"/>
        <v>5.2851544779514645</v>
      </c>
      <c r="CC7" s="62">
        <f t="shared" si="11"/>
        <v>248.89212900031751</v>
      </c>
      <c r="CD7" s="62">
        <f ca="1">AVERAGE(OFFSET($CC$3,0,0,'Données projet'!$E$12+1,1))-AVERAGE(OFFSET($H$3,0,0,'Données projet'!$E$12+1,1))</f>
        <v>446.15737983598251</v>
      </c>
      <c r="CE7" s="62">
        <f t="shared" si="40"/>
        <v>282.2299715529382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248.77701095632148</v>
      </c>
      <c r="CY7" s="62">
        <f ca="1">AVERAGE(OFFSET($CX$3,0,0,'Données projet'!$E$13+1,1))-AVERAGE(OFFSET($H$3,0,0,'Données projet'!$E$13+1,1))</f>
        <v>293.03320024876842</v>
      </c>
      <c r="CZ7" s="62">
        <f t="shared" si="42"/>
        <v>287.49994652707915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6.5</v>
      </c>
      <c r="DO7" s="13">
        <f>IF('Données projet'!$A$166&gt;35,DO6+DN7-DW6,IF(A7&lt;'Données projet'!$A$166,$DL$205^A7,IF(A7='Données projet'!$A$166,'Données projet'!$B$166,DO6+DN7-DW6)))</f>
        <v>5.3108659866678778</v>
      </c>
      <c r="DP7" s="18">
        <f>DO7*VLOOKUP('Données projet'!$B$14,Paramètres!$A$1:$I$89,3,0)*VLOOKUP('Données projet'!$B$14,Paramètres!$A$1:$I$89,5,0)</f>
        <v>2.8997328287206612</v>
      </c>
      <c r="DQ7" s="14">
        <f t="shared" si="43"/>
        <v>1.1805695589839535</v>
      </c>
      <c r="DR7" s="22">
        <f t="shared" si="16"/>
        <v>7.1065266585855369</v>
      </c>
      <c r="DS7" s="62">
        <f t="shared" si="17"/>
        <v>250.7135011809516</v>
      </c>
      <c r="DT7" s="62">
        <f ca="1">AVERAGE(OFFSET($DS$3,0,0,'Données projet'!$E$14+1,1))-AVERAGE(OFFSET($H$3,0,0,'Données projet'!$E$14+1,1))</f>
        <v>253.0312006976271</v>
      </c>
      <c r="DU7" s="62">
        <f t="shared" si="44"/>
        <v>365.93937083714866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1.05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3.85</v>
      </c>
      <c r="H8" s="70">
        <f t="shared" si="1"/>
        <v>241.26666666666665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8.1284210526315785</v>
      </c>
      <c r="N8" s="14">
        <f>IF('Données projet'!$A$36&gt;35,N7+M8-V7,IF(A8&lt;'Données projet'!$A$36,$K$205^A8,IF(A8='Données projet'!$A$36,'Données projet'!$B$36,N7+M8-V7)))</f>
        <v>3.7669462138676937</v>
      </c>
      <c r="O8" s="14">
        <f>N8*VLOOKUP('Données projet'!$B$9,Paramètres!$A$1:$I$89,3,0)*VLOOKUP('Données projet'!$B$9,Paramètres!$A$1:$I$89,5,0)</f>
        <v>2.1057229335520411</v>
      </c>
      <c r="P8" s="14">
        <f t="shared" si="33"/>
        <v>0.88983480578256757</v>
      </c>
      <c r="Q8" s="22">
        <f t="shared" si="2"/>
        <v>5.2172630626744434</v>
      </c>
      <c r="R8" s="62">
        <f t="shared" si="0"/>
        <v>250.35782756117285</v>
      </c>
      <c r="S8" s="62">
        <f ca="1">AVERAGE(OFFSET($R$3,0,0,'Données projet'!$E$9+1,1))-AVERAGE(OFFSET($H$3,0,0,'Données projet'!$E$9+1,1))</f>
        <v>393.3487617557011</v>
      </c>
      <c r="T8" s="62">
        <f t="shared" si="34"/>
        <v>360.09400083977084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2.4431850616268127</v>
      </c>
      <c r="AK8" s="14">
        <f t="shared" si="35"/>
        <v>1.0147295516396715</v>
      </c>
      <c r="AL8" s="22">
        <f t="shared" si="4"/>
        <v>6.0225346181057935</v>
      </c>
      <c r="AM8" s="62">
        <f t="shared" si="5"/>
        <v>251.1630991166042</v>
      </c>
      <c r="AN8" s="62">
        <f ca="1">AVERAGE(OFFSET($AM$3,0,0,'Données projet'!$E$10+1,1))-AVERAGE(OFFSET($H$3,0,0,'Données projet'!$E$10+1,1))</f>
        <v>283.28499080043167</v>
      </c>
      <c r="AO8" s="62">
        <f t="shared" si="36"/>
        <v>278.56966286485783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2.6511157051695204</v>
      </c>
      <c r="BF8" s="14">
        <f t="shared" si="37"/>
        <v>1.0906707059957799</v>
      </c>
      <c r="BG8" s="22">
        <f t="shared" si="7"/>
        <v>6.5169446661128978</v>
      </c>
      <c r="BH8" s="62">
        <f t="shared" si="8"/>
        <v>251.6575091646113</v>
      </c>
      <c r="BI8" s="62">
        <f ca="1">AVERAGE(OFFSET($BH$3,0,0,'Données projet'!$E$11+1,1))-AVERAGE(OFFSET($H$3,0,0,'Données projet'!$E$11+1,1))</f>
        <v>303.91914071195419</v>
      </c>
      <c r="BJ8" s="62">
        <f t="shared" si="38"/>
        <v>298.30050362688769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2.6447419684939089</v>
      </c>
      <c r="CA8" s="14">
        <f t="shared" si="39"/>
        <v>1.0883534414958294</v>
      </c>
      <c r="CB8" s="22">
        <f t="shared" si="10"/>
        <v>6.5018078390654601</v>
      </c>
      <c r="CC8" s="62">
        <f t="shared" si="11"/>
        <v>251.64237233756387</v>
      </c>
      <c r="CD8" s="62">
        <f ca="1">AVERAGE(OFFSET($CC$3,0,0,'Données projet'!$E$12+1,1))-AVERAGE(OFFSET($H$3,0,0,'Données projet'!$E$12+1,1))</f>
        <v>446.15737983598251</v>
      </c>
      <c r="CE8" s="62">
        <f t="shared" si="40"/>
        <v>282.2299715529382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251.69656298002116</v>
      </c>
      <c r="CY8" s="62">
        <f ca="1">AVERAGE(OFFSET($CX$3,0,0,'Données projet'!$E$13+1,1))-AVERAGE(OFFSET($H$3,0,0,'Données projet'!$E$13+1,1))</f>
        <v>293.03320024876842</v>
      </c>
      <c r="CZ8" s="62">
        <f t="shared" si="42"/>
        <v>287.49994652707915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6.5</v>
      </c>
      <c r="DO8" s="13">
        <f>IF('Données projet'!$A$166&gt;35,DO7+DN8-DW7,IF(A8&lt;'Données projet'!$A$166,$DL$205^A8,IF(A8='Données projet'!$A$166,'Données projet'!$B$166,DO7+DN8-DW7)))</f>
        <v>8.0622577482985491</v>
      </c>
      <c r="DP8" s="18">
        <f>DO8*VLOOKUP('Données projet'!$B$14,Paramètres!$A$1:$I$89,3,0)*VLOOKUP('Données projet'!$B$14,Paramètres!$A$1:$I$89,5,0)</f>
        <v>4.401992730571008</v>
      </c>
      <c r="DQ8" s="14">
        <f t="shared" si="43"/>
        <v>1.7071850735617471</v>
      </c>
      <c r="DR8" s="22">
        <f t="shared" si="16"/>
        <v>10.64015134219788</v>
      </c>
      <c r="DS8" s="62">
        <f t="shared" si="17"/>
        <v>255.78071584069627</v>
      </c>
      <c r="DT8" s="62">
        <f ca="1">AVERAGE(OFFSET($DS$3,0,0,'Données projet'!$E$14+1,1))-AVERAGE(OFFSET($H$3,0,0,'Données projet'!$E$14+1,1))</f>
        <v>253.0312006976271</v>
      </c>
      <c r="DU8" s="62">
        <f t="shared" si="44"/>
        <v>365.93937083714866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1.05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3.85</v>
      </c>
      <c r="H9" s="70">
        <f t="shared" si="1"/>
        <v>241.26666666666665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8.1284210526315785</v>
      </c>
      <c r="N9" s="14">
        <f>IF('Données projet'!$A$36&gt;35,N8+M9-V8,IF(A9&lt;'Données projet'!$A$36,$K$205^A9,IF(A9='Données projet'!$A$36,'Données projet'!$B$36,N8+M9-V8)))</f>
        <v>4.911196411435129</v>
      </c>
      <c r="O9" s="14">
        <f>N9*VLOOKUP('Données projet'!$B$9,Paramètres!$A$1:$I$89,3,0)*VLOOKUP('Données projet'!$B$9,Paramètres!$A$1:$I$89,5,0)</f>
        <v>2.7453587939922373</v>
      </c>
      <c r="P9" s="14">
        <f t="shared" si="33"/>
        <v>1.1248593932289483</v>
      </c>
      <c r="Q9" s="22">
        <f t="shared" si="2"/>
        <v>6.7406300094102312</v>
      </c>
      <c r="R9" s="62">
        <f t="shared" si="0"/>
        <v>253.40938294962464</v>
      </c>
      <c r="S9" s="62">
        <f ca="1">AVERAGE(OFFSET($R$3,0,0,'Données projet'!$E$9+1,1))-AVERAGE(OFFSET($H$3,0,0,'Données projet'!$E$9+1,1))</f>
        <v>393.3487617557011</v>
      </c>
      <c r="T9" s="62">
        <f t="shared" si="34"/>
        <v>360.09400083977084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3.1081584173541552</v>
      </c>
      <c r="AK9" s="14">
        <f t="shared" si="35"/>
        <v>1.2552431053208675</v>
      </c>
      <c r="AL9" s="22">
        <f t="shared" si="4"/>
        <v>7.5995909853256647</v>
      </c>
      <c r="AM9" s="62">
        <f t="shared" si="5"/>
        <v>254.26834392554008</v>
      </c>
      <c r="AN9" s="62">
        <f ca="1">AVERAGE(OFFSET($AM$3,0,0,'Données projet'!$E$10+1,1))-AVERAGE(OFFSET($H$3,0,0,'Données projet'!$E$10+1,1))</f>
        <v>283.28499080043167</v>
      </c>
      <c r="AO9" s="62">
        <f t="shared" si="36"/>
        <v>278.56966286485783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3.3726825379800407</v>
      </c>
      <c r="BF9" s="14">
        <f t="shared" si="37"/>
        <v>1.3491840083541735</v>
      </c>
      <c r="BG9" s="22">
        <f t="shared" si="7"/>
        <v>8.2239175681987557</v>
      </c>
      <c r="BH9" s="62">
        <f t="shared" si="8"/>
        <v>254.89267050841315</v>
      </c>
      <c r="BI9" s="62">
        <f ca="1">AVERAGE(OFFSET($BH$3,0,0,'Données projet'!$E$11+1,1))-AVERAGE(OFFSET($H$3,0,0,'Données projet'!$E$11+1,1))</f>
        <v>303.91914071195419</v>
      </c>
      <c r="BJ9" s="62">
        <f t="shared" si="38"/>
        <v>298.30050362688769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3.2775509376901719</v>
      </c>
      <c r="CA9" s="14">
        <f t="shared" si="39"/>
        <v>1.315502139804245</v>
      </c>
      <c r="CB9" s="22">
        <f t="shared" si="10"/>
        <v>7.9995674433027766</v>
      </c>
      <c r="CC9" s="62">
        <f t="shared" si="11"/>
        <v>254.66832038351717</v>
      </c>
      <c r="CD9" s="62">
        <f ca="1">AVERAGE(OFFSET($CC$3,0,0,'Données projet'!$E$12+1,1))-AVERAGE(OFFSET($H$3,0,0,'Données projet'!$E$12+1,1))</f>
        <v>446.15737983598251</v>
      </c>
      <c r="CE9" s="62">
        <f t="shared" si="40"/>
        <v>282.2299715529382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254.98366302544738</v>
      </c>
      <c r="CY9" s="62">
        <f ca="1">AVERAGE(OFFSET($CX$3,0,0,'Données projet'!$E$13+1,1))-AVERAGE(OFFSET($H$3,0,0,'Données projet'!$E$13+1,1))</f>
        <v>293.03320024876842</v>
      </c>
      <c r="CZ9" s="62">
        <f t="shared" si="42"/>
        <v>287.49994652707915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6.5</v>
      </c>
      <c r="DO9" s="13">
        <f>IF('Données projet'!$A$166&gt;35,DO8+DN9-DW8,IF(A9&lt;'Données projet'!$A$166,$DL$205^A9,IF(A9='Données projet'!$A$166,'Données projet'!$B$166,DO8+DN9-DW8)))</f>
        <v>12.239058594807817</v>
      </c>
      <c r="DP9" s="18">
        <f>DO9*VLOOKUP('Données projet'!$B$14,Paramètres!$A$1:$I$89,3,0)*VLOOKUP('Données projet'!$B$14,Paramètres!$A$1:$I$89,5,0)</f>
        <v>6.6825259927650684</v>
      </c>
      <c r="DQ9" s="14">
        <f t="shared" si="43"/>
        <v>2.4687074583731836</v>
      </c>
      <c r="DR9" s="22">
        <f t="shared" si="16"/>
        <v>15.938398260732454</v>
      </c>
      <c r="DS9" s="62">
        <f t="shared" si="17"/>
        <v>262.60715120094687</v>
      </c>
      <c r="DT9" s="62">
        <f ca="1">AVERAGE(OFFSET($DS$3,0,0,'Données projet'!$E$14+1,1))-AVERAGE(OFFSET($H$3,0,0,'Données projet'!$E$14+1,1))</f>
        <v>253.0312006976271</v>
      </c>
      <c r="DU9" s="62">
        <f t="shared" si="44"/>
        <v>365.93937083714866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1.05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3.85</v>
      </c>
      <c r="H10" s="70">
        <f t="shared" si="1"/>
        <v>241.26666666666665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8.1284210526315785</v>
      </c>
      <c r="N10" s="14">
        <f>IF('Données projet'!$A$36&gt;35,N9+M10-V9,IF(A10&lt;'Données projet'!$A$36,$K$205^A10,IF(A10='Données projet'!$A$36,'Données projet'!$B$36,N9+M10-V9)))</f>
        <v>6.403024843545178</v>
      </c>
      <c r="O10" s="14">
        <f>N10*VLOOKUP('Données projet'!$B$9,Paramètres!$A$1:$I$89,3,0)*VLOOKUP('Données projet'!$B$9,Paramètres!$A$1:$I$89,5,0)</f>
        <v>3.5792908875417546</v>
      </c>
      <c r="P10" s="14">
        <f t="shared" si="33"/>
        <v>1.4219590493795295</v>
      </c>
      <c r="Q10" s="22">
        <f t="shared" si="2"/>
        <v>8.7105103068045704</v>
      </c>
      <c r="R10" s="62">
        <f t="shared" si="0"/>
        <v>256.9021438588648</v>
      </c>
      <c r="S10" s="62">
        <f ca="1">AVERAGE(OFFSET($R$3,0,0,'Données projet'!$E$9+1,1))-AVERAGE(OFFSET($H$3,0,0,'Données projet'!$E$9+1,1))</f>
        <v>393.3487617557011</v>
      </c>
      <c r="T10" s="62">
        <f t="shared" si="34"/>
        <v>360.09400083977084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3.9541207496319881</v>
      </c>
      <c r="AK10" s="14">
        <f t="shared" si="35"/>
        <v>1.5527637397664751</v>
      </c>
      <c r="AL10" s="22">
        <f t="shared" si="4"/>
        <v>9.5911571523689911</v>
      </c>
      <c r="AM10" s="62">
        <f t="shared" si="5"/>
        <v>257.7827907044292</v>
      </c>
      <c r="AN10" s="62">
        <f ca="1">AVERAGE(OFFSET($AM$3,0,0,'Données projet'!$E$10+1,1))-AVERAGE(OFFSET($H$3,0,0,'Données projet'!$E$10+1,1))</f>
        <v>283.28499080043167</v>
      </c>
      <c r="AO10" s="62">
        <f t="shared" si="36"/>
        <v>278.56966286485783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4.2906416644942853</v>
      </c>
      <c r="BF10" s="14">
        <f t="shared" si="37"/>
        <v>1.6689707336887791</v>
      </c>
      <c r="BG10" s="22">
        <f t="shared" si="7"/>
        <v>10.379658260168837</v>
      </c>
      <c r="BH10" s="62">
        <f t="shared" si="8"/>
        <v>258.57129181222905</v>
      </c>
      <c r="BI10" s="62">
        <f ca="1">AVERAGE(OFFSET($BH$3,0,0,'Données projet'!$E$11+1,1))-AVERAGE(OFFSET($H$3,0,0,'Données projet'!$E$11+1,1))</f>
        <v>303.91914071195419</v>
      </c>
      <c r="BJ10" s="62">
        <f t="shared" si="38"/>
        <v>298.30050362688769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4.0617724818240486</v>
      </c>
      <c r="CA10" s="14">
        <f t="shared" si="39"/>
        <v>1.590058719758437</v>
      </c>
      <c r="CB10" s="22">
        <f t="shared" si="10"/>
        <v>9.8436060094228282</v>
      </c>
      <c r="CC10" s="62">
        <f t="shared" si="11"/>
        <v>258.03523956148302</v>
      </c>
      <c r="CD10" s="62">
        <f ca="1">AVERAGE(OFFSET($CC$3,0,0,'Données projet'!$E$12+1,1))-AVERAGE(OFFSET($H$3,0,0,'Données projet'!$E$12+1,1))</f>
        <v>446.15737983598251</v>
      </c>
      <c r="CE10" s="62">
        <f t="shared" si="40"/>
        <v>282.2299715529382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258.73911712893295</v>
      </c>
      <c r="CY10" s="62">
        <f ca="1">AVERAGE(OFFSET($CX$3,0,0,'Données projet'!$E$13+1,1))-AVERAGE(OFFSET($H$3,0,0,'Données projet'!$E$13+1,1))</f>
        <v>293.03320024876842</v>
      </c>
      <c r="CZ10" s="62">
        <f t="shared" si="42"/>
        <v>287.49994652707915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6.5</v>
      </c>
      <c r="DO10" s="13">
        <f>IF('Données projet'!$A$166&gt;35,DO9+DN10-DW9,IF(A10&lt;'Données projet'!$A$166,$DL$205^A10,IF(A10='Données projet'!$A$166,'Données projet'!$B$166,DO9+DN10-DW9)))</f>
        <v>18.579727907948815</v>
      </c>
      <c r="DP10" s="18">
        <f>DO10*VLOOKUP('Données projet'!$B$14,Paramètres!$A$1:$I$89,3,0)*VLOOKUP('Données projet'!$B$14,Paramètres!$A$1:$I$89,5,0)</f>
        <v>10.144531437740053</v>
      </c>
      <c r="DQ10" s="14">
        <f t="shared" si="43"/>
        <v>3.5699213924781037</v>
      </c>
      <c r="DR10" s="22">
        <f t="shared" si="16"/>
        <v>23.886005345963287</v>
      </c>
      <c r="DS10" s="62">
        <f t="shared" si="17"/>
        <v>272.07763889802351</v>
      </c>
      <c r="DT10" s="62">
        <f ca="1">AVERAGE(OFFSET($DS$3,0,0,'Données projet'!$E$14+1,1))-AVERAGE(OFFSET($H$3,0,0,'Données projet'!$E$14+1,1))</f>
        <v>253.0312006976271</v>
      </c>
      <c r="DU10" s="62">
        <f t="shared" si="44"/>
        <v>365.93937083714866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1.05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3.85</v>
      </c>
      <c r="H11" s="70">
        <f t="shared" si="1"/>
        <v>241.26666666666665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8.1284210526315785</v>
      </c>
      <c r="N11" s="14">
        <f>IF('Données projet'!$A$36&gt;35,N10+M11-V10,IF(A11&lt;'Données projet'!$A$36,$K$205^A11,IF(A11='Données projet'!$A$36,'Données projet'!$B$36,N10+M11-V10)))</f>
        <v>8.3480121160693486</v>
      </c>
      <c r="O11" s="14">
        <f>N11*VLOOKUP('Données projet'!$B$9,Paramètres!$A$1:$I$89,3,0)*VLOOKUP('Données projet'!$B$9,Paramètres!$A$1:$I$89,5,0)</f>
        <v>4.6665387728827659</v>
      </c>
      <c r="P11" s="14">
        <f t="shared" si="33"/>
        <v>1.7975291403383375</v>
      </c>
      <c r="Q11" s="22">
        <f t="shared" si="2"/>
        <v>11.258251615526754</v>
      </c>
      <c r="R11" s="62">
        <f t="shared" si="0"/>
        <v>260.96755002854422</v>
      </c>
      <c r="S11" s="62">
        <f ca="1">AVERAGE(OFFSET($R$3,0,0,'Données projet'!$E$9+1,1))-AVERAGE(OFFSET($H$3,0,0,'Données projet'!$E$9+1,1))</f>
        <v>393.3487617557011</v>
      </c>
      <c r="T11" s="62">
        <f t="shared" si="34"/>
        <v>360.09400083977084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5.0303326932671979</v>
      </c>
      <c r="AK11" s="14">
        <f t="shared" si="35"/>
        <v>1.9208034055819379</v>
      </c>
      <c r="AL11" s="22">
        <f t="shared" si="4"/>
        <v>12.106562038828912</v>
      </c>
      <c r="AM11" s="62">
        <f t="shared" si="5"/>
        <v>261.81586045184639</v>
      </c>
      <c r="AN11" s="62">
        <f ca="1">AVERAGE(OFFSET($AM$3,0,0,'Données projet'!$E$10+1,1))-AVERAGE(OFFSET($H$3,0,0,'Données projet'!$E$10+1,1))</f>
        <v>283.28499080043167</v>
      </c>
      <c r="AO11" s="62">
        <f t="shared" si="36"/>
        <v>278.56966286485783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5.4584461139707896</v>
      </c>
      <c r="BF11" s="14">
        <f t="shared" si="37"/>
        <v>2.0645540509389519</v>
      </c>
      <c r="BG11" s="22">
        <f t="shared" si="7"/>
        <v>13.102558620551131</v>
      </c>
      <c r="BH11" s="62">
        <f t="shared" si="8"/>
        <v>262.81185703356863</v>
      </c>
      <c r="BI11" s="62">
        <f ca="1">AVERAGE(OFFSET($BH$3,0,0,'Données projet'!$E$11+1,1))-AVERAGE(OFFSET($H$3,0,0,'Données projet'!$E$11+1,1))</f>
        <v>303.91914071195419</v>
      </c>
      <c r="BJ11" s="62">
        <f t="shared" si="38"/>
        <v>298.30050362688769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5.0336351769196082</v>
      </c>
      <c r="CA11" s="14">
        <f t="shared" si="39"/>
        <v>1.9219176128866391</v>
      </c>
      <c r="CB11" s="22">
        <f t="shared" si="10"/>
        <v>12.11425444224588</v>
      </c>
      <c r="CC11" s="62">
        <f t="shared" si="11"/>
        <v>261.82355285526336</v>
      </c>
      <c r="CD11" s="62">
        <f ca="1">AVERAGE(OFFSET($CC$3,0,0,'Données projet'!$E$12+1,1))-AVERAGE(OFFSET($H$3,0,0,'Données projet'!$E$12+1,1))</f>
        <v>446.15737983598251</v>
      </c>
      <c r="CE11" s="62">
        <f t="shared" si="40"/>
        <v>282.2299715529382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263.09101562781689</v>
      </c>
      <c r="CY11" s="62">
        <f ca="1">AVERAGE(OFFSET($CX$3,0,0,'Données projet'!$E$13+1,1))-AVERAGE(OFFSET($H$3,0,0,'Données projet'!$E$13+1,1))</f>
        <v>293.03320024876842</v>
      </c>
      <c r="CZ11" s="62">
        <f t="shared" si="42"/>
        <v>287.49994652707915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6.5</v>
      </c>
      <c r="DO11" s="13">
        <f>IF('Données projet'!$A$166&gt;35,DO10+DN11-DW10,IF(A11&lt;'Données projet'!$A$166,$DL$205^A11,IF(A11='Données projet'!$A$166,'Données projet'!$B$166,DO10+DN11-DW10)))</f>
        <v>28.205297528345771</v>
      </c>
      <c r="DP11" s="18">
        <f>DO11*VLOOKUP('Données projet'!$B$14,Paramètres!$A$1:$I$89,3,0)*VLOOKUP('Données projet'!$B$14,Paramètres!$A$1:$I$89,5,0)</f>
        <v>15.400092450476791</v>
      </c>
      <c r="DQ11" s="14">
        <f t="shared" si="43"/>
        <v>5.1623527547775945</v>
      </c>
      <c r="DR11" s="22">
        <f t="shared" si="16"/>
        <v>35.812925399151389</v>
      </c>
      <c r="DS11" s="62">
        <f t="shared" si="17"/>
        <v>285.52222381216887</v>
      </c>
      <c r="DT11" s="62">
        <f ca="1">AVERAGE(OFFSET($DS$3,0,0,'Données projet'!$E$14+1,1))-AVERAGE(OFFSET($H$3,0,0,'Données projet'!$E$14+1,1))</f>
        <v>253.0312006976271</v>
      </c>
      <c r="DU11" s="62">
        <f t="shared" si="44"/>
        <v>365.93937083714866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1.05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3.85</v>
      </c>
      <c r="H12" s="70">
        <f t="shared" si="1"/>
        <v>241.26666666666665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8.1284210526315785</v>
      </c>
      <c r="N12" s="14">
        <f>IF('Données projet'!$A$36&gt;35,N11+M12-V11,IF(A12&lt;'Données projet'!$A$36,$K$205^A12,IF(A12='Données projet'!$A$36,'Données projet'!$B$36,N11+M12-V11)))</f>
        <v>10.883810073030356</v>
      </c>
      <c r="O12" s="14">
        <f>N12*VLOOKUP('Données projet'!$B$9,Paramètres!$A$1:$I$89,3,0)*VLOOKUP('Données projet'!$B$9,Paramètres!$A$1:$I$89,5,0)</f>
        <v>6.084049830823969</v>
      </c>
      <c r="P12" s="14">
        <f t="shared" si="33"/>
        <v>2.272295402441705</v>
      </c>
      <c r="Q12" s="22">
        <f t="shared" si="2"/>
        <v>14.553967947937716</v>
      </c>
      <c r="R12" s="62">
        <f t="shared" si="0"/>
        <v>265.77580595264118</v>
      </c>
      <c r="S12" s="62">
        <f ca="1">AVERAGE(OFFSET($R$3,0,0,'Données projet'!$E$9+1,1))-AVERAGE(OFFSET($H$3,0,0,'Données projet'!$E$9+1,1))</f>
        <v>393.3487617557011</v>
      </c>
      <c r="T12" s="62">
        <f t="shared" si="34"/>
        <v>360.09400083977084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6.399462385489338</v>
      </c>
      <c r="AK12" s="14">
        <f t="shared" si="35"/>
        <v>2.3760766872686268</v>
      </c>
      <c r="AL12" s="22">
        <f t="shared" si="4"/>
        <v>15.284063885053456</v>
      </c>
      <c r="AM12" s="62">
        <f t="shared" si="5"/>
        <v>266.50590188975696</v>
      </c>
      <c r="AN12" s="62">
        <f ca="1">AVERAGE(OFFSET($AM$3,0,0,'Données projet'!$E$10+1,1))-AVERAGE(OFFSET($H$3,0,0,'Données projet'!$E$10+1,1))</f>
        <v>283.28499080043167</v>
      </c>
      <c r="AO12" s="62">
        <f t="shared" si="36"/>
        <v>278.56966286485783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6.9440974821267289</v>
      </c>
      <c r="BF12" s="14">
        <f t="shared" si="37"/>
        <v>2.5538994442566798</v>
      </c>
      <c r="BG12" s="22">
        <f t="shared" si="7"/>
        <v>16.542344646784436</v>
      </c>
      <c r="BH12" s="62">
        <f t="shared" si="8"/>
        <v>267.76418265148789</v>
      </c>
      <c r="BI12" s="62">
        <f ca="1">AVERAGE(OFFSET($BH$3,0,0,'Données projet'!$E$11+1,1))-AVERAGE(OFFSET($H$3,0,0,'Données projet'!$E$11+1,1))</f>
        <v>303.91914071195419</v>
      </c>
      <c r="BJ12" s="62">
        <f t="shared" si="38"/>
        <v>298.30050362688769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6.2380360317336141</v>
      </c>
      <c r="CA12" s="14">
        <f t="shared" si="39"/>
        <v>2.3230383034439352</v>
      </c>
      <c r="CB12" s="22">
        <f t="shared" si="10"/>
        <v>14.910537800434229</v>
      </c>
      <c r="CC12" s="62">
        <f t="shared" si="11"/>
        <v>266.13237580513771</v>
      </c>
      <c r="CD12" s="62">
        <f ca="1">AVERAGE(OFFSET($CC$3,0,0,'Données projet'!$E$12+1,1))-AVERAGE(OFFSET($H$3,0,0,'Données projet'!$E$12+1,1))</f>
        <v>446.15737983598251</v>
      </c>
      <c r="CE12" s="62">
        <f t="shared" si="40"/>
        <v>282.2299715529382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268.20214812210526</v>
      </c>
      <c r="CY12" s="62">
        <f ca="1">AVERAGE(OFFSET($CX$3,0,0,'Données projet'!$E$13+1,1))-AVERAGE(OFFSET($H$3,0,0,'Données projet'!$E$13+1,1))</f>
        <v>293.03320024876842</v>
      </c>
      <c r="CZ12" s="62">
        <f t="shared" si="42"/>
        <v>287.49994652707915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6.5</v>
      </c>
      <c r="DO12" s="13">
        <f>IF('Données projet'!$A$166&gt;35,DO11+DN12-DW11,IF(A12&lt;'Données projet'!$A$166,$DL$205^A12,IF(A12='Données projet'!$A$166,'Données projet'!$B$166,DO11+DN12-DW11)))</f>
        <v>42.817570451188317</v>
      </c>
      <c r="DP12" s="18">
        <f>DO12*VLOOKUP('Données projet'!$B$14,Paramètres!$A$1:$I$89,3,0)*VLOOKUP('Données projet'!$B$14,Paramètres!$A$1:$I$89,5,0)</f>
        <v>23.378393466348818</v>
      </c>
      <c r="DQ12" s="14">
        <f t="shared" si="43"/>
        <v>7.4651184255517995</v>
      </c>
      <c r="DR12" s="22">
        <f t="shared" si="16"/>
        <v>53.719116545060238</v>
      </c>
      <c r="DS12" s="62">
        <f t="shared" si="17"/>
        <v>304.94095454976372</v>
      </c>
      <c r="DT12" s="62">
        <f ca="1">AVERAGE(OFFSET($DS$3,0,0,'Données projet'!$E$14+1,1))-AVERAGE(OFFSET($H$3,0,0,'Données projet'!$E$14+1,1))</f>
        <v>253.0312006976271</v>
      </c>
      <c r="DU12" s="62">
        <f t="shared" si="44"/>
        <v>365.93937083714866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1.05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3.85</v>
      </c>
      <c r="H13" s="70">
        <f t="shared" si="1"/>
        <v>241.26666666666665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8.1284210526315785</v>
      </c>
      <c r="N13" s="14">
        <f>IF('Données projet'!$A$36&gt;35,N12+M13-V12,IF(A13&lt;'Données projet'!$A$36,$K$205^A13,IF(A13='Données projet'!$A$36,'Données projet'!$B$36,N12+M13-V12)))</f>
        <v>14.189883778172153</v>
      </c>
      <c r="O13" s="14">
        <f>N13*VLOOKUP('Données projet'!$B$9,Paramètres!$A$1:$I$89,3,0)*VLOOKUP('Données projet'!$B$9,Paramètres!$A$1:$I$89,5,0)</f>
        <v>7.9321450319982336</v>
      </c>
      <c r="P13" s="14">
        <f t="shared" si="33"/>
        <v>2.8724576865473512</v>
      </c>
      <c r="Q13" s="22">
        <f t="shared" si="2"/>
        <v>18.818016401466895</v>
      </c>
      <c r="R13" s="62">
        <f t="shared" si="0"/>
        <v>271.54735764054857</v>
      </c>
      <c r="S13" s="62">
        <f ca="1">AVERAGE(OFFSET($R$3,0,0,'Données projet'!$E$9+1,1))-AVERAGE(OFFSET($H$3,0,0,'Données projet'!$E$9+1,1))</f>
        <v>393.3487617557011</v>
      </c>
      <c r="T13" s="62">
        <f t="shared" si="34"/>
        <v>360.09400083977084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8.1412346499678296</v>
      </c>
      <c r="AK13" s="14">
        <f t="shared" si="35"/>
        <v>2.9392598989436851</v>
      </c>
      <c r="AL13" s="22">
        <f t="shared" si="4"/>
        <v>19.298528006020888</v>
      </c>
      <c r="AM13" s="62">
        <f t="shared" si="5"/>
        <v>272.02786924510258</v>
      </c>
      <c r="AN13" s="62">
        <f ca="1">AVERAGE(OFFSET($AM$3,0,0,'Données projet'!$E$10+1,1))-AVERAGE(OFFSET($H$3,0,0,'Données projet'!$E$10+1,1))</f>
        <v>283.28499080043167</v>
      </c>
      <c r="AO13" s="62">
        <f t="shared" si="36"/>
        <v>278.56966286485783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8.8341056840076444</v>
      </c>
      <c r="BF13" s="14">
        <f t="shared" si="37"/>
        <v>3.1592306185484516</v>
      </c>
      <c r="BG13" s="22">
        <f t="shared" si="7"/>
        <v>20.888394060285197</v>
      </c>
      <c r="BH13" s="62">
        <f t="shared" si="8"/>
        <v>273.61773529936687</v>
      </c>
      <c r="BI13" s="62">
        <f ca="1">AVERAGE(OFFSET($BH$3,0,0,'Données projet'!$E$11+1,1))-AVERAGE(OFFSET($H$3,0,0,'Données projet'!$E$11+1,1))</f>
        <v>303.91914071195419</v>
      </c>
      <c r="BJ13" s="62">
        <f t="shared" si="38"/>
        <v>298.30050362688769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7.7306145887633031</v>
      </c>
      <c r="CA13" s="14">
        <f t="shared" si="39"/>
        <v>2.8078763226288115</v>
      </c>
      <c r="CB13" s="22">
        <f t="shared" si="10"/>
        <v>18.354538337341264</v>
      </c>
      <c r="CC13" s="62">
        <f t="shared" si="11"/>
        <v>271.08387957642293</v>
      </c>
      <c r="CD13" s="62">
        <f ca="1">AVERAGE(OFFSET($CC$3,0,0,'Données projet'!$E$12+1,1))-AVERAGE(OFFSET($H$3,0,0,'Données projet'!$E$12+1,1))</f>
        <v>446.15737983598251</v>
      </c>
      <c r="CE13" s="62">
        <f t="shared" si="40"/>
        <v>282.2299715529382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274.27943902782329</v>
      </c>
      <c r="CY13" s="62">
        <f ca="1">AVERAGE(OFFSET($CX$3,0,0,'Données projet'!$E$13+1,1))-AVERAGE(OFFSET($H$3,0,0,'Données projet'!$E$13+1,1))</f>
        <v>293.03320024876842</v>
      </c>
      <c r="CZ13" s="62">
        <f t="shared" si="42"/>
        <v>287.49994652707915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65</v>
      </c>
      <c r="DM13" s="13">
        <f>VLOOKUP(A13,'Données projet'!$A$165:$I$185,9,0)</f>
        <v>6.5</v>
      </c>
      <c r="DN13" s="13">
        <f t="array" ref="DN13">INDEX(DM:DM,MIN(IF(ISNUMBER(DM13:DM209),ROW(DM13:DM209),"")))</f>
        <v>6.5</v>
      </c>
      <c r="DO13" s="13">
        <f>IF('Données projet'!$A$166&gt;35,DO12+DN13-DW12,IF(A13&lt;'Données projet'!$A$166,$DL$205^A13,IF(A13='Données projet'!$A$166,'Données projet'!$B$166,DO12+DN13-DW12)))</f>
        <v>65</v>
      </c>
      <c r="DP13" s="18">
        <f>DO13*VLOOKUP('Données projet'!$B$14,Paramètres!$A$1:$I$89,3,0)*VLOOKUP('Données projet'!$B$14,Paramètres!$A$1:$I$89,5,0)</f>
        <v>35.49</v>
      </c>
      <c r="DQ13" s="14">
        <f t="shared" si="43"/>
        <v>10.79507653868451</v>
      </c>
      <c r="DR13" s="22">
        <f t="shared" si="16"/>
        <v>80.613174971542193</v>
      </c>
      <c r="DS13" s="62">
        <f t="shared" si="17"/>
        <v>333.34251621062384</v>
      </c>
      <c r="DT13" s="62">
        <f ca="1">AVERAGE(OFFSET($DS$3,0,0,'Données projet'!$E$14+1,1))-AVERAGE(OFFSET($H$3,0,0,'Données projet'!$E$14+1,1))</f>
        <v>253.0312006976271</v>
      </c>
      <c r="DU13" s="62">
        <f t="shared" si="44"/>
        <v>365.93937083714866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18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1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11.127579020090105</v>
      </c>
      <c r="ED13" s="24">
        <f t="shared" si="18"/>
        <v>11.127579020090105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1.05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3.85</v>
      </c>
      <c r="H14" s="70">
        <f t="shared" si="1"/>
        <v>241.26666666666665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8.1284210526315785</v>
      </c>
      <c r="N14" s="14">
        <f>IF('Données projet'!$A$36&gt;35,N13+M14-V13,IF(A14&lt;'Données projet'!$A$36,$K$205^A14,IF(A14='Données projet'!$A$36,'Données projet'!$B$36,N13+M14-V13)))</f>
        <v>18.500212727616166</v>
      </c>
      <c r="O14" s="14">
        <f>N14*VLOOKUP('Données projet'!$B$9,Paramètres!$A$1:$I$89,3,0)*VLOOKUP('Données projet'!$B$9,Paramètres!$A$1:$I$89,5,0)</f>
        <v>10.341618914737436</v>
      </c>
      <c r="P14" s="14">
        <f t="shared" si="33"/>
        <v>3.6311357898884093</v>
      </c>
      <c r="Q14" s="22">
        <f t="shared" si="2"/>
        <v>24.335881110556681</v>
      </c>
      <c r="R14" s="62">
        <f t="shared" si="0"/>
        <v>278.56777659624845</v>
      </c>
      <c r="S14" s="62">
        <f ca="1">AVERAGE(OFFSET($R$3,0,0,'Données projet'!$E$9+1,1))-AVERAGE(OFFSET($H$3,0,0,'Données projet'!$E$9+1,1))</f>
        <v>393.3487617557011</v>
      </c>
      <c r="T14" s="62">
        <f t="shared" si="34"/>
        <v>360.09400083977084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10.357073396684818</v>
      </c>
      <c r="AK14" s="14">
        <f t="shared" si="35"/>
        <v>3.6359301026893722</v>
      </c>
      <c r="AL14" s="22">
        <f t="shared" si="4"/>
        <v>24.371147761410047</v>
      </c>
      <c r="AM14" s="62">
        <f t="shared" si="5"/>
        <v>278.60304324710182</v>
      </c>
      <c r="AN14" s="62">
        <f ca="1">AVERAGE(OFFSET($AM$3,0,0,'Données projet'!$E$10+1,1))-AVERAGE(OFFSET($H$3,0,0,'Données projet'!$E$10+1,1))</f>
        <v>283.28499080043167</v>
      </c>
      <c r="AO14" s="62">
        <f t="shared" si="36"/>
        <v>278.56966286485783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11.238526451721825</v>
      </c>
      <c r="BF14" s="14">
        <f t="shared" si="37"/>
        <v>3.9080387928425129</v>
      </c>
      <c r="BG14" s="22">
        <f t="shared" si="7"/>
        <v>26.380267800949554</v>
      </c>
      <c r="BH14" s="62">
        <f t="shared" si="8"/>
        <v>280.61216328664136</v>
      </c>
      <c r="BI14" s="62">
        <f ca="1">AVERAGE(OFFSET($BH$3,0,0,'Données projet'!$E$11+1,1))-AVERAGE(OFFSET($H$3,0,0,'Données projet'!$E$11+1,1))</f>
        <v>303.91914071195419</v>
      </c>
      <c r="BJ14" s="62">
        <f t="shared" si="38"/>
        <v>298.30050362688769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9.5803232966244067</v>
      </c>
      <c r="CA14" s="14">
        <f t="shared" si="39"/>
        <v>3.3939041949894282</v>
      </c>
      <c r="CB14" s="22">
        <f t="shared" si="10"/>
        <v>22.596779547894098</v>
      </c>
      <c r="CC14" s="62">
        <f t="shared" si="11"/>
        <v>276.82867503358585</v>
      </c>
      <c r="CD14" s="62">
        <f ca="1">AVERAGE(OFFSET($CC$3,0,0,'Données projet'!$E$12+1,1))-AVERAGE(OFFSET($H$3,0,0,'Données projet'!$E$12+1,1))</f>
        <v>446.15737983598251</v>
      </c>
      <c r="CE14" s="62">
        <f t="shared" si="40"/>
        <v>282.2299715529382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281.58595573132556</v>
      </c>
      <c r="CY14" s="62">
        <f ca="1">AVERAGE(OFFSET($CX$3,0,0,'Données projet'!$E$13+1,1))-AVERAGE(OFFSET($H$3,0,0,'Données projet'!$E$13+1,1))</f>
        <v>293.03320024876842</v>
      </c>
      <c r="CZ14" s="62">
        <f t="shared" si="42"/>
        <v>287.49994652707915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19</v>
      </c>
      <c r="DO14" s="13">
        <f>IF('Données projet'!$A$166&gt;35,DO13+DN14-DW13,IF(A14&lt;'Données projet'!$A$166,$DL$205^A14,IF(A14='Données projet'!$A$166,'Données projet'!$B$166,DO13+DN14-DW13)))</f>
        <v>66</v>
      </c>
      <c r="DP14" s="18">
        <f>DO14*VLOOKUP('Données projet'!$B$14,Paramètres!$A$1:$I$89,3,0)*VLOOKUP('Données projet'!$B$14,Paramètres!$A$1:$I$89,5,0)</f>
        <v>36.036000000000001</v>
      </c>
      <c r="DQ14" s="14">
        <f t="shared" si="43"/>
        <v>10.941692499899743</v>
      </c>
      <c r="DR14" s="22">
        <f t="shared" si="16"/>
        <v>81.819481103992061</v>
      </c>
      <c r="DS14" s="62">
        <f t="shared" si="17"/>
        <v>336.05137658968385</v>
      </c>
      <c r="DT14" s="62">
        <f ca="1">AVERAGE(OFFSET($DS$3,0,0,'Données projet'!$E$14+1,1))-AVERAGE(OFFSET($H$3,0,0,'Données projet'!$E$14+1,1))</f>
        <v>253.0312006976271</v>
      </c>
      <c r="DU14" s="62">
        <f t="shared" si="44"/>
        <v>365.93937083714866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7.8683865832948712</v>
      </c>
      <c r="ED14" s="24">
        <f t="shared" si="18"/>
        <v>7.8683865832948712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1.05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3.85</v>
      </c>
      <c r="H15" s="70">
        <f t="shared" si="1"/>
        <v>241.26666666666665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8.1284210526315785</v>
      </c>
      <c r="N15" s="14">
        <f>IF('Données projet'!$A$36&gt;35,N14+M15-V14,IF(A15&lt;'Données projet'!$A$36,$K$205^A15,IF(A15='Données projet'!$A$36,'Données projet'!$B$36,N14+M15-V14)))</f>
        <v>24.119850191693295</v>
      </c>
      <c r="O15" s="14">
        <f>N15*VLOOKUP('Données projet'!$B$9,Paramètres!$A$1:$I$89,3,0)*VLOOKUP('Données projet'!$B$9,Paramètres!$A$1:$I$89,5,0)</f>
        <v>13.482996257156552</v>
      </c>
      <c r="P15" s="14">
        <f t="shared" si="33"/>
        <v>4.5901971633416325</v>
      </c>
      <c r="Q15" s="22">
        <f t="shared" si="2"/>
        <v>31.477478540701004</v>
      </c>
      <c r="R15" s="62">
        <f t="shared" si="0"/>
        <v>287.20706513910824</v>
      </c>
      <c r="S15" s="62">
        <f ca="1">AVERAGE(OFFSET($R$3,0,0,'Données projet'!$E$9+1,1))-AVERAGE(OFFSET($H$3,0,0,'Données projet'!$E$9+1,1))</f>
        <v>393.3487617557011</v>
      </c>
      <c r="T15" s="62">
        <f t="shared" si="34"/>
        <v>360.09400083977084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13.176007565970389</v>
      </c>
      <c r="AK15" s="14">
        <f t="shared" si="35"/>
        <v>4.4977266952111856</v>
      </c>
      <c r="AL15" s="22">
        <f t="shared" si="4"/>
        <v>30.781753838224574</v>
      </c>
      <c r="AM15" s="62">
        <f t="shared" si="5"/>
        <v>286.51134043663183</v>
      </c>
      <c r="AN15" s="62">
        <f ca="1">AVERAGE(OFFSET($AM$3,0,0,'Données projet'!$E$10+1,1))-AVERAGE(OFFSET($H$3,0,0,'Données projet'!$E$10+1,1))</f>
        <v>283.28499080043167</v>
      </c>
      <c r="AO15" s="62">
        <f t="shared" si="36"/>
        <v>278.56966286485783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14.297369912010421</v>
      </c>
      <c r="BF15" s="14">
        <f t="shared" si="37"/>
        <v>4.8343312187127445</v>
      </c>
      <c r="BG15" s="22">
        <f t="shared" si="7"/>
        <v>33.321046136009507</v>
      </c>
      <c r="BH15" s="62">
        <f t="shared" si="8"/>
        <v>289.05063273441675</v>
      </c>
      <c r="BI15" s="62">
        <f ca="1">AVERAGE(OFFSET($BH$3,0,0,'Données projet'!$E$11+1,1))-AVERAGE(OFFSET($H$3,0,0,'Données projet'!$E$11+1,1))</f>
        <v>303.91914071195419</v>
      </c>
      <c r="BJ15" s="62">
        <f t="shared" si="38"/>
        <v>298.30050362688769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11.872612896942668</v>
      </c>
      <c r="CA15" s="14">
        <f t="shared" si="39"/>
        <v>4.1022411108131784</v>
      </c>
      <c r="CB15" s="22">
        <f t="shared" si="10"/>
        <v>27.822870730174767</v>
      </c>
      <c r="CC15" s="62">
        <f t="shared" si="11"/>
        <v>283.55245732858197</v>
      </c>
      <c r="CD15" s="62">
        <f ca="1">AVERAGE(OFFSET($CC$3,0,0,'Données projet'!$E$12+1,1))-AVERAGE(OFFSET($H$3,0,0,'Données projet'!$E$12+1,1))</f>
        <v>446.15737983598251</v>
      </c>
      <c r="CE15" s="62">
        <f t="shared" si="40"/>
        <v>282.2299715529382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290.45619250383521</v>
      </c>
      <c r="CY15" s="62">
        <f ca="1">AVERAGE(OFFSET($CX$3,0,0,'Données projet'!$E$13+1,1))-AVERAGE(OFFSET($H$3,0,0,'Données projet'!$E$13+1,1))</f>
        <v>293.03320024876842</v>
      </c>
      <c r="CZ15" s="62">
        <f t="shared" si="42"/>
        <v>287.49994652707915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19</v>
      </c>
      <c r="DO15" s="13">
        <f>IF('Données projet'!$A$166&gt;35,DO14+DN15-DW14,IF(A15&lt;'Données projet'!$A$166,$DL$205^A15,IF(A15='Données projet'!$A$166,'Données projet'!$B$166,DO14+DN15-DW14)))</f>
        <v>85</v>
      </c>
      <c r="DP15" s="18">
        <f>DO15*VLOOKUP('Données projet'!$B$14,Paramètres!$A$1:$I$89,3,0)*VLOOKUP('Données projet'!$B$14,Paramètres!$A$1:$I$89,5,0)</f>
        <v>46.41</v>
      </c>
      <c r="DQ15" s="14">
        <f t="shared" si="43"/>
        <v>13.682644606433925</v>
      </c>
      <c r="DR15" s="22">
        <f t="shared" si="16"/>
        <v>104.66135602287243</v>
      </c>
      <c r="DS15" s="62">
        <f t="shared" si="17"/>
        <v>360.39094262127963</v>
      </c>
      <c r="DT15" s="62">
        <f ca="1">AVERAGE(OFFSET($DS$3,0,0,'Données projet'!$E$14+1,1))-AVERAGE(OFFSET($H$3,0,0,'Données projet'!$E$14+1,1))</f>
        <v>253.0312006976271</v>
      </c>
      <c r="DU15" s="62">
        <f t="shared" si="44"/>
        <v>365.93937083714866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5.5637895100450532</v>
      </c>
      <c r="ED15" s="24">
        <f t="shared" si="18"/>
        <v>5.5637895100450532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1.05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3.85</v>
      </c>
      <c r="H16" s="70">
        <f t="shared" si="1"/>
        <v>241.26666666666665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8.1284210526315785</v>
      </c>
      <c r="N16" s="14">
        <f>IF('Données projet'!$A$36&gt;35,N15+M16-V15,IF(A16&lt;'Données projet'!$A$36,$K$205^A16,IF(A16='Données projet'!$A$36,'Données projet'!$B$36,N15+M16-V15)))</f>
        <v>31.446512633949066</v>
      </c>
      <c r="O16" s="14">
        <f>N16*VLOOKUP('Données projet'!$B$9,Paramètres!$A$1:$I$89,3,0)*VLOOKUP('Données projet'!$B$9,Paramètres!$A$1:$I$89,5,0)</f>
        <v>17.578600562377527</v>
      </c>
      <c r="P16" s="14">
        <f t="shared" si="33"/>
        <v>5.8025673556529513</v>
      </c>
      <c r="Q16" s="22">
        <f t="shared" si="2"/>
        <v>40.722200790569744</v>
      </c>
      <c r="R16" s="62">
        <f t="shared" si="0"/>
        <v>297.94469973229855</v>
      </c>
      <c r="S16" s="62">
        <f ca="1">AVERAGE(OFFSET($R$3,0,0,'Données projet'!$E$9+1,1))-AVERAGE(OFFSET($H$3,0,0,'Données projet'!$E$9+1,1))</f>
        <v>393.3487617557011</v>
      </c>
      <c r="T16" s="62">
        <f t="shared" si="34"/>
        <v>360.09400083977084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16.762184521553994</v>
      </c>
      <c r="AK16" s="14">
        <f t="shared" si="35"/>
        <v>5.5637883164619248</v>
      </c>
      <c r="AL16" s="22">
        <f t="shared" si="4"/>
        <v>38.884402692877721</v>
      </c>
      <c r="AM16" s="62">
        <f t="shared" si="5"/>
        <v>296.10690163460652</v>
      </c>
      <c r="AN16" s="62">
        <f ca="1">AVERAGE(OFFSET($AM$3,0,0,'Données projet'!$E$10+1,1))-AVERAGE(OFFSET($H$3,0,0,'Données projet'!$E$10+1,1))</f>
        <v>283.28499080043167</v>
      </c>
      <c r="AO16" s="62">
        <f t="shared" si="36"/>
        <v>278.56966286485783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18.188753417005401</v>
      </c>
      <c r="BF16" s="14">
        <f t="shared" si="37"/>
        <v>5.9801756254374139</v>
      </c>
      <c r="BG16" s="22">
        <f t="shared" si="7"/>
        <v>42.094218082254564</v>
      </c>
      <c r="BH16" s="62">
        <f t="shared" si="8"/>
        <v>299.31671702398336</v>
      </c>
      <c r="BI16" s="62">
        <f ca="1">AVERAGE(OFFSET($BH$3,0,0,'Données projet'!$E$11+1,1))-AVERAGE(OFFSET($H$3,0,0,'Données projet'!$E$11+1,1))</f>
        <v>303.91914071195419</v>
      </c>
      <c r="BJ16" s="62">
        <f t="shared" si="38"/>
        <v>298.30050362688769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14.713379980643843</v>
      </c>
      <c r="CA16" s="14">
        <f t="shared" si="39"/>
        <v>4.9584140165447881</v>
      </c>
      <c r="CB16" s="22">
        <f t="shared" si="10"/>
        <v>34.261707878436859</v>
      </c>
      <c r="CC16" s="62">
        <f t="shared" si="11"/>
        <v>291.4842068201657</v>
      </c>
      <c r="CD16" s="62">
        <f ca="1">AVERAGE(OFFSET($CC$3,0,0,'Données projet'!$E$12+1,1))-AVERAGE(OFFSET($H$3,0,0,'Données projet'!$E$12+1,1))</f>
        <v>446.15737983598251</v>
      </c>
      <c r="CE16" s="62">
        <f t="shared" si="40"/>
        <v>282.2299715529382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301.31552595867214</v>
      </c>
      <c r="CY16" s="62">
        <f ca="1">AVERAGE(OFFSET($CX$3,0,0,'Données projet'!$E$13+1,1))-AVERAGE(OFFSET($H$3,0,0,'Données projet'!$E$13+1,1))</f>
        <v>293.03320024876842</v>
      </c>
      <c r="CZ16" s="62">
        <f t="shared" si="42"/>
        <v>287.49994652707915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19</v>
      </c>
      <c r="DO16" s="13">
        <f>IF('Données projet'!$A$166&gt;35,DO15+DN16-DW15,IF(A16&lt;'Données projet'!$A$166,$DL$205^A16,IF(A16='Données projet'!$A$166,'Données projet'!$B$166,DO15+DN16-DW15)))</f>
        <v>104</v>
      </c>
      <c r="DP16" s="18">
        <f>DO16*VLOOKUP('Données projet'!$B$14,Paramètres!$A$1:$I$89,3,0)*VLOOKUP('Données projet'!$B$14,Paramètres!$A$1:$I$89,5,0)</f>
        <v>56.783999999999999</v>
      </c>
      <c r="DQ16" s="14">
        <f t="shared" si="43"/>
        <v>16.352574732529362</v>
      </c>
      <c r="DR16" s="22">
        <f t="shared" si="16"/>
        <v>127.37953432582198</v>
      </c>
      <c r="DS16" s="62">
        <f t="shared" si="17"/>
        <v>384.60203326755078</v>
      </c>
      <c r="DT16" s="62">
        <f ca="1">AVERAGE(OFFSET($DS$3,0,0,'Données projet'!$E$14+1,1))-AVERAGE(OFFSET($H$3,0,0,'Données projet'!$E$14+1,1))</f>
        <v>253.0312006976271</v>
      </c>
      <c r="DU16" s="62">
        <f t="shared" si="44"/>
        <v>365.93937083714866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3.934193291647436</v>
      </c>
      <c r="ED16" s="24">
        <f t="shared" si="18"/>
        <v>3.934193291647436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1.05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3.85</v>
      </c>
      <c r="H17" s="70">
        <f t="shared" si="1"/>
        <v>241.26666666666665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8.1284210526315785</v>
      </c>
      <c r="N17" s="14">
        <f>IF('Données projet'!$A$36&gt;35,N16+M17-V16,IF(A17&lt;'Données projet'!$A$36,$K$205^A17,IF(A17='Données projet'!$A$36,'Données projet'!$B$36,N16+M17-V16)))</f>
        <v>40.998727147056762</v>
      </c>
      <c r="O17" s="14">
        <f>N17*VLOOKUP('Données projet'!$B$9,Paramètres!$A$1:$I$89,3,0)*VLOOKUP('Données projet'!$B$9,Paramètres!$A$1:$I$89,5,0)</f>
        <v>22.918288475204729</v>
      </c>
      <c r="P17" s="14">
        <f t="shared" si="33"/>
        <v>7.3351506958750976</v>
      </c>
      <c r="Q17" s="22">
        <f t="shared" si="2"/>
        <v>52.691406556297359</v>
      </c>
      <c r="R17" s="62">
        <f t="shared" si="0"/>
        <v>311.40212197291919</v>
      </c>
      <c r="S17" s="62">
        <f ca="1">AVERAGE(OFFSET($R$3,0,0,'Données projet'!$E$9+1,1))-AVERAGE(OFFSET($H$3,0,0,'Données projet'!$E$9+1,1))</f>
        <v>393.3487617557011</v>
      </c>
      <c r="T17" s="62">
        <f t="shared" si="34"/>
        <v>360.09400083977084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21.324428399713909</v>
      </c>
      <c r="AK17" s="14">
        <f t="shared" si="35"/>
        <v>6.8825303376831179</v>
      </c>
      <c r="AL17" s="22">
        <f t="shared" si="4"/>
        <v>49.127119800966483</v>
      </c>
      <c r="AM17" s="62">
        <f t="shared" si="5"/>
        <v>307.83783521758835</v>
      </c>
      <c r="AN17" s="62">
        <f ca="1">AVERAGE(OFFSET($AM$3,0,0,'Données projet'!$E$10+1,1))-AVERAGE(OFFSET($H$3,0,0,'Données projet'!$E$10+1,1))</f>
        <v>283.28499080043167</v>
      </c>
      <c r="AO17" s="62">
        <f t="shared" si="36"/>
        <v>278.56966286485783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23.13927336990233</v>
      </c>
      <c r="BF17" s="14">
        <f t="shared" si="37"/>
        <v>7.3976107331343286</v>
      </c>
      <c r="BG17" s="22">
        <f t="shared" si="7"/>
        <v>53.185073146122171</v>
      </c>
      <c r="BH17" s="62">
        <f t="shared" si="8"/>
        <v>311.89578856274403</v>
      </c>
      <c r="BI17" s="62">
        <f ca="1">AVERAGE(OFFSET($BH$3,0,0,'Données projet'!$E$11+1,1))-AVERAGE(OFFSET($H$3,0,0,'Données projet'!$E$11+1,1))</f>
        <v>303.91914071195419</v>
      </c>
      <c r="BJ17" s="62">
        <f t="shared" si="38"/>
        <v>298.30050362688769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18.233859078363277</v>
      </c>
      <c r="CA17" s="14">
        <f t="shared" si="39"/>
        <v>5.9932775513027368</v>
      </c>
      <c r="CB17" s="22">
        <f t="shared" si="10"/>
        <v>42.195596296668306</v>
      </c>
      <c r="CC17" s="62">
        <f t="shared" si="11"/>
        <v>300.90631171329017</v>
      </c>
      <c r="CD17" s="62">
        <f ca="1">AVERAGE(OFFSET($CC$3,0,0,'Données projet'!$E$12+1,1))-AVERAGE(OFFSET($H$3,0,0,'Données projet'!$E$12+1,1))</f>
        <v>446.15737983598251</v>
      </c>
      <c r="CE17" s="62">
        <f t="shared" si="40"/>
        <v>282.2299715529382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314.70498333073039</v>
      </c>
      <c r="CY17" s="62">
        <f ca="1">AVERAGE(OFFSET($CX$3,0,0,'Données projet'!$E$13+1,1))-AVERAGE(OFFSET($H$3,0,0,'Données projet'!$E$13+1,1))</f>
        <v>293.03320024876842</v>
      </c>
      <c r="CZ17" s="62">
        <f t="shared" si="42"/>
        <v>287.49994652707915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19</v>
      </c>
      <c r="DO17" s="13">
        <f>IF('Données projet'!$A$166&gt;35,DO16+DN17-DW16,IF(A17&lt;'Données projet'!$A$166,$DL$205^A17,IF(A17='Données projet'!$A$166,'Données projet'!$B$166,DO16+DN17-DW16)))</f>
        <v>123</v>
      </c>
      <c r="DP17" s="18">
        <f>DO17*VLOOKUP('Données projet'!$B$14,Paramètres!$A$1:$I$89,3,0)*VLOOKUP('Données projet'!$B$14,Paramètres!$A$1:$I$89,5,0)</f>
        <v>67.158000000000001</v>
      </c>
      <c r="DQ17" s="14">
        <f t="shared" si="43"/>
        <v>18.965995379979955</v>
      </c>
      <c r="DR17" s="22">
        <f t="shared" si="16"/>
        <v>149.99929195346508</v>
      </c>
      <c r="DS17" s="62">
        <f t="shared" si="17"/>
        <v>408.71000737008694</v>
      </c>
      <c r="DT17" s="62">
        <f ca="1">AVERAGE(OFFSET($DS$3,0,0,'Données projet'!$E$14+1,1))-AVERAGE(OFFSET($H$3,0,0,'Données projet'!$E$14+1,1))</f>
        <v>253.0312006976271</v>
      </c>
      <c r="DU17" s="62">
        <f t="shared" si="44"/>
        <v>365.93937083714866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2.781894755022527</v>
      </c>
      <c r="ED17" s="24">
        <f t="shared" si="18"/>
        <v>2.781894755022527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1.05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3.85</v>
      </c>
      <c r="H18" s="70">
        <f t="shared" si="1"/>
        <v>241.26666666666665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8.1284210526315785</v>
      </c>
      <c r="N18" s="14">
        <f>IF('Données projet'!$A$36&gt;35,N17+M18-V17,IF(A18&lt;'Données projet'!$A$36,$K$205^A18,IF(A18='Données projet'!$A$36,'Données projet'!$B$36,N17+M18-V17)))</f>
        <v>53.452528973408192</v>
      </c>
      <c r="O18" s="14">
        <f>N18*VLOOKUP('Données projet'!$B$9,Paramètres!$A$1:$I$89,3,0)*VLOOKUP('Données projet'!$B$9,Paramètres!$A$1:$I$89,5,0)</f>
        <v>29.879963696135178</v>
      </c>
      <c r="P18" s="14">
        <f t="shared" si="33"/>
        <v>9.2725223911067207</v>
      </c>
      <c r="Q18" s="22">
        <f t="shared" si="2"/>
        <v>68.190579935279629</v>
      </c>
      <c r="R18" s="62">
        <f t="shared" si="0"/>
        <v>328.38489742118469</v>
      </c>
      <c r="S18" s="62">
        <f ca="1">AVERAGE(OFFSET($R$3,0,0,'Données projet'!$E$9+1,1))-AVERAGE(OFFSET($H$3,0,0,'Données projet'!$E$9+1,1))</f>
        <v>393.3487617557011</v>
      </c>
      <c r="T18" s="62">
        <f t="shared" si="34"/>
        <v>360.09400083977084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27.128400000000003</v>
      </c>
      <c r="AK18" s="14">
        <f t="shared" si="35"/>
        <v>8.5138436537878839</v>
      </c>
      <c r="AL18" s="22">
        <f t="shared" si="4"/>
        <v>62.076907697013901</v>
      </c>
      <c r="AM18" s="62">
        <f t="shared" si="5"/>
        <v>322.27122518291895</v>
      </c>
      <c r="AN18" s="62">
        <f ca="1">AVERAGE(OFFSET($AM$3,0,0,'Données projet'!$E$10+1,1))-AVERAGE(OFFSET($H$3,0,0,'Données projet'!$E$10+1,1))</f>
        <v>283.28499080043167</v>
      </c>
      <c r="AO18" s="62">
        <f t="shared" si="36"/>
        <v>278.56966286485783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15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10.37690900683006</v>
      </c>
      <c r="AX18" s="23">
        <f t="shared" si="6"/>
        <v>10.37690900683006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29.437200000000004</v>
      </c>
      <c r="BF18" s="14">
        <f t="shared" si="37"/>
        <v>9.1510096001539196</v>
      </c>
      <c r="BG18" s="22">
        <f t="shared" si="7"/>
        <v>67.207798386934755</v>
      </c>
      <c r="BH18" s="62">
        <f t="shared" si="8"/>
        <v>327.40211587283983</v>
      </c>
      <c r="BI18" s="62">
        <f ca="1">AVERAGE(OFFSET($BH$3,0,0,'Données projet'!$E$11+1,1))-AVERAGE(OFFSET($H$3,0,0,'Données projet'!$E$11+1,1))</f>
        <v>303.91914071195419</v>
      </c>
      <c r="BJ18" s="62">
        <f t="shared" si="38"/>
        <v>298.30050362688769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15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11.260050198900705</v>
      </c>
      <c r="BS18" s="24">
        <f t="shared" si="9"/>
        <v>11.260050198900705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22.596685284210423</v>
      </c>
      <c r="CA18" s="14">
        <f t="shared" si="39"/>
        <v>7.2441259820371586</v>
      </c>
      <c r="CB18" s="22">
        <f t="shared" si="10"/>
        <v>51.972746288714539</v>
      </c>
      <c r="CC18" s="62">
        <f t="shared" si="11"/>
        <v>312.16706377461958</v>
      </c>
      <c r="CD18" s="62">
        <f ca="1">AVERAGE(OFFSET($CC$3,0,0,'Données projet'!$E$12+1,1))-AVERAGE(OFFSET($H$3,0,0,'Données projet'!$E$12+1,1))</f>
        <v>446.15737983598251</v>
      </c>
      <c r="CE18" s="62">
        <f t="shared" si="40"/>
        <v>282.2299715529382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331.31277776875652</v>
      </c>
      <c r="CY18" s="62">
        <f ca="1">AVERAGE(OFFSET($CX$3,0,0,'Données projet'!$E$13+1,1))-AVERAGE(OFFSET($H$3,0,0,'Données projet'!$E$13+1,1))</f>
        <v>293.03320024876842</v>
      </c>
      <c r="CZ18" s="62">
        <f t="shared" si="42"/>
        <v>287.49994652707915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1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2.2078529801766082</v>
      </c>
      <c r="DI18" s="24">
        <f t="shared" si="15"/>
        <v>2.2078529801766082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142</v>
      </c>
      <c r="DM18" s="13">
        <f>VLOOKUP(A18,'Données projet'!$A$165:$I$185,9,0)</f>
        <v>19</v>
      </c>
      <c r="DN18" s="13">
        <f t="array" ref="DN18">INDEX(DM:DM,MIN(IF(ISNUMBER(DM18:DM214),ROW(DM18:DM214),"")))</f>
        <v>19</v>
      </c>
      <c r="DO18" s="13">
        <f>IF('Données projet'!$A$166&gt;35,DO17+DN18-DW17,IF(A18&lt;'Données projet'!$A$166,$DL$205^A18,IF(A18='Données projet'!$A$166,'Données projet'!$B$166,DO17+DN18-DW17)))</f>
        <v>142</v>
      </c>
      <c r="DP18" s="18">
        <f>DO18*VLOOKUP('Données projet'!$B$14,Paramètres!$A$1:$I$89,3,0)*VLOOKUP('Données projet'!$B$14,Paramètres!$A$1:$I$89,5,0)</f>
        <v>77.531999999999996</v>
      </c>
      <c r="DQ18" s="14">
        <f t="shared" si="43"/>
        <v>21.532649196514885</v>
      </c>
      <c r="DR18" s="22">
        <f t="shared" si="16"/>
        <v>172.53759735059677</v>
      </c>
      <c r="DS18" s="62">
        <f t="shared" si="17"/>
        <v>432.7319148365018</v>
      </c>
      <c r="DT18" s="62">
        <f ca="1">AVERAGE(OFFSET($DS$3,0,0,'Données projet'!$E$14+1,1))-AVERAGE(OFFSET($H$3,0,0,'Données projet'!$E$14+1,1))</f>
        <v>253.0312006976271</v>
      </c>
      <c r="DU18" s="62">
        <f t="shared" si="44"/>
        <v>365.93937083714866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41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1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27.313248858251178</v>
      </c>
      <c r="ED18" s="24">
        <f t="shared" si="18"/>
        <v>27.313248858251178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1.05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3.85</v>
      </c>
      <c r="H19" s="70">
        <f t="shared" si="1"/>
        <v>241.26666666666665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8.1284210526315785</v>
      </c>
      <c r="N19" s="14">
        <f>IF('Données projet'!$A$36&gt;35,N18+M19-V18,IF(A19&lt;'Données projet'!$A$36,$K$205^A19,IF(A19='Données projet'!$A$36,'Données projet'!$B$36,N18+M19-V18)))</f>
        <v>69.689306290040648</v>
      </c>
      <c r="O19" s="14">
        <f>N19*VLOOKUP('Données projet'!$B$9,Paramètres!$A$1:$I$89,3,0)*VLOOKUP('Données projet'!$B$9,Paramètres!$A$1:$I$89,5,0)</f>
        <v>38.956322216132719</v>
      </c>
      <c r="P19" s="14">
        <f t="shared" si="33"/>
        <v>11.721595786972175</v>
      </c>
      <c r="Q19" s="22">
        <f t="shared" si="2"/>
        <v>88.264040522074353</v>
      </c>
      <c r="R19" s="62">
        <f t="shared" si="0"/>
        <v>349.93742572127388</v>
      </c>
      <c r="S19" s="62">
        <f ca="1">AVERAGE(OFFSET($R$3,0,0,'Données projet'!$E$9+1,1))-AVERAGE(OFFSET($H$3,0,0,'Données projet'!$E$9+1,1))</f>
        <v>393.3487617557011</v>
      </c>
      <c r="T19" s="62">
        <f t="shared" si="34"/>
        <v>360.09400083977084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11.6</v>
      </c>
      <c r="AI19" s="14">
        <f>IF('Données projet'!$A$62&gt;35,AI18+AH19-AQ18,IF(A19&lt;'Données projet'!$A$62,$AF$205^A19,IF(A19='Données projet'!$A$62,'Données projet'!$B$62,AI18+AH19-AQ18)))</f>
        <v>33.6</v>
      </c>
      <c r="AJ19" s="14">
        <f>AI19*VLOOKUP('Données projet'!$B$10,Paramètres!$A$1:$I$89,3,0)*VLOOKUP('Données projet'!$B$10,Paramètres!$A$1:$I$89,5,0)</f>
        <v>24.63552</v>
      </c>
      <c r="AK19" s="14">
        <f t="shared" si="35"/>
        <v>7.8187263384607988</v>
      </c>
      <c r="AL19" s="22">
        <f t="shared" si="4"/>
        <v>56.52447903948589</v>
      </c>
      <c r="AM19" s="62">
        <f t="shared" si="5"/>
        <v>318.19786423868538</v>
      </c>
      <c r="AN19" s="62">
        <f ca="1">AVERAGE(OFFSET($AM$3,0,0,'Données projet'!$E$10+1,1))-AVERAGE(OFFSET($H$3,0,0,'Données projet'!$E$10+1,1))</f>
        <v>283.28499080043167</v>
      </c>
      <c r="AO19" s="62">
        <f t="shared" si="36"/>
        <v>278.56966286485783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7.337582726485298</v>
      </c>
      <c r="AX19" s="23">
        <f t="shared" si="6"/>
        <v>7.337582726485298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33.6</v>
      </c>
      <c r="BE19" s="14">
        <f>BD19*VLOOKUP('Données projet'!$B$11,Paramètres!$A$1:$I$89,3,0)*VLOOKUP('Données projet'!$B$11,Paramètres!$A$1:$I$89,5,0)</f>
        <v>26.732160000000004</v>
      </c>
      <c r="BF19" s="14">
        <f t="shared" si="37"/>
        <v>8.4038705306032053</v>
      </c>
      <c r="BG19" s="22">
        <f t="shared" si="7"/>
        <v>61.195253174133917</v>
      </c>
      <c r="BH19" s="62">
        <f t="shared" si="8"/>
        <v>322.86863837333345</v>
      </c>
      <c r="BI19" s="62">
        <f ca="1">AVERAGE(OFFSET($BH$3,0,0,'Données projet'!$E$11+1,1))-AVERAGE(OFFSET($H$3,0,0,'Données projet'!$E$11+1,1))</f>
        <v>303.91914071195419</v>
      </c>
      <c r="BJ19" s="62">
        <f t="shared" si="38"/>
        <v>298.30050362688769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7.9620578521436229</v>
      </c>
      <c r="BS19" s="24">
        <f t="shared" si="9"/>
        <v>7.9620578521436229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28.003407487093821</v>
      </c>
      <c r="CA19" s="14">
        <f t="shared" si="39"/>
        <v>8.7560372090925433</v>
      </c>
      <c r="CB19" s="22">
        <f t="shared" si="10"/>
        <v>64.022699512524582</v>
      </c>
      <c r="CC19" s="62">
        <f t="shared" si="11"/>
        <v>325.6960847117241</v>
      </c>
      <c r="CD19" s="62">
        <f ca="1">AVERAGE(OFFSET($CC$3,0,0,'Données projet'!$E$12+1,1))-AVERAGE(OFFSET($H$3,0,0,'Données projet'!$E$12+1,1))</f>
        <v>446.15737983598251</v>
      </c>
      <c r="CE19" s="62">
        <f t="shared" si="40"/>
        <v>282.2299715529382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46.6</v>
      </c>
      <c r="CU19" s="18">
        <f>CT19*VLOOKUP('Données projet'!$B$13,Paramètres!$A$1:$I$89,3,0)*VLOOKUP('Données projet'!$B$13,Paramètres!$A$1:$I$89,5,0)</f>
        <v>36.347999999999999</v>
      </c>
      <c r="CV19" s="14">
        <f t="shared" si="41"/>
        <v>11.025356771848859</v>
      </c>
      <c r="CW19" s="22">
        <f t="shared" si="13"/>
        <v>82.508596377636763</v>
      </c>
      <c r="CX19" s="62">
        <f t="shared" si="14"/>
        <v>344.18198157683628</v>
      </c>
      <c r="CY19" s="62">
        <f ca="1">AVERAGE(OFFSET($CX$3,0,0,'Données projet'!$E$13+1,1))-AVERAGE(OFFSET($H$3,0,0,'Données projet'!$E$13+1,1))</f>
        <v>293.03320024876842</v>
      </c>
      <c r="CZ19" s="62">
        <f t="shared" si="42"/>
        <v>287.49994652707915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1.561187814145808</v>
      </c>
      <c r="DI19" s="24">
        <f t="shared" si="15"/>
        <v>1.561187814145808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20</v>
      </c>
      <c r="DO19" s="13">
        <f>IF('Données projet'!$A$166&gt;35,DO18+DN19-DW18,IF(A19&lt;'Données projet'!$A$166,$DL$205^A19,IF(A19='Données projet'!$A$166,'Données projet'!$B$166,DO18+DN19-DW18)))</f>
        <v>121</v>
      </c>
      <c r="DP19" s="18">
        <f>DO19*VLOOKUP('Données projet'!$B$14,Paramètres!$A$1:$I$89,3,0)*VLOOKUP('Données projet'!$B$14,Paramètres!$A$1:$I$89,5,0)</f>
        <v>66.066000000000003</v>
      </c>
      <c r="DQ19" s="14">
        <f t="shared" si="43"/>
        <v>18.69324238096624</v>
      </c>
      <c r="DR19" s="22">
        <f t="shared" si="16"/>
        <v>147.62234714684953</v>
      </c>
      <c r="DS19" s="62">
        <f t="shared" si="17"/>
        <v>409.29573234604902</v>
      </c>
      <c r="DT19" s="62">
        <f ca="1">AVERAGE(OFFSET($DS$3,0,0,'Données projet'!$E$14+1,1))-AVERAGE(OFFSET($H$3,0,0,'Données projet'!$E$14+1,1))</f>
        <v>253.0312006976271</v>
      </c>
      <c r="DU19" s="62">
        <f t="shared" si="44"/>
        <v>365.93937083714866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19.313383483905135</v>
      </c>
      <c r="ED19" s="24">
        <f t="shared" si="18"/>
        <v>19.313383483905135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1.05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3.85</v>
      </c>
      <c r="H20" s="70">
        <f t="shared" si="1"/>
        <v>241.26666666666665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8.1284210526315785</v>
      </c>
      <c r="N20" s="14">
        <f>IF('Données projet'!$A$36&gt;35,N19+M20-V19,IF(A20&lt;'Données projet'!$A$36,$K$205^A20,IF(A20='Données projet'!$A$36,'Données projet'!$B$36,N19+M20-V19)))</f>
        <v>90.858178358655039</v>
      </c>
      <c r="O20" s="14">
        <f>N20*VLOOKUP('Données projet'!$B$9,Paramètres!$A$1:$I$89,3,0)*VLOOKUP('Données projet'!$B$9,Paramètres!$A$1:$I$89,5,0)</f>
        <v>50.789721702488166</v>
      </c>
      <c r="P20" s="14">
        <f t="shared" si="33"/>
        <v>14.817522352379566</v>
      </c>
      <c r="Q20" s="22">
        <f t="shared" si="2"/>
        <v>114.26595006222796</v>
      </c>
      <c r="R20" s="62">
        <f t="shared" si="0"/>
        <v>377.41394727967241</v>
      </c>
      <c r="S20" s="62">
        <f ca="1">AVERAGE(OFFSET($R$3,0,0,'Données projet'!$E$9+1,1))-AVERAGE(OFFSET($H$3,0,0,'Données projet'!$E$9+1,1))</f>
        <v>393.3487617557011</v>
      </c>
      <c r="T20" s="62">
        <f t="shared" si="34"/>
        <v>360.09400083977084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11.6</v>
      </c>
      <c r="AI20" s="14">
        <f>IF('Données projet'!$A$62&gt;35,AI19+AH20-AQ19,IF(A20&lt;'Données projet'!$A$62,$AF$205^A20,IF(A20='Données projet'!$A$62,'Données projet'!$B$62,AI19+AH20-AQ19)))</f>
        <v>45.2</v>
      </c>
      <c r="AJ20" s="14">
        <f>AI20*VLOOKUP('Données projet'!$B$10,Paramètres!$A$1:$I$89,3,0)*VLOOKUP('Données projet'!$B$10,Paramètres!$A$1:$I$89,5,0)</f>
        <v>33.140639999999998</v>
      </c>
      <c r="AK20" s="14">
        <f t="shared" si="35"/>
        <v>10.161152005886803</v>
      </c>
      <c r="AL20" s="22">
        <f t="shared" si="4"/>
        <v>75.417287743586172</v>
      </c>
      <c r="AM20" s="62">
        <f t="shared" si="5"/>
        <v>338.56528496103067</v>
      </c>
      <c r="AN20" s="62">
        <f ca="1">AVERAGE(OFFSET($AM$3,0,0,'Données projet'!$E$10+1,1))-AVERAGE(OFFSET($H$3,0,0,'Données projet'!$E$10+1,1))</f>
        <v>283.28499080043167</v>
      </c>
      <c r="AO20" s="62">
        <f t="shared" si="36"/>
        <v>278.56966286485783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5.1884545034150307</v>
      </c>
      <c r="AX20" s="23">
        <f t="shared" si="6"/>
        <v>5.1884545034150307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45.2</v>
      </c>
      <c r="BE20" s="14">
        <f>BD20*VLOOKUP('Données projet'!$B$11,Paramètres!$A$1:$I$89,3,0)*VLOOKUP('Données projet'!$B$11,Paramètres!$A$1:$I$89,5,0)</f>
        <v>35.961120000000008</v>
      </c>
      <c r="BF20" s="14">
        <f t="shared" si="37"/>
        <v>10.921600552662685</v>
      </c>
      <c r="BG20" s="22">
        <f t="shared" si="7"/>
        <v>81.654071629220851</v>
      </c>
      <c r="BH20" s="62">
        <f t="shared" si="8"/>
        <v>344.80206884666529</v>
      </c>
      <c r="BI20" s="62">
        <f ca="1">AVERAGE(OFFSET($BH$3,0,0,'Données projet'!$E$11+1,1))-AVERAGE(OFFSET($H$3,0,0,'Données projet'!$E$11+1,1))</f>
        <v>303.91914071195419</v>
      </c>
      <c r="BJ20" s="62">
        <f t="shared" si="38"/>
        <v>298.30050362688769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5.6300250994503536</v>
      </c>
      <c r="BS20" s="24">
        <f t="shared" si="9"/>
        <v>5.6300250994503536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34.703799297332367</v>
      </c>
      <c r="CA20" s="14">
        <f t="shared" si="39"/>
        <v>10.583497277259243</v>
      </c>
      <c r="CB20" s="22">
        <f t="shared" si="10"/>
        <v>78.875374867413711</v>
      </c>
      <c r="CC20" s="62">
        <f t="shared" si="11"/>
        <v>342.02337208485818</v>
      </c>
      <c r="CD20" s="62">
        <f ca="1">AVERAGE(OFFSET($CC$3,0,0,'Données projet'!$E$12+1,1))-AVERAGE(OFFSET($H$3,0,0,'Données projet'!$E$12+1,1))</f>
        <v>446.15737983598251</v>
      </c>
      <c r="CE20" s="62">
        <f t="shared" si="40"/>
        <v>282.2299715529382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56.2</v>
      </c>
      <c r="CU20" s="18">
        <f>CT20*VLOOKUP('Données projet'!$B$13,Paramètres!$A$1:$I$89,3,0)*VLOOKUP('Données projet'!$B$13,Paramètres!$A$1:$I$89,5,0)</f>
        <v>43.836000000000006</v>
      </c>
      <c r="CV20" s="14">
        <f t="shared" si="41"/>
        <v>13.009897179721728</v>
      </c>
      <c r="CW20" s="22">
        <f t="shared" si="13"/>
        <v>99.006604254682017</v>
      </c>
      <c r="CX20" s="62">
        <f t="shared" si="14"/>
        <v>362.1546014721265</v>
      </c>
      <c r="CY20" s="62">
        <f ca="1">AVERAGE(OFFSET($CX$3,0,0,'Données projet'!$E$13+1,1))-AVERAGE(OFFSET($H$3,0,0,'Données projet'!$E$13+1,1))</f>
        <v>293.03320024876842</v>
      </c>
      <c r="CZ20" s="62">
        <f t="shared" si="42"/>
        <v>287.49994652707915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1.1039264900883043</v>
      </c>
      <c r="DI20" s="24">
        <f t="shared" si="15"/>
        <v>1.1039264900883043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20</v>
      </c>
      <c r="DO20" s="13">
        <f>IF('Données projet'!$A$166&gt;35,DO19+DN20-DW19,IF(A20&lt;'Données projet'!$A$166,$DL$205^A20,IF(A20='Données projet'!$A$166,'Données projet'!$B$166,DO19+DN20-DW19)))</f>
        <v>141</v>
      </c>
      <c r="DP20" s="18">
        <f>DO20*VLOOKUP('Données projet'!$B$14,Paramètres!$A$1:$I$89,3,0)*VLOOKUP('Données projet'!$B$14,Paramètres!$A$1:$I$89,5,0)</f>
        <v>76.986000000000004</v>
      </c>
      <c r="DQ20" s="14">
        <f t="shared" si="43"/>
        <v>21.398606468170591</v>
      </c>
      <c r="DR20" s="22">
        <f t="shared" si="16"/>
        <v>171.35318959873044</v>
      </c>
      <c r="DS20" s="62">
        <f t="shared" si="17"/>
        <v>434.50118681617494</v>
      </c>
      <c r="DT20" s="62">
        <f ca="1">AVERAGE(OFFSET($DS$3,0,0,'Données projet'!$E$14+1,1))-AVERAGE(OFFSET($H$3,0,0,'Données projet'!$E$14+1,1))</f>
        <v>253.0312006976271</v>
      </c>
      <c r="DU20" s="62">
        <f t="shared" si="44"/>
        <v>365.93937083714866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13.656624429125589</v>
      </c>
      <c r="ED20" s="24">
        <f t="shared" si="18"/>
        <v>13.656624429125589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1.05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3.85</v>
      </c>
      <c r="H21" s="70">
        <f t="shared" si="1"/>
        <v>241.26666666666665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8.1284210526315785</v>
      </c>
      <c r="N21" s="14">
        <f>IF('Données projet'!$A$36&gt;35,N20+M21-V20,IF(A21&lt;'Données projet'!$A$36,$K$205^A21,IF(A21='Données projet'!$A$36,'Données projet'!$B$36,N20+M21-V20)))</f>
        <v>118.45732170579704</v>
      </c>
      <c r="O21" s="14">
        <f>N21*VLOOKUP('Données projet'!$B$9,Paramètres!$A$1:$I$89,3,0)*VLOOKUP('Données projet'!$B$9,Paramètres!$A$1:$I$89,5,0)</f>
        <v>66.217642833540552</v>
      </c>
      <c r="P21" s="14">
        <f t="shared" si="33"/>
        <v>18.731149977658681</v>
      </c>
      <c r="Q21" s="22">
        <f t="shared" si="2"/>
        <v>147.95248081283867</v>
      </c>
      <c r="R21" s="62">
        <f t="shared" si="0"/>
        <v>412.57071164982608</v>
      </c>
      <c r="S21" s="62">
        <f ca="1">AVERAGE(OFFSET($R$3,0,0,'Données projet'!$E$9+1,1))-AVERAGE(OFFSET($H$3,0,0,'Données projet'!$E$9+1,1))</f>
        <v>393.3487617557011</v>
      </c>
      <c r="T21" s="62">
        <f t="shared" si="34"/>
        <v>360.09400083977084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11.6</v>
      </c>
      <c r="AI21" s="14">
        <f>IF('Données projet'!$A$62&gt;35,AI20+AH21-AQ20,IF(A21&lt;'Données projet'!$A$62,$AF$205^A21,IF(A21='Données projet'!$A$62,'Données projet'!$B$62,AI20+AH21-AQ20)))</f>
        <v>56.800000000000004</v>
      </c>
      <c r="AJ21" s="14">
        <f>AI21*VLOOKUP('Données projet'!$B$10,Paramètres!$A$1:$I$89,3,0)*VLOOKUP('Données projet'!$B$10,Paramètres!$A$1:$I$89,5,0)</f>
        <v>41.645760000000003</v>
      </c>
      <c r="AK21" s="14">
        <f t="shared" si="35"/>
        <v>12.433826892120967</v>
      </c>
      <c r="AL21" s="22">
        <f t="shared" si="4"/>
        <v>94.18861383711068</v>
      </c>
      <c r="AM21" s="62">
        <f t="shared" si="5"/>
        <v>358.80684467409804</v>
      </c>
      <c r="AN21" s="62">
        <f ca="1">AVERAGE(OFFSET($AM$3,0,0,'Données projet'!$E$10+1,1))-AVERAGE(OFFSET($H$3,0,0,'Données projet'!$E$10+1,1))</f>
        <v>283.28499080043167</v>
      </c>
      <c r="AO21" s="62">
        <f t="shared" si="36"/>
        <v>278.56966286485783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3.6687913632426494</v>
      </c>
      <c r="AX21" s="23">
        <f t="shared" si="6"/>
        <v>3.6687913632426494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56.800000000000004</v>
      </c>
      <c r="BE21" s="14">
        <f>BD21*VLOOKUP('Données projet'!$B$11,Paramètres!$A$1:$I$89,3,0)*VLOOKUP('Données projet'!$B$11,Paramètres!$A$1:$I$89,5,0)</f>
        <v>45.190080000000009</v>
      </c>
      <c r="BF21" s="14">
        <f t="shared" si="37"/>
        <v>13.364359727915414</v>
      </c>
      <c r="BG21" s="22">
        <f t="shared" si="7"/>
        <v>101.98231585945268</v>
      </c>
      <c r="BH21" s="62">
        <f t="shared" si="8"/>
        <v>366.60054669644006</v>
      </c>
      <c r="BI21" s="62">
        <f ca="1">AVERAGE(OFFSET($BH$3,0,0,'Données projet'!$E$11+1,1))-AVERAGE(OFFSET($H$3,0,0,'Données projet'!$E$11+1,1))</f>
        <v>303.91914071195419</v>
      </c>
      <c r="BJ21" s="62">
        <f t="shared" si="38"/>
        <v>298.30050362688769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3.9810289260718119</v>
      </c>
      <c r="BS21" s="24">
        <f t="shared" si="9"/>
        <v>3.9810289260718119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43.007397804163212</v>
      </c>
      <c r="CA21" s="14">
        <f t="shared" si="39"/>
        <v>12.792363936215189</v>
      </c>
      <c r="CB21" s="22">
        <f t="shared" si="10"/>
        <v>97.184585031159045</v>
      </c>
      <c r="CC21" s="62">
        <f t="shared" si="11"/>
        <v>361.80281586814641</v>
      </c>
      <c r="CD21" s="62">
        <f ca="1">AVERAGE(OFFSET($CC$3,0,0,'Données projet'!$E$12+1,1))-AVERAGE(OFFSET($H$3,0,0,'Données projet'!$E$12+1,1))</f>
        <v>446.15737983598251</v>
      </c>
      <c r="CE21" s="62">
        <f t="shared" si="40"/>
        <v>282.2299715529382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65.8</v>
      </c>
      <c r="CU21" s="18">
        <f>CT21*VLOOKUP('Données projet'!$B$13,Paramètres!$A$1:$I$89,3,0)*VLOOKUP('Données projet'!$B$13,Paramètres!$A$1:$I$89,5,0)</f>
        <v>51.323999999999998</v>
      </c>
      <c r="CV21" s="14">
        <f t="shared" si="41"/>
        <v>14.95516659950003</v>
      </c>
      <c r="CW21" s="22">
        <f t="shared" si="13"/>
        <v>115.43621516079588</v>
      </c>
      <c r="CX21" s="62">
        <f t="shared" si="14"/>
        <v>380.05444599778326</v>
      </c>
      <c r="CY21" s="62">
        <f ca="1">AVERAGE(OFFSET($CX$3,0,0,'Données projet'!$E$13+1,1))-AVERAGE(OFFSET($H$3,0,0,'Données projet'!$E$13+1,1))</f>
        <v>293.03320024876842</v>
      </c>
      <c r="CZ21" s="62">
        <f t="shared" si="42"/>
        <v>287.49994652707915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0.7805939070729041</v>
      </c>
      <c r="DI21" s="24">
        <f t="shared" si="15"/>
        <v>0.7805939070729041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20</v>
      </c>
      <c r="DO21" s="13">
        <f>IF('Données projet'!$A$166&gt;35,DO20+DN21-DW20,IF(A21&lt;'Données projet'!$A$166,$DL$205^A21,IF(A21='Données projet'!$A$166,'Données projet'!$B$166,DO20+DN21-DW20)))</f>
        <v>161</v>
      </c>
      <c r="DP21" s="18">
        <f>DO21*VLOOKUP('Données projet'!$B$14,Paramètres!$A$1:$I$89,3,0)*VLOOKUP('Données projet'!$B$14,Paramètres!$A$1:$I$89,5,0)</f>
        <v>87.906000000000006</v>
      </c>
      <c r="DQ21" s="14">
        <f t="shared" si="43"/>
        <v>24.059512761382098</v>
      </c>
      <c r="DR21" s="22">
        <f t="shared" si="16"/>
        <v>195.00660139274046</v>
      </c>
      <c r="DS21" s="62">
        <f t="shared" si="17"/>
        <v>459.62483222972787</v>
      </c>
      <c r="DT21" s="62">
        <f ca="1">AVERAGE(OFFSET($DS$3,0,0,'Données projet'!$E$14+1,1))-AVERAGE(OFFSET($H$3,0,0,'Données projet'!$E$14+1,1))</f>
        <v>253.0312006976271</v>
      </c>
      <c r="DU21" s="62">
        <f t="shared" si="44"/>
        <v>365.93937083714866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9.6566917419525673</v>
      </c>
      <c r="ED21" s="24">
        <f t="shared" si="18"/>
        <v>9.6566917419525673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1.05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3.85</v>
      </c>
      <c r="H22" s="70">
        <f t="shared" si="1"/>
        <v>241.26666666666665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154.44</v>
      </c>
      <c r="L22" s="13">
        <f>VLOOKUP(A22,'Données projet'!$A$35:$I$55,9,0)</f>
        <v>8.1284210526315785</v>
      </c>
      <c r="M22" s="13">
        <f t="array" ref="M22">INDEX(L:L,MIN(IF(ISNUMBER(L22:L218),ROW(L22:L218),"")))</f>
        <v>8.1284210526315785</v>
      </c>
      <c r="N22" s="14">
        <f>IF('Données projet'!$A$36&gt;35,N21+M22-V21,IF(A22&lt;'Données projet'!$A$36,$K$205^A22,IF(A22='Données projet'!$A$36,'Données projet'!$B$36,N21+M22-V21)))</f>
        <v>154.44</v>
      </c>
      <c r="O22" s="14">
        <f>N22*VLOOKUP('Données projet'!$B$9,Paramètres!$A$1:$I$89,3,0)*VLOOKUP('Données projet'!$B$9,Paramètres!$A$1:$I$89,5,0)</f>
        <v>86.331959999999995</v>
      </c>
      <c r="P22" s="14">
        <f t="shared" si="33"/>
        <v>23.67845117029286</v>
      </c>
      <c r="Q22" s="22">
        <f t="shared" si="2"/>
        <v>191.60146612159338</v>
      </c>
      <c r="R22" s="62">
        <f t="shared" si="0"/>
        <v>457.68562813485056</v>
      </c>
      <c r="S22" s="62">
        <f ca="1">AVERAGE(OFFSET($R$3,0,0,'Données projet'!$E$9+1,1))-AVERAGE(OFFSET($H$3,0,0,'Données projet'!$E$9+1,1))</f>
        <v>393.3487617557011</v>
      </c>
      <c r="T22" s="62">
        <f t="shared" si="34"/>
        <v>360.09400083977084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1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11.6</v>
      </c>
      <c r="AI22" s="14">
        <f>IF('Données projet'!$A$62&gt;35,AI21+AH22-AQ21,IF(A22&lt;'Données projet'!$A$62,$AF$205^A22,IF(A22='Données projet'!$A$62,'Données projet'!$B$62,AI21+AH22-AQ21)))</f>
        <v>68.400000000000006</v>
      </c>
      <c r="AJ22" s="14">
        <f>AI22*VLOOKUP('Données projet'!$B$10,Paramètres!$A$1:$I$89,3,0)*VLOOKUP('Données projet'!$B$10,Paramètres!$A$1:$I$89,5,0)</f>
        <v>50.150880000000008</v>
      </c>
      <c r="AK22" s="14">
        <f t="shared" si="35"/>
        <v>14.652718245804536</v>
      </c>
      <c r="AL22" s="22">
        <f t="shared" si="4"/>
        <v>112.86626694477626</v>
      </c>
      <c r="AM22" s="62">
        <f t="shared" si="5"/>
        <v>378.95042895803346</v>
      </c>
      <c r="AN22" s="62">
        <f ca="1">AVERAGE(OFFSET($AM$3,0,0,'Données projet'!$E$10+1,1))-AVERAGE(OFFSET($H$3,0,0,'Données projet'!$E$10+1,1))</f>
        <v>283.28499080043167</v>
      </c>
      <c r="AO22" s="62">
        <f t="shared" si="36"/>
        <v>278.56966286485783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2.5942272517075158</v>
      </c>
      <c r="AX22" s="23">
        <f t="shared" si="6"/>
        <v>2.5942272517075158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68.400000000000006</v>
      </c>
      <c r="BE22" s="14">
        <f>BD22*VLOOKUP('Données projet'!$B$11,Paramètres!$A$1:$I$89,3,0)*VLOOKUP('Données projet'!$B$11,Paramètres!$A$1:$I$89,5,0)</f>
        <v>54.419040000000003</v>
      </c>
      <c r="BF22" s="14">
        <f t="shared" si="37"/>
        <v>15.749310274925152</v>
      </c>
      <c r="BG22" s="22">
        <f t="shared" si="7"/>
        <v>122.20987672882796</v>
      </c>
      <c r="BH22" s="62">
        <f t="shared" si="8"/>
        <v>388.29403874208515</v>
      </c>
      <c r="BI22" s="62">
        <f ca="1">AVERAGE(OFFSET($BH$3,0,0,'Données projet'!$E$11+1,1))-AVERAGE(OFFSET($H$3,0,0,'Données projet'!$E$11+1,1))</f>
        <v>303.91914071195419</v>
      </c>
      <c r="BJ22" s="62">
        <f t="shared" si="38"/>
        <v>298.30050362688769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2.8150125497251772</v>
      </c>
      <c r="BS22" s="24">
        <f t="shared" si="9"/>
        <v>2.8150125497251772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53.297803218557732</v>
      </c>
      <c r="CA22" s="14">
        <f t="shared" si="39"/>
        <v>15.462240012873817</v>
      </c>
      <c r="CB22" s="22">
        <f t="shared" si="10"/>
        <v>119.75707529474329</v>
      </c>
      <c r="CC22" s="62">
        <f t="shared" si="11"/>
        <v>385.84123730800047</v>
      </c>
      <c r="CD22" s="62">
        <f ca="1">AVERAGE(OFFSET($CC$3,0,0,'Données projet'!$E$12+1,1))-AVERAGE(OFFSET($H$3,0,0,'Données projet'!$E$12+1,1))</f>
        <v>446.15737983598251</v>
      </c>
      <c r="CE22" s="62">
        <f t="shared" si="40"/>
        <v>282.2299715529382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75.399999999999991</v>
      </c>
      <c r="CU22" s="18">
        <f>CT22*VLOOKUP('Données projet'!$B$13,Paramètres!$A$1:$I$89,3,0)*VLOOKUP('Données projet'!$B$13,Paramètres!$A$1:$I$89,5,0)</f>
        <v>58.811999999999998</v>
      </c>
      <c r="CV22" s="14">
        <f t="shared" si="41"/>
        <v>16.86755663452599</v>
      </c>
      <c r="CW22" s="22">
        <f t="shared" si="13"/>
        <v>131.8085611384661</v>
      </c>
      <c r="CX22" s="62">
        <f t="shared" si="14"/>
        <v>397.89272315172332</v>
      </c>
      <c r="CY22" s="62">
        <f ca="1">AVERAGE(OFFSET($CX$3,0,0,'Données projet'!$E$13+1,1))-AVERAGE(OFFSET($H$3,0,0,'Données projet'!$E$13+1,1))</f>
        <v>293.03320024876842</v>
      </c>
      <c r="CZ22" s="62">
        <f t="shared" si="42"/>
        <v>287.49994652707915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0.55196324504415228</v>
      </c>
      <c r="DI22" s="24">
        <f t="shared" si="15"/>
        <v>0.55196324504415228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20</v>
      </c>
      <c r="DO22" s="13">
        <f>IF('Données projet'!$A$166&gt;35,DO21+DN22-DW21,IF(A22&lt;'Données projet'!$A$166,$DL$205^A22,IF(A22='Données projet'!$A$166,'Données projet'!$B$166,DO21+DN22-DW21)))</f>
        <v>181</v>
      </c>
      <c r="DP22" s="18">
        <f>DO22*VLOOKUP('Données projet'!$B$14,Paramètres!$A$1:$I$89,3,0)*VLOOKUP('Données projet'!$B$14,Paramètres!$A$1:$I$89,5,0)</f>
        <v>98.825999999999993</v>
      </c>
      <c r="DQ22" s="14">
        <f t="shared" si="43"/>
        <v>26.682116294536247</v>
      </c>
      <c r="DR22" s="22">
        <f t="shared" si="16"/>
        <v>218.59330254631723</v>
      </c>
      <c r="DS22" s="62">
        <f t="shared" si="17"/>
        <v>484.67746455957445</v>
      </c>
      <c r="DT22" s="62">
        <f ca="1">AVERAGE(OFFSET($DS$3,0,0,'Données projet'!$E$14+1,1))-AVERAGE(OFFSET($H$3,0,0,'Données projet'!$E$14+1,1))</f>
        <v>253.0312006976271</v>
      </c>
      <c r="DU22" s="62">
        <f t="shared" si="44"/>
        <v>365.93937083714866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6.8283122145627946</v>
      </c>
      <c r="ED22" s="24">
        <f t="shared" si="18"/>
        <v>6.8283122145627946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1.05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3.85</v>
      </c>
      <c r="H23" s="70">
        <f t="shared" si="1"/>
        <v>241.26666666666665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20.355000000000004</v>
      </c>
      <c r="N23" s="14">
        <f>IF('Données projet'!$A$36&gt;35,N22+M23-V22,IF(A23&lt;'Données projet'!$A$36,$K$205^A23,IF(A23='Données projet'!$A$36,'Données projet'!$B$36,N22+M23-V22)))</f>
        <v>174.79500000000002</v>
      </c>
      <c r="O23" s="14">
        <f>N23*VLOOKUP('Données projet'!$B$9,Paramètres!$A$1:$I$89,3,0)*VLOOKUP('Données projet'!$B$9,Paramètres!$A$1:$I$89,5,0)</f>
        <v>97.710405000000009</v>
      </c>
      <c r="P23" s="14">
        <f t="shared" si="33"/>
        <v>26.41579998765167</v>
      </c>
      <c r="Q23" s="22">
        <f t="shared" si="2"/>
        <v>216.18647368682664</v>
      </c>
      <c r="R23" s="62">
        <f t="shared" si="0"/>
        <v>483.7323390708525</v>
      </c>
      <c r="S23" s="62">
        <f ca="1">AVERAGE(OFFSET($R$3,0,0,'Données projet'!$E$9+1,1))-AVERAGE(OFFSET($H$3,0,0,'Données projet'!$E$9+1,1))</f>
        <v>393.3487617557011</v>
      </c>
      <c r="T23" s="62">
        <f t="shared" si="34"/>
        <v>360.09400083977084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80</v>
      </c>
      <c r="AG23" s="13">
        <f>VLOOKUP(A23,'Données projet'!$A$61:$I$81,9,0)</f>
        <v>11.6</v>
      </c>
      <c r="AH23" s="13">
        <f t="array" ref="AH23">INDEX(AG:AG,MIN(IF(ISNUMBER(AG23:AG219),ROW(AG23:AG219),"")))</f>
        <v>11.6</v>
      </c>
      <c r="AI23" s="14">
        <f>IF('Données projet'!$A$62&gt;35,AI22+AH23-AQ22,IF(A23&lt;'Données projet'!$A$62,$AF$205^A23,IF(A23='Données projet'!$A$62,'Données projet'!$B$62,AI22+AH23-AQ22)))</f>
        <v>80</v>
      </c>
      <c r="AJ23" s="14">
        <f>AI23*VLOOKUP('Données projet'!$B$10,Paramètres!$A$1:$I$89,3,0)*VLOOKUP('Données projet'!$B$10,Paramètres!$A$1:$I$89,5,0)</f>
        <v>58.655999999999992</v>
      </c>
      <c r="AK23" s="14">
        <f t="shared" si="35"/>
        <v>16.828016909929062</v>
      </c>
      <c r="AL23" s="22">
        <f t="shared" si="4"/>
        <v>131.46799611812642</v>
      </c>
      <c r="AM23" s="62">
        <f t="shared" si="5"/>
        <v>399.01386150215228</v>
      </c>
      <c r="AN23" s="62">
        <f ca="1">AVERAGE(OFFSET($AM$3,0,0,'Données projet'!$E$10+1,1))-AVERAGE(OFFSET($H$3,0,0,'Données projet'!$E$10+1,1))</f>
        <v>283.28499080043167</v>
      </c>
      <c r="AO23" s="62">
        <f t="shared" si="36"/>
        <v>278.56966286485783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28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21.204625827704103</v>
      </c>
      <c r="AX23" s="23">
        <f t="shared" si="6"/>
        <v>21.204625827704103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80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80</v>
      </c>
      <c r="BE23" s="14">
        <f>BD23*VLOOKUP('Données projet'!$B$11,Paramètres!$A$1:$I$89,3,0)*VLOOKUP('Données projet'!$B$11,Paramètres!$A$1:$I$89,5,0)</f>
        <v>63.647999999999996</v>
      </c>
      <c r="BF23" s="14">
        <f t="shared" si="37"/>
        <v>18.087405707268363</v>
      </c>
      <c r="BG23" s="22">
        <f t="shared" si="7"/>
        <v>142.35583160682572</v>
      </c>
      <c r="BH23" s="62">
        <f t="shared" si="8"/>
        <v>409.90169699085163</v>
      </c>
      <c r="BI23" s="62">
        <f ca="1">AVERAGE(OFFSET($BH$3,0,0,'Données projet'!$E$11+1,1))-AVERAGE(OFFSET($H$3,0,0,'Données projet'!$E$11+1,1))</f>
        <v>303.91914071195419</v>
      </c>
      <c r="BJ23" s="62">
        <f t="shared" si="38"/>
        <v>298.30050362688769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28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23.009274834317221</v>
      </c>
      <c r="BS23" s="24">
        <f t="shared" si="9"/>
        <v>23.009274834317221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66.050399999999996</v>
      </c>
      <c r="CA23" s="14">
        <f t="shared" si="39"/>
        <v>18.689342126897891</v>
      </c>
      <c r="CB23" s="22">
        <f t="shared" si="10"/>
        <v>147.58838420434714</v>
      </c>
      <c r="CC23" s="62">
        <f t="shared" si="11"/>
        <v>415.134249588373</v>
      </c>
      <c r="CD23" s="62">
        <f ca="1">AVERAGE(OFFSET($CC$3,0,0,'Données projet'!$E$12+1,1))-AVERAGE(OFFSET($H$3,0,0,'Données projet'!$E$12+1,1))</f>
        <v>446.15737983598251</v>
      </c>
      <c r="CE23" s="62">
        <f t="shared" si="40"/>
        <v>282.2299715529382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84.999999999999986</v>
      </c>
      <c r="CU23" s="18">
        <f>CT23*VLOOKUP('Données projet'!$B$13,Paramètres!$A$1:$I$89,3,0)*VLOOKUP('Données projet'!$B$13,Paramètres!$A$1:$I$89,5,0)</f>
        <v>66.3</v>
      </c>
      <c r="CV23" s="14">
        <f t="shared" si="41"/>
        <v>18.751733344032118</v>
      </c>
      <c r="CW23" s="22">
        <f t="shared" si="13"/>
        <v>148.13176890752257</v>
      </c>
      <c r="CX23" s="62">
        <f t="shared" si="14"/>
        <v>415.67763429154843</v>
      </c>
      <c r="CY23" s="62">
        <f ca="1">AVERAGE(OFFSET($CX$3,0,0,'Données projet'!$E$13+1,1))-AVERAGE(OFFSET($H$3,0,0,'Données projet'!$E$13+1,1))</f>
        <v>293.03320024876842</v>
      </c>
      <c r="CZ23" s="62">
        <f t="shared" si="42"/>
        <v>287.49994652707915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1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18.78907178834152</v>
      </c>
      <c r="DI23" s="24">
        <f t="shared" si="15"/>
        <v>18.78907178834152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201</v>
      </c>
      <c r="DM23" s="13">
        <f>VLOOKUP(A23,'Données projet'!$A$165:$I$185,9,0)</f>
        <v>20</v>
      </c>
      <c r="DN23" s="13">
        <f t="array" ref="DN23">INDEX(DM:DM,MIN(IF(ISNUMBER(DM23:DM219),ROW(DM23:DM219),"")))</f>
        <v>20</v>
      </c>
      <c r="DO23" s="13">
        <f>IF('Données projet'!$A$166&gt;35,DO22+DN23-DW22,IF(A23&lt;'Données projet'!$A$166,$DL$205^A23,IF(A23='Données projet'!$A$166,'Données projet'!$B$166,DO22+DN23-DW22)))</f>
        <v>201</v>
      </c>
      <c r="DP23" s="18">
        <f>DO23*VLOOKUP('Données projet'!$B$14,Paramètres!$A$1:$I$89,3,0)*VLOOKUP('Données projet'!$B$14,Paramètres!$A$1:$I$89,5,0)</f>
        <v>109.74600000000001</v>
      </c>
      <c r="DQ23" s="14">
        <f t="shared" si="43"/>
        <v>29.271132142080997</v>
      </c>
      <c r="DR23" s="22">
        <f t="shared" si="16"/>
        <v>242.12150514745778</v>
      </c>
      <c r="DS23" s="62">
        <f t="shared" si="17"/>
        <v>509.6673705314837</v>
      </c>
      <c r="DT23" s="62">
        <f ca="1">AVERAGE(OFFSET($DS$3,0,0,'Données projet'!$E$14+1,1))-AVERAGE(OFFSET($H$3,0,0,'Données projet'!$E$14+1,1))</f>
        <v>253.0312006976271</v>
      </c>
      <c r="DU23" s="62">
        <f t="shared" si="44"/>
        <v>365.93937083714866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47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0.12</v>
      </c>
      <c r="DZ23" s="17">
        <f>IF(ISNA(VLOOKUP(A23,'Données projet'!$A$165:$I$185,7,0)),0%,VLOOKUP(A23,'Données projet'!$A$165:$I$185,7,0))</f>
        <v>0.8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4.0689911473019906</v>
      </c>
      <c r="EC23" s="23">
        <f>EXP(-LN(2)/2)*EC22+(1-EXP(-LN(2)/2))/(LN(2)/2)*DW23*DZ23*VLOOKUP('Données projet'!$B$14,Paramètres!$A$1:$I$89,3,0)*0.475*44/12</f>
        <v>28.072622046275619</v>
      </c>
      <c r="ED23" s="24">
        <f t="shared" si="18"/>
        <v>32.141613193577612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1.05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3.85</v>
      </c>
      <c r="H24" s="70">
        <f t="shared" si="1"/>
        <v>241.26666666666665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195.15</v>
      </c>
      <c r="L24" s="13">
        <f>VLOOKUP(A24,'Données projet'!$A$35:$I$55,9,0)</f>
        <v>20.355000000000004</v>
      </c>
      <c r="M24" s="13">
        <f t="array" ref="M24">INDEX(L:L,MIN(IF(ISNUMBER(L24:L220),ROW(L24:L220),"")))</f>
        <v>20.355000000000004</v>
      </c>
      <c r="N24" s="14">
        <f>IF('Données projet'!$A$36&gt;35,N23+M24-V23,IF(A24&lt;'Données projet'!$A$36,$K$205^A24,IF(A24='Données projet'!$A$36,'Données projet'!$B$36,N23+M24-V23)))</f>
        <v>195.15000000000003</v>
      </c>
      <c r="O24" s="14">
        <f>N24*VLOOKUP('Données projet'!$B$9,Paramètres!$A$1:$I$89,3,0)*VLOOKUP('Données projet'!$B$9,Paramètres!$A$1:$I$89,5,0)</f>
        <v>109.08885000000002</v>
      </c>
      <c r="P24" s="14">
        <f t="shared" si="33"/>
        <v>29.116206715124498</v>
      </c>
      <c r="Q24" s="22">
        <f t="shared" si="2"/>
        <v>240.70714044550854</v>
      </c>
      <c r="R24" s="62">
        <f t="shared" si="0"/>
        <v>509.71055473777551</v>
      </c>
      <c r="S24" s="62">
        <f ca="1">AVERAGE(OFFSET($R$3,0,0,'Données projet'!$E$9+1,1))-AVERAGE(OFFSET($H$3,0,0,'Données projet'!$E$9+1,1))</f>
        <v>393.3487617557011</v>
      </c>
      <c r="T24" s="62">
        <f t="shared" si="34"/>
        <v>360.09400083977084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64.58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0.11000000000000001</v>
      </c>
      <c r="Y24" s="17">
        <f>IF(ISNA(VLOOKUP(A24,'Données projet'!$A$35:$I$55,7,0)),0%,VLOOKUP(A24,'Données projet'!$A$35:$I$55,7,0))</f>
        <v>0.8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5.2470781426239732</v>
      </c>
      <c r="AB24" s="23">
        <f>EXP(-LN(2)/2)*AB23+(1-EXP(-LN(2)/2))/(LN(2)/2)*V24*Y24*VLOOKUP('Données projet'!$B$9,Paramètres!$A$1:$I$89,3,0)*0.475*44/12</f>
        <v>32.699068025448703</v>
      </c>
      <c r="AC24" s="24">
        <f t="shared" si="3"/>
        <v>37.946146168072673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12.6</v>
      </c>
      <c r="AI24" s="14">
        <f>IF('Données projet'!$A$62&gt;35,AI23+AH24-AQ23,IF(A24&lt;'Données projet'!$A$62,$AF$205^A24,IF(A24='Données projet'!$A$62,'Données projet'!$B$62,AI23+AH24-AQ23)))</f>
        <v>64.599999999999994</v>
      </c>
      <c r="AJ24" s="14">
        <f>AI24*VLOOKUP('Données projet'!$B$10,Paramètres!$A$1:$I$89,3,0)*VLOOKUP('Données projet'!$B$10,Paramètres!$A$1:$I$89,5,0)</f>
        <v>47.364719999999991</v>
      </c>
      <c r="AK24" s="14">
        <f t="shared" si="35"/>
        <v>13.931057351916726</v>
      </c>
      <c r="AL24" s="22">
        <f t="shared" si="4"/>
        <v>106.75681222125495</v>
      </c>
      <c r="AM24" s="62">
        <f t="shared" si="5"/>
        <v>375.76022651352196</v>
      </c>
      <c r="AN24" s="62">
        <f ca="1">AVERAGE(OFFSET($AM$3,0,0,'Données projet'!$E$10+1,1))-AVERAGE(OFFSET($H$3,0,0,'Données projet'!$E$10+1,1))</f>
        <v>283.28499080043167</v>
      </c>
      <c r="AO24" s="62">
        <f t="shared" si="36"/>
        <v>278.56966286485783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14.99393471529298</v>
      </c>
      <c r="AX24" s="23">
        <f t="shared" si="6"/>
        <v>14.99393471529298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64.599999999999994</v>
      </c>
      <c r="BE24" s="14">
        <f>BD24*VLOOKUP('Données projet'!$B$11,Paramètres!$A$1:$I$89,3,0)*VLOOKUP('Données projet'!$B$11,Paramètres!$A$1:$I$89,5,0)</f>
        <v>51.395759999999996</v>
      </c>
      <c r="BF24" s="14">
        <f t="shared" si="37"/>
        <v>14.973641136922506</v>
      </c>
      <c r="BG24" s="22">
        <f t="shared" si="7"/>
        <v>115.59337364680668</v>
      </c>
      <c r="BH24" s="62">
        <f t="shared" si="8"/>
        <v>384.59678793907369</v>
      </c>
      <c r="BI24" s="62">
        <f ca="1">AVERAGE(OFFSET($BH$3,0,0,'Données projet'!$E$11+1,1))-AVERAGE(OFFSET($H$3,0,0,'Données projet'!$E$11+1,1))</f>
        <v>303.91914071195419</v>
      </c>
      <c r="BJ24" s="62">
        <f t="shared" si="38"/>
        <v>298.30050362688769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16.270014265530683</v>
      </c>
      <c r="BS24" s="24">
        <f t="shared" si="9"/>
        <v>16.270014265530683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67.136160000000004</v>
      </c>
      <c r="CA24" s="14">
        <f t="shared" si="39"/>
        <v>18.960545405756019</v>
      </c>
      <c r="CB24" s="22">
        <f t="shared" si="10"/>
        <v>149.95176191502506</v>
      </c>
      <c r="CC24" s="62">
        <f t="shared" si="11"/>
        <v>418.95517620729208</v>
      </c>
      <c r="CD24" s="62">
        <f ca="1">AVERAGE(OFFSET($CC$3,0,0,'Données projet'!$E$12+1,1))-AVERAGE(OFFSET($H$3,0,0,'Données projet'!$E$12+1,1))</f>
        <v>446.15737983598251</v>
      </c>
      <c r="CE24" s="62">
        <f t="shared" si="40"/>
        <v>282.2299715529382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70.59999999999998</v>
      </c>
      <c r="CU24" s="18">
        <f>CT24*VLOOKUP('Données projet'!$B$13,Paramètres!$A$1:$I$89,3,0)*VLOOKUP('Données projet'!$B$13,Paramètres!$A$1:$I$89,5,0)</f>
        <v>55.067999999999984</v>
      </c>
      <c r="CV24" s="14">
        <f t="shared" si="41"/>
        <v>15.915148294580479</v>
      </c>
      <c r="CW24" s="22">
        <f t="shared" si="13"/>
        <v>123.62898327972762</v>
      </c>
      <c r="CX24" s="62">
        <f t="shared" si="14"/>
        <v>392.6323975719946</v>
      </c>
      <c r="CY24" s="62">
        <f ca="1">AVERAGE(OFFSET($CX$3,0,0,'Données projet'!$E$13+1,1))-AVERAGE(OFFSET($H$3,0,0,'Données projet'!$E$13+1,1))</f>
        <v>293.03320024876842</v>
      </c>
      <c r="CZ24" s="62">
        <f t="shared" si="42"/>
        <v>287.49994652707915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13.285880073737141</v>
      </c>
      <c r="DI24" s="24">
        <f t="shared" si="15"/>
        <v>13.285880073737141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18</v>
      </c>
      <c r="DO24" s="13">
        <f>IF('Données projet'!$A$166&gt;35,DO23+DN24-DW23,IF(A24&lt;'Données projet'!$A$166,$DL$205^A24,IF(A24='Données projet'!$A$166,'Données projet'!$B$166,DO23+DN24-DW23)))</f>
        <v>172</v>
      </c>
      <c r="DP24" s="18">
        <f>DO24*VLOOKUP('Données projet'!$B$14,Paramètres!$A$1:$I$89,3,0)*VLOOKUP('Données projet'!$B$14,Paramètres!$A$1:$I$89,5,0)</f>
        <v>93.911999999999992</v>
      </c>
      <c r="DQ24" s="14">
        <f t="shared" si="43"/>
        <v>25.506356157232645</v>
      </c>
      <c r="DR24" s="22">
        <f t="shared" si="16"/>
        <v>207.98697030718017</v>
      </c>
      <c r="DS24" s="62">
        <f t="shared" si="17"/>
        <v>476.99038459944717</v>
      </c>
      <c r="DT24" s="62">
        <f ca="1">AVERAGE(OFFSET($DS$3,0,0,'Données projet'!$E$14+1,1))-AVERAGE(OFFSET($H$3,0,0,'Données projet'!$E$14+1,1))</f>
        <v>253.0312006976271</v>
      </c>
      <c r="DU24" s="62">
        <f t="shared" si="44"/>
        <v>365.93937083714866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3.9577243704000731</v>
      </c>
      <c r="EC24" s="23">
        <f>EXP(-LN(2)/2)*EC23+(1-EXP(-LN(2)/2))/(LN(2)/2)*DW24*DZ24*VLOOKUP('Données projet'!$B$14,Paramètres!$A$1:$I$89,3,0)*0.475*44/12</f>
        <v>19.850341414608465</v>
      </c>
      <c r="ED24" s="24">
        <f t="shared" si="18"/>
        <v>23.808065785008537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1.05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3.85</v>
      </c>
      <c r="H25" s="70">
        <f t="shared" si="1"/>
        <v>241.26666666666665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21.612857142857145</v>
      </c>
      <c r="N25" s="14">
        <f>IF('Données projet'!$A$36&gt;35,N24+M25-V24,IF(A25&lt;'Données projet'!$A$36,$K$205^A25,IF(A25='Données projet'!$A$36,'Données projet'!$B$36,N24+M25-V24)))</f>
        <v>152.18285714285719</v>
      </c>
      <c r="O25" s="14">
        <f>N25*VLOOKUP('Données projet'!$B$9,Paramètres!$A$1:$I$89,3,0)*VLOOKUP('Données projet'!$B$9,Paramètres!$A$1:$I$89,5,0)</f>
        <v>85.070217142857175</v>
      </c>
      <c r="P25" s="14">
        <f t="shared" si="33"/>
        <v>23.372410230575955</v>
      </c>
      <c r="Q25" s="22">
        <f t="shared" si="2"/>
        <v>188.87090934206267</v>
      </c>
      <c r="R25" s="62">
        <f t="shared" si="0"/>
        <v>459.3277901506799</v>
      </c>
      <c r="S25" s="62">
        <f ca="1">AVERAGE(OFFSET($R$3,0,0,'Données projet'!$E$9+1,1))-AVERAGE(OFFSET($H$3,0,0,'Données projet'!$E$9+1,1))</f>
        <v>393.3487617557011</v>
      </c>
      <c r="T25" s="62">
        <f t="shared" si="34"/>
        <v>360.09400083977084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5.1035965148820734</v>
      </c>
      <c r="AB25" s="23">
        <f>EXP(-LN(2)/2)*AB24+(1-EXP(-LN(2)/2))/(LN(2)/2)*V25*Y25*VLOOKUP('Données projet'!$B$9,Paramètres!$A$1:$I$89,3,0)*0.475*44/12</f>
        <v>23.121732739274989</v>
      </c>
      <c r="AC25" s="24">
        <f t="shared" si="3"/>
        <v>28.225329254157064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12.6</v>
      </c>
      <c r="AI25" s="14">
        <f>IF('Données projet'!$A$62&gt;35,AI24+AH25-AQ24,IF(A25&lt;'Données projet'!$A$62,$AF$205^A25,IF(A25='Données projet'!$A$62,'Données projet'!$B$62,AI24+AH25-AQ24)))</f>
        <v>77.199999999999989</v>
      </c>
      <c r="AJ25" s="14">
        <f>AI25*VLOOKUP('Données projet'!$B$10,Paramètres!$A$1:$I$89,3,0)*VLOOKUP('Données projet'!$B$10,Paramètres!$A$1:$I$89,5,0)</f>
        <v>56.603039999999986</v>
      </c>
      <c r="AK25" s="14">
        <f t="shared" si="35"/>
        <v>16.306519487923971</v>
      </c>
      <c r="AL25" s="22">
        <f t="shared" si="4"/>
        <v>126.98414944146755</v>
      </c>
      <c r="AM25" s="62">
        <f t="shared" si="5"/>
        <v>397.44103025008474</v>
      </c>
      <c r="AN25" s="62">
        <f ca="1">AVERAGE(OFFSET($AM$3,0,0,'Données projet'!$E$10+1,1))-AVERAGE(OFFSET($H$3,0,0,'Données projet'!$E$10+1,1))</f>
        <v>283.28499080043167</v>
      </c>
      <c r="AO25" s="62">
        <f t="shared" si="36"/>
        <v>278.56966286485783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10.602312913852053</v>
      </c>
      <c r="AX25" s="23">
        <f t="shared" si="6"/>
        <v>10.602312913852053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77.199999999999989</v>
      </c>
      <c r="BE25" s="14">
        <f>BD25*VLOOKUP('Données projet'!$B$11,Paramètres!$A$1:$I$89,3,0)*VLOOKUP('Données projet'!$B$11,Paramètres!$A$1:$I$89,5,0)</f>
        <v>61.42031999999999</v>
      </c>
      <c r="BF25" s="14">
        <f t="shared" si="37"/>
        <v>17.526880037631354</v>
      </c>
      <c r="BG25" s="22">
        <f t="shared" si="7"/>
        <v>137.4997067322079</v>
      </c>
      <c r="BH25" s="62">
        <f t="shared" si="8"/>
        <v>407.95658754082513</v>
      </c>
      <c r="BI25" s="62">
        <f ca="1">AVERAGE(OFFSET($BH$3,0,0,'Données projet'!$E$11+1,1))-AVERAGE(OFFSET($H$3,0,0,'Données projet'!$E$11+1,1))</f>
        <v>303.91914071195419</v>
      </c>
      <c r="BJ25" s="62">
        <f t="shared" si="38"/>
        <v>298.30050362688769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11.504637417158612</v>
      </c>
      <c r="BS25" s="24">
        <f t="shared" si="9"/>
        <v>11.504637417158612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73.650720000000007</v>
      </c>
      <c r="CA25" s="14">
        <f t="shared" si="39"/>
        <v>20.577360172493922</v>
      </c>
      <c r="CB25" s="22">
        <f t="shared" si="10"/>
        <v>164.11390630042692</v>
      </c>
      <c r="CC25" s="62">
        <f t="shared" si="11"/>
        <v>434.57078710904409</v>
      </c>
      <c r="CD25" s="62">
        <f ca="1">AVERAGE(OFFSET($CC$3,0,0,'Données projet'!$E$12+1,1))-AVERAGE(OFFSET($H$3,0,0,'Données projet'!$E$12+1,1))</f>
        <v>446.15737983598251</v>
      </c>
      <c r="CE25" s="62">
        <f t="shared" si="40"/>
        <v>282.2299715529382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81.199999999999974</v>
      </c>
      <c r="CU25" s="18">
        <f>CT25*VLOOKUP('Données projet'!$B$13,Paramètres!$A$1:$I$89,3,0)*VLOOKUP('Données projet'!$B$13,Paramètres!$A$1:$I$89,5,0)</f>
        <v>63.335999999999984</v>
      </c>
      <c r="CV25" s="14">
        <f t="shared" si="41"/>
        <v>18.009040022946227</v>
      </c>
      <c r="CW25" s="22">
        <f t="shared" si="13"/>
        <v>141.67594470663133</v>
      </c>
      <c r="CX25" s="62">
        <f t="shared" si="14"/>
        <v>412.13282551524856</v>
      </c>
      <c r="CY25" s="62">
        <f ca="1">AVERAGE(OFFSET($CX$3,0,0,'Données projet'!$E$13+1,1))-AVERAGE(OFFSET($H$3,0,0,'Données projet'!$E$13+1,1))</f>
        <v>293.03320024876842</v>
      </c>
      <c r="CZ25" s="62">
        <f t="shared" si="42"/>
        <v>287.49994652707915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9.3945358941707617</v>
      </c>
      <c r="DI25" s="24">
        <f t="shared" si="15"/>
        <v>9.3945358941707617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18</v>
      </c>
      <c r="DO25" s="13">
        <f>IF('Données projet'!$A$166&gt;35,DO24+DN25-DW24,IF(A25&lt;'Données projet'!$A$166,$DL$205^A25,IF(A25='Données projet'!$A$166,'Données projet'!$B$166,DO24+DN25-DW24)))</f>
        <v>190</v>
      </c>
      <c r="DP25" s="18">
        <f>DO25*VLOOKUP('Données projet'!$B$14,Paramètres!$A$1:$I$89,3,0)*VLOOKUP('Données projet'!$B$14,Paramètres!$A$1:$I$89,5,0)</f>
        <v>103.74</v>
      </c>
      <c r="DQ25" s="14">
        <f t="shared" si="43"/>
        <v>27.851088016239377</v>
      </c>
      <c r="DR25" s="22">
        <f t="shared" si="16"/>
        <v>229.18781162828358</v>
      </c>
      <c r="DS25" s="62">
        <f t="shared" si="17"/>
        <v>499.64469243690075</v>
      </c>
      <c r="DT25" s="62">
        <f ca="1">AVERAGE(OFFSET($DS$3,0,0,'Données projet'!$E$14+1,1))-AVERAGE(OFFSET($H$3,0,0,'Données projet'!$E$14+1,1))</f>
        <v>253.0312006976271</v>
      </c>
      <c r="DU25" s="62">
        <f t="shared" si="44"/>
        <v>365.93937083714866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3.8495001893638041</v>
      </c>
      <c r="EC25" s="23">
        <f>EXP(-LN(2)/2)*EC24+(1-EXP(-LN(2)/2))/(LN(2)/2)*DW25*DZ25*VLOOKUP('Données projet'!$B$14,Paramètres!$A$1:$I$89,3,0)*0.475*44/12</f>
        <v>14.036311023137811</v>
      </c>
      <c r="ED25" s="24">
        <f t="shared" si="18"/>
        <v>17.885811212501615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1.05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3.85</v>
      </c>
      <c r="H26" s="70">
        <f t="shared" si="1"/>
        <v>241.26666666666665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21.612857142857145</v>
      </c>
      <c r="N26" s="14">
        <f>IF('Données projet'!$A$36&gt;35,N25+M26-V25,IF(A26&lt;'Données projet'!$A$36,$K$205^A26,IF(A26='Données projet'!$A$36,'Données projet'!$B$36,N25+M26-V25)))</f>
        <v>173.79571428571433</v>
      </c>
      <c r="O26" s="14">
        <f>N26*VLOOKUP('Données projet'!$B$9,Paramètres!$A$1:$I$89,3,0)*VLOOKUP('Données projet'!$B$9,Paramètres!$A$1:$I$89,5,0)</f>
        <v>97.15180428571432</v>
      </c>
      <c r="P26" s="14">
        <f t="shared" si="33"/>
        <v>26.282317303127122</v>
      </c>
      <c r="Q26" s="22">
        <f t="shared" si="2"/>
        <v>214.98109510056551</v>
      </c>
      <c r="R26" s="62">
        <f t="shared" si="0"/>
        <v>486.88743085401472</v>
      </c>
      <c r="S26" s="62">
        <f ca="1">AVERAGE(OFFSET($R$3,0,0,'Données projet'!$E$9+1,1))-AVERAGE(OFFSET($H$3,0,0,'Données projet'!$E$9+1,1))</f>
        <v>393.3487617557011</v>
      </c>
      <c r="T26" s="62">
        <f t="shared" si="34"/>
        <v>360.09400083977084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4.9640383997961468</v>
      </c>
      <c r="AB26" s="23">
        <f>EXP(-LN(2)/2)*AB25+(1-EXP(-LN(2)/2))/(LN(2)/2)*V26*Y26*VLOOKUP('Données projet'!$B$9,Paramètres!$A$1:$I$89,3,0)*0.475*44/12</f>
        <v>16.349534012724352</v>
      </c>
      <c r="AC26" s="24">
        <f t="shared" si="3"/>
        <v>21.3135724125205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12.6</v>
      </c>
      <c r="AI26" s="14">
        <f>IF('Données projet'!$A$62&gt;35,AI25+AH26-AQ25,IF(A26&lt;'Données projet'!$A$62,$AF$205^A26,IF(A26='Données projet'!$A$62,'Données projet'!$B$62,AI25+AH26-AQ25)))</f>
        <v>89.799999999999983</v>
      </c>
      <c r="AJ26" s="14">
        <f>AI26*VLOOKUP('Données projet'!$B$10,Paramètres!$A$1:$I$89,3,0)*VLOOKUP('Données projet'!$B$10,Paramètres!$A$1:$I$89,5,0)</f>
        <v>65.84135999999998</v>
      </c>
      <c r="AK26" s="14">
        <f t="shared" si="35"/>
        <v>18.637068365902625</v>
      </c>
      <c r="AL26" s="22">
        <f t="shared" si="4"/>
        <v>147.13326273728035</v>
      </c>
      <c r="AM26" s="62">
        <f t="shared" si="5"/>
        <v>419.03959849072959</v>
      </c>
      <c r="AN26" s="62">
        <f ca="1">AVERAGE(OFFSET($AM$3,0,0,'Données projet'!$E$10+1,1))-AVERAGE(OFFSET($H$3,0,0,'Données projet'!$E$10+1,1))</f>
        <v>283.28499080043167</v>
      </c>
      <c r="AO26" s="62">
        <f t="shared" si="36"/>
        <v>278.56966286485783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7.4969673576464917</v>
      </c>
      <c r="AX26" s="23">
        <f t="shared" si="6"/>
        <v>7.4969673576464917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89.799999999999983</v>
      </c>
      <c r="BE26" s="14">
        <f>BD26*VLOOKUP('Données projet'!$B$11,Paramètres!$A$1:$I$89,3,0)*VLOOKUP('Données projet'!$B$11,Paramètres!$A$1:$I$89,5,0)</f>
        <v>71.444879999999998</v>
      </c>
      <c r="BF26" s="14">
        <f t="shared" si="37"/>
        <v>20.03184442542841</v>
      </c>
      <c r="BG26" s="22">
        <f t="shared" si="7"/>
        <v>159.32196170762117</v>
      </c>
      <c r="BH26" s="62">
        <f t="shared" si="8"/>
        <v>431.22829746107038</v>
      </c>
      <c r="BI26" s="62">
        <f ca="1">AVERAGE(OFFSET($BH$3,0,0,'Données projet'!$E$11+1,1))-AVERAGE(OFFSET($H$3,0,0,'Données projet'!$E$11+1,1))</f>
        <v>303.91914071195419</v>
      </c>
      <c r="BJ26" s="62">
        <f t="shared" si="38"/>
        <v>298.30050362688769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8.1350071327653435</v>
      </c>
      <c r="BS26" s="24">
        <f t="shared" si="9"/>
        <v>8.1350071327653435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80.165279999999996</v>
      </c>
      <c r="CA26" s="14">
        <f t="shared" si="39"/>
        <v>22.177591092468788</v>
      </c>
      <c r="CB26" s="22">
        <f t="shared" si="10"/>
        <v>178.24716715271646</v>
      </c>
      <c r="CC26" s="62">
        <f t="shared" si="11"/>
        <v>450.15350290616573</v>
      </c>
      <c r="CD26" s="62">
        <f ca="1">AVERAGE(OFFSET($CC$3,0,0,'Données projet'!$E$12+1,1))-AVERAGE(OFFSET($H$3,0,0,'Données projet'!$E$12+1,1))</f>
        <v>446.15737983598251</v>
      </c>
      <c r="CE26" s="62">
        <f t="shared" si="40"/>
        <v>282.2299715529382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91.799999999999969</v>
      </c>
      <c r="CU26" s="18">
        <f>CT26*VLOOKUP('Données projet'!$B$13,Paramètres!$A$1:$I$89,3,0)*VLOOKUP('Données projet'!$B$13,Paramètres!$A$1:$I$89,5,0)</f>
        <v>71.603999999999985</v>
      </c>
      <c r="CV26" s="14">
        <f t="shared" si="41"/>
        <v>20.071260561992585</v>
      </c>
      <c r="CW26" s="22">
        <f t="shared" si="13"/>
        <v>159.66774547880371</v>
      </c>
      <c r="CX26" s="62">
        <f t="shared" si="14"/>
        <v>431.57408123225298</v>
      </c>
      <c r="CY26" s="62">
        <f ca="1">AVERAGE(OFFSET($CX$3,0,0,'Données projet'!$E$13+1,1))-AVERAGE(OFFSET($H$3,0,0,'Données projet'!$E$13+1,1))</f>
        <v>293.03320024876842</v>
      </c>
      <c r="CZ26" s="62">
        <f t="shared" si="42"/>
        <v>287.49994652707915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6.6429400368685716</v>
      </c>
      <c r="DI26" s="24">
        <f t="shared" si="15"/>
        <v>6.6429400368685716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18</v>
      </c>
      <c r="DO26" s="13">
        <f>IF('Données projet'!$A$166&gt;35,DO25+DN26-DW25,IF(A26&lt;'Données projet'!$A$166,$DL$205^A26,IF(A26='Données projet'!$A$166,'Données projet'!$B$166,DO25+DN26-DW25)))</f>
        <v>208</v>
      </c>
      <c r="DP26" s="18">
        <f>DO26*VLOOKUP('Données projet'!$B$14,Paramètres!$A$1:$I$89,3,0)*VLOOKUP('Données projet'!$B$14,Paramètres!$A$1:$I$89,5,0)</f>
        <v>113.568</v>
      </c>
      <c r="DQ26" s="14">
        <f t="shared" si="43"/>
        <v>30.17006506205821</v>
      </c>
      <c r="DR26" s="22">
        <f t="shared" si="16"/>
        <v>250.3437966497514</v>
      </c>
      <c r="DS26" s="62">
        <f t="shared" si="17"/>
        <v>522.25013240320061</v>
      </c>
      <c r="DT26" s="62">
        <f ca="1">AVERAGE(OFFSET($DS$3,0,0,'Données projet'!$E$14+1,1))-AVERAGE(OFFSET($H$3,0,0,'Données projet'!$E$14+1,1))</f>
        <v>253.0312006976271</v>
      </c>
      <c r="DU26" s="62">
        <f t="shared" si="44"/>
        <v>365.93937083714866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3.7442354042492343</v>
      </c>
      <c r="EC26" s="23">
        <f>EXP(-LN(2)/2)*EC25+(1-EXP(-LN(2)/2))/(LN(2)/2)*DW26*DZ26*VLOOKUP('Données projet'!$B$14,Paramètres!$A$1:$I$89,3,0)*0.475*44/12</f>
        <v>9.9251707073042343</v>
      </c>
      <c r="ED26" s="24">
        <f t="shared" si="18"/>
        <v>13.669406111553469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1.05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3.85</v>
      </c>
      <c r="H27" s="70">
        <f t="shared" si="1"/>
        <v>241.26666666666665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21.612857142857145</v>
      </c>
      <c r="N27" s="14">
        <f>IF('Données projet'!$A$36&gt;35,N26+M27-V26,IF(A27&lt;'Données projet'!$A$36,$K$205^A27,IF(A27='Données projet'!$A$36,'Données projet'!$B$36,N26+M27-V26)))</f>
        <v>195.40857142857146</v>
      </c>
      <c r="O27" s="14">
        <f>N27*VLOOKUP('Données projet'!$B$9,Paramètres!$A$1:$I$89,3,0)*VLOOKUP('Données projet'!$B$9,Paramètres!$A$1:$I$89,5,0)</f>
        <v>109.23339142857145</v>
      </c>
      <c r="P27" s="14">
        <f t="shared" si="33"/>
        <v>29.150292163037918</v>
      </c>
      <c r="Q27" s="22">
        <f t="shared" si="2"/>
        <v>241.018248922053</v>
      </c>
      <c r="R27" s="62">
        <f t="shared" si="0"/>
        <v>514.37009764061315</v>
      </c>
      <c r="S27" s="62">
        <f ca="1">AVERAGE(OFFSET($R$3,0,0,'Données projet'!$E$9+1,1))-AVERAGE(OFFSET($H$3,0,0,'Données projet'!$E$9+1,1))</f>
        <v>393.3487617557011</v>
      </c>
      <c r="T27" s="62">
        <f t="shared" si="34"/>
        <v>360.09400083977084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4.8282965087062868</v>
      </c>
      <c r="AB27" s="23">
        <f>EXP(-LN(2)/2)*AB26+(1-EXP(-LN(2)/2))/(LN(2)/2)*V27*Y27*VLOOKUP('Données projet'!$B$9,Paramètres!$A$1:$I$89,3,0)*0.475*44/12</f>
        <v>11.560866369637495</v>
      </c>
      <c r="AC27" s="24">
        <f t="shared" si="3"/>
        <v>16.389162878343782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12.6</v>
      </c>
      <c r="AI27" s="14">
        <f>IF('Données projet'!$A$62&gt;35,AI26+AH27-AQ26,IF(A27&lt;'Données projet'!$A$62,$AF$205^A27,IF(A27='Données projet'!$A$62,'Données projet'!$B$62,AI26+AH27-AQ26)))</f>
        <v>102.39999999999998</v>
      </c>
      <c r="AJ27" s="14">
        <f>AI27*VLOOKUP('Données projet'!$B$10,Paramètres!$A$1:$I$89,3,0)*VLOOKUP('Données projet'!$B$10,Paramètres!$A$1:$I$89,5,0)</f>
        <v>75.079679999999982</v>
      </c>
      <c r="AK27" s="14">
        <f t="shared" si="35"/>
        <v>20.929732076759169</v>
      </c>
      <c r="AL27" s="22">
        <f t="shared" si="4"/>
        <v>167.2163927003555</v>
      </c>
      <c r="AM27" s="62">
        <f t="shared" si="5"/>
        <v>440.5682414189157</v>
      </c>
      <c r="AN27" s="62">
        <f ca="1">AVERAGE(OFFSET($AM$3,0,0,'Données projet'!$E$10+1,1))-AVERAGE(OFFSET($H$3,0,0,'Données projet'!$E$10+1,1))</f>
        <v>283.28499080043167</v>
      </c>
      <c r="AO27" s="62">
        <f t="shared" si="36"/>
        <v>278.56966286485783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5.3011564569260274</v>
      </c>
      <c r="AX27" s="23">
        <f t="shared" si="6"/>
        <v>5.3011564569260274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102.39999999999998</v>
      </c>
      <c r="BE27" s="14">
        <f>BD27*VLOOKUP('Données projet'!$B$11,Paramètres!$A$1:$I$89,3,0)*VLOOKUP('Données projet'!$B$11,Paramètres!$A$1:$I$89,5,0)</f>
        <v>81.469439999999992</v>
      </c>
      <c r="BF27" s="14">
        <f t="shared" si="37"/>
        <v>22.496088365195678</v>
      </c>
      <c r="BG27" s="22">
        <f t="shared" si="7"/>
        <v>181.07329523604912</v>
      </c>
      <c r="BH27" s="62">
        <f t="shared" si="8"/>
        <v>454.42514395460933</v>
      </c>
      <c r="BI27" s="62">
        <f ca="1">AVERAGE(OFFSET($BH$3,0,0,'Données projet'!$E$11+1,1))-AVERAGE(OFFSET($H$3,0,0,'Données projet'!$E$11+1,1))</f>
        <v>303.91914071195419</v>
      </c>
      <c r="BJ27" s="62">
        <f t="shared" si="38"/>
        <v>298.30050362688769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5.7523187085793079</v>
      </c>
      <c r="BS27" s="24">
        <f t="shared" si="9"/>
        <v>5.7523187085793079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86.679839999999999</v>
      </c>
      <c r="CA27" s="14">
        <f t="shared" si="39"/>
        <v>23.762739053789723</v>
      </c>
      <c r="CB27" s="22">
        <f t="shared" si="10"/>
        <v>192.35415851868379</v>
      </c>
      <c r="CC27" s="62">
        <f t="shared" si="11"/>
        <v>465.70600723724397</v>
      </c>
      <c r="CD27" s="62">
        <f ca="1">AVERAGE(OFFSET($CC$3,0,0,'Données projet'!$E$12+1,1))-AVERAGE(OFFSET($H$3,0,0,'Données projet'!$E$12+1,1))</f>
        <v>446.15737983598251</v>
      </c>
      <c r="CE27" s="62">
        <f t="shared" si="40"/>
        <v>282.2299715529382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79.871999999999971</v>
      </c>
      <c r="CV27" s="14">
        <f t="shared" si="41"/>
        <v>22.105884547145401</v>
      </c>
      <c r="CW27" s="22">
        <f t="shared" si="13"/>
        <v>177.61148225294485</v>
      </c>
      <c r="CX27" s="62">
        <f t="shared" si="14"/>
        <v>450.963330971505</v>
      </c>
      <c r="CY27" s="62">
        <f ca="1">AVERAGE(OFFSET($CX$3,0,0,'Données projet'!$E$13+1,1))-AVERAGE(OFFSET($H$3,0,0,'Données projet'!$E$13+1,1))</f>
        <v>293.03320024876842</v>
      </c>
      <c r="CZ27" s="62">
        <f t="shared" si="42"/>
        <v>287.49994652707915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4.6972679470853818</v>
      </c>
      <c r="DI27" s="24">
        <f t="shared" si="15"/>
        <v>4.6972679470853818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18</v>
      </c>
      <c r="DO27" s="13">
        <f>IF('Données projet'!$A$166&gt;35,DO26+DN27-DW26,IF(A27&lt;'Données projet'!$A$166,$DL$205^A27,IF(A27='Données projet'!$A$166,'Données projet'!$B$166,DO26+DN27-DW26)))</f>
        <v>226</v>
      </c>
      <c r="DP27" s="18">
        <f>DO27*VLOOKUP('Données projet'!$B$14,Paramètres!$A$1:$I$89,3,0)*VLOOKUP('Données projet'!$B$14,Paramètres!$A$1:$I$89,5,0)</f>
        <v>123.396</v>
      </c>
      <c r="DQ27" s="14">
        <f t="shared" si="43"/>
        <v>32.465769489878191</v>
      </c>
      <c r="DR27" s="22">
        <f t="shared" si="16"/>
        <v>271.45924852820451</v>
      </c>
      <c r="DS27" s="62">
        <f t="shared" si="17"/>
        <v>544.81109724676469</v>
      </c>
      <c r="DT27" s="62">
        <f ca="1">AVERAGE(OFFSET($DS$3,0,0,'Données projet'!$E$14+1,1))-AVERAGE(OFFSET($H$3,0,0,'Données projet'!$E$14+1,1))</f>
        <v>253.0312006976271</v>
      </c>
      <c r="DU27" s="62">
        <f t="shared" si="44"/>
        <v>365.93937083714866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3.6418490902192566</v>
      </c>
      <c r="EC27" s="23">
        <f>EXP(-LN(2)/2)*EC26+(1-EXP(-LN(2)/2))/(LN(2)/2)*DW27*DZ27*VLOOKUP('Données projet'!$B$14,Paramètres!$A$1:$I$89,3,0)*0.475*44/12</f>
        <v>7.0181555115689065</v>
      </c>
      <c r="ED27" s="24">
        <f t="shared" si="18"/>
        <v>10.660004601788163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1.05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3.85</v>
      </c>
      <c r="H28" s="70">
        <f t="shared" si="1"/>
        <v>241.26666666666665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21.612857142857145</v>
      </c>
      <c r="N28" s="14">
        <f>IF('Données projet'!$A$36&gt;35,N27+M28-V27,IF(A28&lt;'Données projet'!$A$36,$K$205^A28,IF(A28='Données projet'!$A$36,'Données projet'!$B$36,N27+M28-V27)))</f>
        <v>217.0214285714286</v>
      </c>
      <c r="O28" s="14">
        <f>N28*VLOOKUP('Données projet'!$B$9,Paramètres!$A$1:$I$89,3,0)*VLOOKUP('Données projet'!$B$9,Paramètres!$A$1:$I$89,5,0)</f>
        <v>121.31497857142858</v>
      </c>
      <c r="P28" s="14">
        <f t="shared" si="33"/>
        <v>31.981501643962339</v>
      </c>
      <c r="Q28" s="22">
        <f t="shared" si="2"/>
        <v>266.99136970847246</v>
      </c>
      <c r="R28" s="62">
        <f t="shared" si="0"/>
        <v>541.78485779695779</v>
      </c>
      <c r="S28" s="62">
        <f ca="1">AVERAGE(OFFSET($R$3,0,0,'Données projet'!$E$9+1,1))-AVERAGE(OFFSET($H$3,0,0,'Données projet'!$E$9+1,1))</f>
        <v>393.3487617557011</v>
      </c>
      <c r="T28" s="62">
        <f t="shared" si="34"/>
        <v>360.09400083977084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4.6962664867666355</v>
      </c>
      <c r="AB28" s="23">
        <f>EXP(-LN(2)/2)*AB27+(1-EXP(-LN(2)/2))/(LN(2)/2)*V28*Y28*VLOOKUP('Données projet'!$B$9,Paramètres!$A$1:$I$89,3,0)*0.475*44/12</f>
        <v>8.1747670063621758</v>
      </c>
      <c r="AC28" s="24">
        <f t="shared" si="3"/>
        <v>12.871033493128811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115</v>
      </c>
      <c r="AG28" s="13">
        <f>VLOOKUP(A28,'Données projet'!$A$61:$I$81,9,0)</f>
        <v>12.6</v>
      </c>
      <c r="AH28" s="13">
        <f t="array" ref="AH28">INDEX(AG:AG,MIN(IF(ISNUMBER(AG28:AG224),ROW(AG28:AG224),"")))</f>
        <v>12.6</v>
      </c>
      <c r="AI28" s="14">
        <f>IF('Données projet'!$A$62&gt;35,AI27+AH28-AQ27,IF(A28&lt;'Données projet'!$A$62,$AF$205^A28,IF(A28='Données projet'!$A$62,'Données projet'!$B$62,AI27+AH28-AQ27)))</f>
        <v>114.99999999999997</v>
      </c>
      <c r="AJ28" s="14">
        <f>AI28*VLOOKUP('Données projet'!$B$10,Paramètres!$A$1:$I$89,3,0)*VLOOKUP('Données projet'!$B$10,Paramètres!$A$1:$I$89,5,0)</f>
        <v>84.317999999999969</v>
      </c>
      <c r="AK28" s="14">
        <f t="shared" si="35"/>
        <v>23.189705803157239</v>
      </c>
      <c r="AL28" s="22">
        <f t="shared" si="4"/>
        <v>187.24258760716546</v>
      </c>
      <c r="AM28" s="62">
        <f t="shared" si="5"/>
        <v>462.03607569565077</v>
      </c>
      <c r="AN28" s="62">
        <f ca="1">AVERAGE(OFFSET($AM$3,0,0,'Données projet'!$E$10+1,1))-AVERAGE(OFFSET($H$3,0,0,'Données projet'!$E$10+1,1))</f>
        <v>283.28499080043167</v>
      </c>
      <c r="AO28" s="62">
        <f t="shared" si="36"/>
        <v>278.56966286485783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0.34400000000000003</v>
      </c>
      <c r="AT28" s="17">
        <f>IF(ISNA(VLOOKUP(A28,'Données projet'!$A$61:$I$81,7,0)),0%,VLOOKUP(A28,'Données projet'!$A$61:$I$81,7,0))</f>
        <v>0.2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7.7762941926215818</v>
      </c>
      <c r="AW28" s="23">
        <f>EXP(-LN(2)/2)*AW27+(1-EXP(-LN(2)/2))/(LN(2)/2)*AQ28*AT28*VLOOKUP('Données projet'!$B$10,Paramètres!$A$1:$I$89,3,0)*0.475*44/12</f>
        <v>7.622529708039802</v>
      </c>
      <c r="AX28" s="23">
        <f t="shared" si="6"/>
        <v>15.398823900661384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114.99999999999997</v>
      </c>
      <c r="BE28" s="14">
        <f>BD28*VLOOKUP('Données projet'!$B$11,Paramètres!$A$1:$I$89,3,0)*VLOOKUP('Données projet'!$B$11,Paramètres!$A$1:$I$89,5,0)</f>
        <v>91.493999999999986</v>
      </c>
      <c r="BF28" s="14">
        <f t="shared" si="37"/>
        <v>24.925195840896517</v>
      </c>
      <c r="BG28" s="22">
        <f t="shared" si="7"/>
        <v>202.76343275622807</v>
      </c>
      <c r="BH28" s="62">
        <f t="shared" si="8"/>
        <v>477.55692084471332</v>
      </c>
      <c r="BI28" s="62">
        <f ca="1">AVERAGE(OFFSET($BH$3,0,0,'Données projet'!$E$11+1,1))-AVERAGE(OFFSET($H$3,0,0,'Données projet'!$E$11+1,1))</f>
        <v>303.91914071195419</v>
      </c>
      <c r="BJ28" s="62">
        <f t="shared" si="38"/>
        <v>298.30050362688769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25.086263937663986</v>
      </c>
      <c r="BS28" s="24">
        <f t="shared" si="9"/>
        <v>25.086263937663986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93.194400000000002</v>
      </c>
      <c r="CA28" s="14">
        <f t="shared" si="39"/>
        <v>25.33406653691528</v>
      </c>
      <c r="CB28" s="22">
        <f t="shared" si="10"/>
        <v>206.43707921846078</v>
      </c>
      <c r="CC28" s="62">
        <f t="shared" si="11"/>
        <v>481.23056730694606</v>
      </c>
      <c r="CD28" s="62">
        <f ca="1">AVERAGE(OFFSET($CC$3,0,0,'Données projet'!$E$12+1,1))-AVERAGE(OFFSET($H$3,0,0,'Données projet'!$E$12+1,1))</f>
        <v>446.15737983598251</v>
      </c>
      <c r="CE28" s="62">
        <f t="shared" si="40"/>
        <v>282.2299715529382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112.99999999999996</v>
      </c>
      <c r="CU28" s="18">
        <f>CT28*VLOOKUP('Données projet'!$B$13,Paramètres!$A$1:$I$89,3,0)*VLOOKUP('Données projet'!$B$13,Paramètres!$A$1:$I$89,5,0)</f>
        <v>88.139999999999972</v>
      </c>
      <c r="CV28" s="14">
        <f t="shared" si="41"/>
        <v>24.116094026318823</v>
      </c>
      <c r="CW28" s="22">
        <f t="shared" si="13"/>
        <v>195.51269709583855</v>
      </c>
      <c r="CX28" s="62">
        <f t="shared" si="14"/>
        <v>470.30618518432379</v>
      </c>
      <c r="CY28" s="62">
        <f ca="1">AVERAGE(OFFSET($CX$3,0,0,'Données projet'!$E$13+1,1))-AVERAGE(OFFSET($H$3,0,0,'Données projet'!$E$13+1,1))</f>
        <v>293.03320024876842</v>
      </c>
      <c r="CZ28" s="62">
        <f t="shared" si="42"/>
        <v>287.49994652707915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1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23.192146840023767</v>
      </c>
      <c r="DI28" s="24">
        <f t="shared" si="15"/>
        <v>23.192146840023767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244</v>
      </c>
      <c r="DM28" s="13">
        <f>VLOOKUP(A28,'Données projet'!$A$165:$I$185,9,0)</f>
        <v>18</v>
      </c>
      <c r="DN28" s="13">
        <f t="array" ref="DN28">INDEX(DM:DM,MIN(IF(ISNUMBER(DM28:DM224),ROW(DM28:DM224),"")))</f>
        <v>18</v>
      </c>
      <c r="DO28" s="13">
        <f>IF('Données projet'!$A$166&gt;35,DO27+DN28-DW27,IF(A28&lt;'Données projet'!$A$166,$DL$205^A28,IF(A28='Données projet'!$A$166,'Données projet'!$B$166,DO27+DN28-DW27)))</f>
        <v>244</v>
      </c>
      <c r="DP28" s="18">
        <f>DO28*VLOOKUP('Données projet'!$B$14,Paramètres!$A$1:$I$89,3,0)*VLOOKUP('Données projet'!$B$14,Paramètres!$A$1:$I$89,5,0)</f>
        <v>133.22399999999999</v>
      </c>
      <c r="DQ28" s="14">
        <f t="shared" si="43"/>
        <v>34.740265606230608</v>
      </c>
      <c r="DR28" s="22">
        <f t="shared" si="16"/>
        <v>292.53776259751828</v>
      </c>
      <c r="DS28" s="62">
        <f t="shared" si="17"/>
        <v>567.33125068600361</v>
      </c>
      <c r="DT28" s="62">
        <f ca="1">AVERAGE(OFFSET($DS$3,0,0,'Données projet'!$E$14+1,1))-AVERAGE(OFFSET($H$3,0,0,'Données projet'!$E$14+1,1))</f>
        <v>253.0312006976271</v>
      </c>
      <c r="DU28" s="62">
        <f t="shared" si="44"/>
        <v>365.93937083714866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44</v>
      </c>
      <c r="DX28" s="17">
        <f>IF(ISNA(VLOOKUP(A28,'Données projet'!$A$165:$I$185,5,0)),0%,VLOOKUP(A28,'Données projet'!$A$165:$I$185,5,0)*VLOOKUP('Données projet'!$B$14,Paramètres!$A$1:$I$89,7,0))</f>
        <v>0.12</v>
      </c>
      <c r="DY28" s="17">
        <f>IF(ISNA(VLOOKUP(A28,'Données projet'!$A$165:$I$185,6,0)),0%,VLOOKUP(A28,'Données projet'!$A$165:$I$185,6,0)*VLOOKUP('Données projet'!$B$14,Paramètres!$A$1:$I$89,7,0))</f>
        <v>0.12</v>
      </c>
      <c r="DZ28" s="17">
        <f>IF(ISNA(VLOOKUP(A28,'Données projet'!$A$165:$I$185,7,0)),0%,VLOOKUP(A28,'Données projet'!$A$165:$I$185,7,0))</f>
        <v>0.6</v>
      </c>
      <c r="EA28" s="23">
        <f>EXP(-LN(2)/35)*EA27+(1-EXP(-LN(2)/35))/(LN(2)/35)*DW28*DX28*VLOOKUP('Données projet'!$B$14,Paramètres!$A$1:$I$89,3,0)*0.475*44/12</f>
        <v>3.824326137297541</v>
      </c>
      <c r="EB28" s="23">
        <f>EXP(-LN(2)/25)*EB27+(1-EXP(-LN(2)/25))/(LN(2)/25)*Calculateur!DW28*Calculateur!DY28*VLOOKUP('Données projet'!$B$14,Paramètres!$A$1:$I$89,3,0)*0.475*44/12</f>
        <v>7.351530843443193</v>
      </c>
      <c r="EC28" s="23">
        <f>EXP(-LN(2)/2)*EC27+(1-EXP(-LN(2)/2))/(LN(2)/2)*DW28*DZ28*VLOOKUP('Données projet'!$B$14,Paramètres!$A$1:$I$89,3,0)*0.475*44/12</f>
        <v>21.283034583117605</v>
      </c>
      <c r="ED28" s="24">
        <f t="shared" si="18"/>
        <v>32.458891563858337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1.05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3.85</v>
      </c>
      <c r="H29" s="70">
        <f t="shared" si="1"/>
        <v>241.26666666666665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21.612857142857145</v>
      </c>
      <c r="N29" s="14">
        <f>IF('Données projet'!$A$36&gt;35,N28+M29-V28,IF(A29&lt;'Données projet'!$A$36,$K$205^A29,IF(A29='Données projet'!$A$36,'Données projet'!$B$36,N28+M29-V28)))</f>
        <v>238.63428571428574</v>
      </c>
      <c r="O29" s="14">
        <f>N29*VLOOKUP('Données projet'!$B$9,Paramètres!$A$1:$I$89,3,0)*VLOOKUP('Données projet'!$B$9,Paramètres!$A$1:$I$89,5,0)</f>
        <v>133.39656571428571</v>
      </c>
      <c r="P29" s="14">
        <f t="shared" si="33"/>
        <v>34.780023938654864</v>
      </c>
      <c r="Q29" s="22">
        <f t="shared" si="2"/>
        <v>292.90756031220479</v>
      </c>
      <c r="R29" s="62">
        <f t="shared" si="0"/>
        <v>569.13888137364586</v>
      </c>
      <c r="S29" s="62">
        <f ca="1">AVERAGE(OFFSET($R$3,0,0,'Données projet'!$E$9+1,1))-AVERAGE(OFFSET($H$3,0,0,'Données projet'!$E$9+1,1))</f>
        <v>393.3487617557011</v>
      </c>
      <c r="T29" s="62">
        <f t="shared" si="34"/>
        <v>360.09400083977084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4.5678468327200807</v>
      </c>
      <c r="AB29" s="23">
        <f>EXP(-LN(2)/2)*AB28+(1-EXP(-LN(2)/2))/(LN(2)/2)*V29*Y29*VLOOKUP('Données projet'!$B$9,Paramètres!$A$1:$I$89,3,0)*0.475*44/12</f>
        <v>5.7804331848187473</v>
      </c>
      <c r="AC29" s="24">
        <f t="shared" si="3"/>
        <v>10.348280017538828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98.999999999999972</v>
      </c>
      <c r="AJ29" s="14">
        <f>AI29*VLOOKUP('Données projet'!$B$10,Paramètres!$A$1:$I$89,3,0)*VLOOKUP('Données projet'!$B$10,Paramètres!$A$1:$I$89,5,0)</f>
        <v>72.586799999999982</v>
      </c>
      <c r="AK29" s="14">
        <f t="shared" si="35"/>
        <v>20.314488197199065</v>
      </c>
      <c r="AL29" s="22">
        <f t="shared" si="4"/>
        <v>161.80307694345501</v>
      </c>
      <c r="AM29" s="62">
        <f t="shared" si="5"/>
        <v>438.03439800489605</v>
      </c>
      <c r="AN29" s="62">
        <f ca="1">AVERAGE(OFFSET($AM$3,0,0,'Données projet'!$E$10+1,1))-AVERAGE(OFFSET($H$3,0,0,'Données projet'!$E$10+1,1))</f>
        <v>283.28499080043167</v>
      </c>
      <c r="AO29" s="62">
        <f t="shared" si="36"/>
        <v>278.56966286485783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7.563651018986806</v>
      </c>
      <c r="AW29" s="23">
        <f>EXP(-LN(2)/2)*AW28+(1-EXP(-LN(2)/2))/(LN(2)/2)*AQ29*AT29*VLOOKUP('Données projet'!$B$10,Paramètres!$A$1:$I$89,3,0)*0.475*44/12</f>
        <v>5.389942446350859</v>
      </c>
      <c r="AX29" s="23">
        <f t="shared" si="6"/>
        <v>12.953593465337665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98.999999999999972</v>
      </c>
      <c r="BE29" s="14">
        <f>BD29*VLOOKUP('Données projet'!$B$11,Paramètres!$A$1:$I$89,3,0)*VLOOKUP('Données projet'!$B$11,Paramètres!$A$1:$I$89,5,0)</f>
        <v>78.764399999999981</v>
      </c>
      <c r="BF29" s="14">
        <f t="shared" si="37"/>
        <v>21.834800364471622</v>
      </c>
      <c r="BG29" s="22">
        <f t="shared" si="7"/>
        <v>175.21027396812136</v>
      </c>
      <c r="BH29" s="62">
        <f t="shared" si="8"/>
        <v>451.44159502956245</v>
      </c>
      <c r="BI29" s="62">
        <f ca="1">AVERAGE(OFFSET($BH$3,0,0,'Données projet'!$E$11+1,1))-AVERAGE(OFFSET($H$3,0,0,'Données projet'!$E$11+1,1))</f>
        <v>303.91914071195419</v>
      </c>
      <c r="BJ29" s="62">
        <f t="shared" si="38"/>
        <v>298.30050362688769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17.738667344957747</v>
      </c>
      <c r="BS29" s="24">
        <f t="shared" si="9"/>
        <v>17.738667344957747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76.184160000000006</v>
      </c>
      <c r="CA29" s="14">
        <f t="shared" si="39"/>
        <v>21.201554232857223</v>
      </c>
      <c r="CB29" s="22">
        <f t="shared" si="10"/>
        <v>169.613452288893</v>
      </c>
      <c r="CC29" s="62">
        <f t="shared" si="11"/>
        <v>445.84477335033409</v>
      </c>
      <c r="CD29" s="62">
        <f ca="1">AVERAGE(OFFSET($CC$3,0,0,'Données projet'!$E$12+1,1))-AVERAGE(OFFSET($H$3,0,0,'Données projet'!$E$12+1,1))</f>
        <v>446.15737983598251</v>
      </c>
      <c r="CE29" s="62">
        <f t="shared" si="40"/>
        <v>282.2299715529382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97.499999999999957</v>
      </c>
      <c r="CU29" s="18">
        <f>CT29*VLOOKUP('Données projet'!$B$13,Paramètres!$A$1:$I$89,3,0)*VLOOKUP('Données projet'!$B$13,Paramètres!$A$1:$I$89,5,0)</f>
        <v>76.049999999999969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445.55364794616264</v>
      </c>
      <c r="CY29" s="62">
        <f ca="1">AVERAGE(OFFSET($CX$3,0,0,'Données projet'!$E$13+1,1))-AVERAGE(OFFSET($H$3,0,0,'Données projet'!$E$13+1,1))</f>
        <v>293.03320024876842</v>
      </c>
      <c r="CZ29" s="62">
        <f t="shared" si="42"/>
        <v>287.49994652707915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16.399324300854968</v>
      </c>
      <c r="DI29" s="24">
        <f t="shared" si="15"/>
        <v>16.399324300854968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14.4</v>
      </c>
      <c r="DO29" s="13">
        <f>IF('Données projet'!$A$166&gt;35,DO28+DN29-DW28,IF(A29&lt;'Données projet'!$A$166,$DL$205^A29,IF(A29='Données projet'!$A$166,'Données projet'!$B$166,DO28+DN29-DW28)))</f>
        <v>214.39999999999998</v>
      </c>
      <c r="DP29" s="18">
        <f>DO29*VLOOKUP('Données projet'!$B$14,Paramètres!$A$1:$I$89,3,0)*VLOOKUP('Données projet'!$B$14,Paramètres!$A$1:$I$89,5,0)</f>
        <v>117.06239999999998</v>
      </c>
      <c r="DQ29" s="14">
        <f t="shared" si="43"/>
        <v>30.988867171899152</v>
      </c>
      <c r="DR29" s="22">
        <f t="shared" si="16"/>
        <v>257.85595699105767</v>
      </c>
      <c r="DS29" s="62">
        <f t="shared" si="17"/>
        <v>534.08727805249873</v>
      </c>
      <c r="DT29" s="62">
        <f ca="1">AVERAGE(OFFSET($DS$3,0,0,'Données projet'!$E$14+1,1))-AVERAGE(OFFSET($H$3,0,0,'Données projet'!$E$14+1,1))</f>
        <v>253.0312006976271</v>
      </c>
      <c r="DU29" s="62">
        <f t="shared" si="44"/>
        <v>365.93937083714866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3.7493334343537539</v>
      </c>
      <c r="EB29" s="23">
        <f>EXP(-LN(2)/25)*EB28+(1-EXP(-LN(2)/25))/(LN(2)/25)*Calculateur!DW29*Calculateur!DY29*VLOOKUP('Données projet'!$B$14,Paramètres!$A$1:$I$89,3,0)*0.475*44/12</f>
        <v>7.1505028459290338</v>
      </c>
      <c r="EC29" s="23">
        <f>EXP(-LN(2)/2)*EC28+(1-EXP(-LN(2)/2))/(LN(2)/2)*DW29*DZ29*VLOOKUP('Données projet'!$B$14,Paramètres!$A$1:$I$89,3,0)*0.475*44/12</f>
        <v>15.049378077950264</v>
      </c>
      <c r="ED29" s="24">
        <f t="shared" si="18"/>
        <v>25.94921435823305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1.05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3.85</v>
      </c>
      <c r="H30" s="70">
        <f t="shared" si="1"/>
        <v>241.26666666666665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21.612857142857145</v>
      </c>
      <c r="N30" s="14">
        <f>IF('Données projet'!$A$36&gt;35,N29+M30-V29,IF(A30&lt;'Données projet'!$A$36,$K$205^A30,IF(A30='Données projet'!$A$36,'Données projet'!$B$36,N29+M30-V29)))</f>
        <v>260.24714285714288</v>
      </c>
      <c r="O30" s="14">
        <f>N30*VLOOKUP('Données projet'!$B$9,Paramètres!$A$1:$I$89,3,0)*VLOOKUP('Données projet'!$B$9,Paramètres!$A$1:$I$89,5,0)</f>
        <v>145.47815285714287</v>
      </c>
      <c r="P30" s="14">
        <f t="shared" si="33"/>
        <v>37.54915616665005</v>
      </c>
      <c r="Q30" s="22">
        <f t="shared" si="2"/>
        <v>318.77256321643932</v>
      </c>
      <c r="R30" s="62">
        <f t="shared" si="0"/>
        <v>596.43797688634436</v>
      </c>
      <c r="S30" s="62">
        <f ca="1">AVERAGE(OFFSET($R$3,0,0,'Données projet'!$E$9+1,1))-AVERAGE(OFFSET($H$3,0,0,'Données projet'!$E$9+1,1))</f>
        <v>393.3487617557011</v>
      </c>
      <c r="T30" s="62">
        <f t="shared" si="34"/>
        <v>360.09400083977084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4.4429388208667255</v>
      </c>
      <c r="AB30" s="23">
        <f>EXP(-LN(2)/2)*AB29+(1-EXP(-LN(2)/2))/(LN(2)/2)*V30*Y30*VLOOKUP('Données projet'!$B$9,Paramètres!$A$1:$I$89,3,0)*0.475*44/12</f>
        <v>4.0873835031810879</v>
      </c>
      <c r="AC30" s="24">
        <f t="shared" si="3"/>
        <v>8.5303223240478125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110.99999999999997</v>
      </c>
      <c r="AJ30" s="14">
        <f>AI30*VLOOKUP('Données projet'!$B$10,Paramètres!$A$1:$I$89,3,0)*VLOOKUP('Données projet'!$B$10,Paramètres!$A$1:$I$89,5,0)</f>
        <v>81.385199999999969</v>
      </c>
      <c r="AK30" s="14">
        <f t="shared" si="35"/>
        <v>22.475533601501123</v>
      </c>
      <c r="AL30" s="22">
        <f t="shared" si="4"/>
        <v>180.89077768928109</v>
      </c>
      <c r="AM30" s="62">
        <f t="shared" si="5"/>
        <v>458.55619135918613</v>
      </c>
      <c r="AN30" s="62">
        <f ca="1">AVERAGE(OFFSET($AM$3,0,0,'Données projet'!$E$10+1,1))-AVERAGE(OFFSET($H$3,0,0,'Données projet'!$E$10+1,1))</f>
        <v>283.28499080043167</v>
      </c>
      <c r="AO30" s="62">
        <f t="shared" si="36"/>
        <v>278.56966286485783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7.3568225841174915</v>
      </c>
      <c r="AW30" s="23">
        <f>EXP(-LN(2)/2)*AW29+(1-EXP(-LN(2)/2))/(LN(2)/2)*AQ30*AT30*VLOOKUP('Données projet'!$B$10,Paramètres!$A$1:$I$89,3,0)*0.475*44/12</f>
        <v>3.8112648540199019</v>
      </c>
      <c r="AX30" s="23">
        <f t="shared" si="6"/>
        <v>11.168087438137393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110.99999999999997</v>
      </c>
      <c r="BE30" s="14">
        <f>BD30*VLOOKUP('Données projet'!$B$11,Paramètres!$A$1:$I$89,3,0)*VLOOKUP('Données projet'!$B$11,Paramètres!$A$1:$I$89,5,0)</f>
        <v>88.311599999999984</v>
      </c>
      <c r="BF30" s="14">
        <f t="shared" si="37"/>
        <v>24.157575839957186</v>
      </c>
      <c r="BG30" s="22">
        <f t="shared" si="7"/>
        <v>195.8838145879254</v>
      </c>
      <c r="BH30" s="62">
        <f t="shared" si="8"/>
        <v>473.54922825783046</v>
      </c>
      <c r="BI30" s="62">
        <f ca="1">AVERAGE(OFFSET($BH$3,0,0,'Données projet'!$E$11+1,1))-AVERAGE(OFFSET($H$3,0,0,'Données projet'!$E$11+1,1))</f>
        <v>303.91914071195419</v>
      </c>
      <c r="BJ30" s="62">
        <f t="shared" si="38"/>
        <v>298.30050362688769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12.543131968831995</v>
      </c>
      <c r="BS30" s="24">
        <f t="shared" si="9"/>
        <v>12.543131968831995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84.508320000000026</v>
      </c>
      <c r="CA30" s="14">
        <f t="shared" si="39"/>
        <v>23.235950088324714</v>
      </c>
      <c r="CB30" s="22">
        <f t="shared" si="10"/>
        <v>187.65460373716556</v>
      </c>
      <c r="CC30" s="62">
        <f t="shared" si="11"/>
        <v>465.32001740707062</v>
      </c>
      <c r="CD30" s="62">
        <f ca="1">AVERAGE(OFFSET($CC$3,0,0,'Données projet'!$E$12+1,1))-AVERAGE(OFFSET($H$3,0,0,'Données projet'!$E$12+1,1))</f>
        <v>446.15737983598251</v>
      </c>
      <c r="CE30" s="62">
        <f t="shared" si="40"/>
        <v>282.2299715529382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108.99999999999996</v>
      </c>
      <c r="CU30" s="18">
        <f>CT30*VLOOKUP('Données projet'!$B$13,Paramètres!$A$1:$I$89,3,0)*VLOOKUP('Données projet'!$B$13,Paramètres!$A$1:$I$89,5,0)</f>
        <v>85.019999999999968</v>
      </c>
      <c r="CV30" s="14">
        <f t="shared" si="41"/>
        <v>23.360218970693097</v>
      </c>
      <c r="CW30" s="22">
        <f t="shared" si="13"/>
        <v>188.76221470729038</v>
      </c>
      <c r="CX30" s="62">
        <f t="shared" si="14"/>
        <v>466.42762837719545</v>
      </c>
      <c r="CY30" s="62">
        <f ca="1">AVERAGE(OFFSET($CX$3,0,0,'Données projet'!$E$13+1,1))-AVERAGE(OFFSET($H$3,0,0,'Données projet'!$E$13+1,1))</f>
        <v>293.03320024876842</v>
      </c>
      <c r="CZ30" s="62">
        <f t="shared" si="42"/>
        <v>287.49994652707915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11.596073420011885</v>
      </c>
      <c r="DI30" s="24">
        <f t="shared" si="15"/>
        <v>11.596073420011885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14.4</v>
      </c>
      <c r="DO30" s="13">
        <f>IF('Données projet'!$A$166&gt;35,DO29+DN30-DW29,IF(A30&lt;'Données projet'!$A$166,$DL$205^A30,IF(A30='Données projet'!$A$166,'Données projet'!$B$166,DO29+DN30-DW29)))</f>
        <v>228.79999999999998</v>
      </c>
      <c r="DP30" s="18">
        <f>DO30*VLOOKUP('Données projet'!$B$14,Paramètres!$A$1:$I$89,3,0)*VLOOKUP('Données projet'!$B$14,Paramètres!$A$1:$I$89,5,0)</f>
        <v>124.92479999999999</v>
      </c>
      <c r="DQ30" s="14">
        <f t="shared" si="43"/>
        <v>32.820925500842712</v>
      </c>
      <c r="DR30" s="22">
        <f t="shared" si="16"/>
        <v>274.74047191396772</v>
      </c>
      <c r="DS30" s="62">
        <f t="shared" si="17"/>
        <v>552.40588558387276</v>
      </c>
      <c r="DT30" s="62">
        <f ca="1">AVERAGE(OFFSET($DS$3,0,0,'Données projet'!$E$14+1,1))-AVERAGE(OFFSET($H$3,0,0,'Données projet'!$E$14+1,1))</f>
        <v>253.0312006976271</v>
      </c>
      <c r="DU30" s="62">
        <f t="shared" si="44"/>
        <v>365.93937083714866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3.6758112925736621</v>
      </c>
      <c r="EB30" s="23">
        <f>EXP(-LN(2)/25)*EB29+(1-EXP(-LN(2)/25))/(LN(2)/25)*Calculateur!DW30*Calculateur!DY30*VLOOKUP('Données projet'!$B$14,Paramètres!$A$1:$I$89,3,0)*0.475*44/12</f>
        <v>6.9549719695785024</v>
      </c>
      <c r="EC30" s="23">
        <f>EXP(-LN(2)/2)*EC29+(1-EXP(-LN(2)/2))/(LN(2)/2)*DW30*DZ30*VLOOKUP('Données projet'!$B$14,Paramètres!$A$1:$I$89,3,0)*0.475*44/12</f>
        <v>10.641517291558802</v>
      </c>
      <c r="ED30" s="24">
        <f t="shared" si="18"/>
        <v>21.272300553710966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1.05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3.85</v>
      </c>
      <c r="H31" s="70">
        <f t="shared" si="1"/>
        <v>241.26666666666665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281.86</v>
      </c>
      <c r="L31" s="13">
        <f>VLOOKUP(A31,'Données projet'!$A$35:$I$55,9,0)</f>
        <v>21.612857142857145</v>
      </c>
      <c r="M31" s="13">
        <f t="array" ref="M31">INDEX(L:L,MIN(IF(ISNUMBER(L31:L227),ROW(L31:L227),"")))</f>
        <v>21.612857142857145</v>
      </c>
      <c r="N31" s="14">
        <f>IF('Données projet'!$A$36&gt;35,N30+M31-V30,IF(A31&lt;'Données projet'!$A$36,$K$205^A31,IF(A31='Données projet'!$A$36,'Données projet'!$B$36,N30+M31-V30)))</f>
        <v>281.86</v>
      </c>
      <c r="O31" s="14">
        <f>N31*VLOOKUP('Données projet'!$B$9,Paramètres!$A$1:$I$89,3,0)*VLOOKUP('Données projet'!$B$9,Paramètres!$A$1:$I$89,5,0)</f>
        <v>157.55974000000001</v>
      </c>
      <c r="P31" s="14">
        <f t="shared" si="33"/>
        <v>40.291616590408985</v>
      </c>
      <c r="Q31" s="22">
        <f t="shared" si="2"/>
        <v>344.59111272829563</v>
      </c>
      <c r="R31" s="62">
        <f t="shared" si="0"/>
        <v>623.68694352913451</v>
      </c>
      <c r="S31" s="62">
        <f ca="1">AVERAGE(OFFSET($R$3,0,0,'Données projet'!$E$9+1,1))-AVERAGE(OFFSET($H$3,0,0,'Données projet'!$E$9+1,1))</f>
        <v>393.3487617557011</v>
      </c>
      <c r="T31" s="62">
        <f t="shared" si="34"/>
        <v>360.09400083977084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67.61</v>
      </c>
      <c r="W31" s="17">
        <f>IF(ISNA(VLOOKUP(A31,'Données projet'!$A$35:$I$55,5,0)),0%,VLOOKUP(A31,'Données projet'!$A$35:$I$55,5,0)*VLOOKUP('Données projet'!$B$9,Paramètres!$A$1:$I$89,7,0))</f>
        <v>0.11000000000000001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0.6</v>
      </c>
      <c r="Z31" s="23">
        <f>EXP(-LN(2)/35)*Z30+(1-EXP(-LN(2)/35))/(LN(2)/35)*V31*W31*VLOOKUP('Données projet'!$B$9,Paramètres!$A$1:$I$89,3,0)*0.475*44/12</f>
        <v>5.5149780139561173</v>
      </c>
      <c r="AA31" s="23">
        <f>EXP(-LN(2)/25)*AA30+(1-EXP(-LN(2)/25))/(LN(2)/25)*Calculateur!V31*Calculateur!X31*VLOOKUP('Données projet'!$B$9,Paramètres!$A$1:$I$89,3,0)*0.475*44/12</f>
        <v>9.8147098693099313</v>
      </c>
      <c r="AB31" s="23">
        <f>EXP(-LN(2)/2)*AB30+(1-EXP(-LN(2)/2))/(LN(2)/2)*V31*Y31*VLOOKUP('Données projet'!$B$9,Paramètres!$A$1:$I$89,3,0)*0.475*44/12</f>
        <v>28.565162270644734</v>
      </c>
      <c r="AC31" s="24">
        <f t="shared" si="3"/>
        <v>43.894850153910781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122.99999999999997</v>
      </c>
      <c r="AJ31" s="14">
        <f>AI31*VLOOKUP('Données projet'!$B$10,Paramètres!$A$1:$I$89,3,0)*VLOOKUP('Données projet'!$B$10,Paramètres!$A$1:$I$89,5,0)</f>
        <v>90.18359999999997</v>
      </c>
      <c r="AK31" s="14">
        <f t="shared" si="35"/>
        <v>24.609499639553768</v>
      </c>
      <c r="AL31" s="22">
        <f t="shared" si="4"/>
        <v>199.93131520555607</v>
      </c>
      <c r="AM31" s="62">
        <f t="shared" si="5"/>
        <v>479.02714600639496</v>
      </c>
      <c r="AN31" s="62">
        <f ca="1">AVERAGE(OFFSET($AM$3,0,0,'Données projet'!$E$10+1,1))-AVERAGE(OFFSET($H$3,0,0,'Données projet'!$E$10+1,1))</f>
        <v>283.28499080043167</v>
      </c>
      <c r="AO31" s="62">
        <f t="shared" si="36"/>
        <v>278.56966286485783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7.1556498836763129</v>
      </c>
      <c r="AW31" s="23">
        <f>EXP(-LN(2)/2)*AW30+(1-EXP(-LN(2)/2))/(LN(2)/2)*AQ31*AT31*VLOOKUP('Données projet'!$B$10,Paramètres!$A$1:$I$89,3,0)*0.475*44/12</f>
        <v>2.6949712231754299</v>
      </c>
      <c r="AX31" s="23">
        <f t="shared" si="6"/>
        <v>9.8506211068517437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122.99999999999997</v>
      </c>
      <c r="BE31" s="14">
        <f>BD31*VLOOKUP('Données projet'!$B$11,Paramètres!$A$1:$I$89,3,0)*VLOOKUP('Données projet'!$B$11,Paramètres!$A$1:$I$89,5,0)</f>
        <v>97.858799999999988</v>
      </c>
      <c r="BF31" s="14">
        <f t="shared" si="37"/>
        <v>26.45124536158788</v>
      </c>
      <c r="BG31" s="22">
        <f t="shared" si="7"/>
        <v>216.50666233809886</v>
      </c>
      <c r="BH31" s="62">
        <f t="shared" si="8"/>
        <v>495.60249313893775</v>
      </c>
      <c r="BI31" s="62">
        <f ca="1">AVERAGE(OFFSET($BH$3,0,0,'Données projet'!$E$11+1,1))-AVERAGE(OFFSET($H$3,0,0,'Données projet'!$E$11+1,1))</f>
        <v>303.91914071195419</v>
      </c>
      <c r="BJ31" s="62">
        <f t="shared" si="38"/>
        <v>298.30050362688769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8.8693336724788754</v>
      </c>
      <c r="BS31" s="24">
        <f t="shared" si="9"/>
        <v>8.8693336724788754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92.832480000000018</v>
      </c>
      <c r="CA31" s="14">
        <f t="shared" si="39"/>
        <v>25.247114117480137</v>
      </c>
      <c r="CB31" s="22">
        <f t="shared" si="10"/>
        <v>205.65529308794461</v>
      </c>
      <c r="CC31" s="62">
        <f t="shared" si="11"/>
        <v>484.75112388878347</v>
      </c>
      <c r="CD31" s="62">
        <f ca="1">AVERAGE(OFFSET($CC$3,0,0,'Données projet'!$E$12+1,1))-AVERAGE(OFFSET($H$3,0,0,'Données projet'!$E$12+1,1))</f>
        <v>446.15737983598251</v>
      </c>
      <c r="CE31" s="62">
        <f t="shared" si="40"/>
        <v>282.2299715529382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120.49999999999996</v>
      </c>
      <c r="CU31" s="18">
        <f>CT31*VLOOKUP('Données projet'!$B$13,Paramètres!$A$1:$I$89,3,0)*VLOOKUP('Données projet'!$B$13,Paramètres!$A$1:$I$89,5,0)</f>
        <v>93.989999999999966</v>
      </c>
      <c r="CV31" s="14">
        <f t="shared" si="41"/>
        <v>25.525074036970054</v>
      </c>
      <c r="CW31" s="22">
        <f t="shared" si="13"/>
        <v>208.15542061438944</v>
      </c>
      <c r="CX31" s="62">
        <f t="shared" si="14"/>
        <v>487.25125141522835</v>
      </c>
      <c r="CY31" s="62">
        <f ca="1">AVERAGE(OFFSET($CX$3,0,0,'Données projet'!$E$13+1,1))-AVERAGE(OFFSET($H$3,0,0,'Données projet'!$E$13+1,1))</f>
        <v>293.03320024876842</v>
      </c>
      <c r="CZ31" s="62">
        <f t="shared" si="42"/>
        <v>287.49994652707915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8.1996621504274838</v>
      </c>
      <c r="DI31" s="24">
        <f t="shared" si="15"/>
        <v>8.1996621504274838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14.4</v>
      </c>
      <c r="DO31" s="13">
        <f>IF('Données projet'!$A$166&gt;35,DO30+DN31-DW30,IF(A31&lt;'Données projet'!$A$166,$DL$205^A31,IF(A31='Données projet'!$A$166,'Données projet'!$B$166,DO30+DN31-DW30)))</f>
        <v>243.2</v>
      </c>
      <c r="DP31" s="18">
        <f>DO31*VLOOKUP('Données projet'!$B$14,Paramètres!$A$1:$I$89,3,0)*VLOOKUP('Données projet'!$B$14,Paramètres!$A$1:$I$89,5,0)</f>
        <v>132.78719999999998</v>
      </c>
      <c r="DQ31" s="14">
        <f t="shared" si="43"/>
        <v>34.63960211985458</v>
      </c>
      <c r="DR31" s="22">
        <f t="shared" si="16"/>
        <v>291.60168035874665</v>
      </c>
      <c r="DS31" s="62">
        <f t="shared" si="17"/>
        <v>570.69751115958547</v>
      </c>
      <c r="DT31" s="62">
        <f ca="1">AVERAGE(OFFSET($DS$3,0,0,'Données projet'!$E$14+1,1))-AVERAGE(OFFSET($H$3,0,0,'Données projet'!$E$14+1,1))</f>
        <v>253.0312006976271</v>
      </c>
      <c r="DU31" s="62">
        <f t="shared" si="44"/>
        <v>365.93937083714866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3.6037308751497998</v>
      </c>
      <c r="EB31" s="23">
        <f>EXP(-LN(2)/25)*EB30+(1-EXP(-LN(2)/25))/(LN(2)/25)*Calculateur!DW31*Calculateur!DY31*VLOOKUP('Données projet'!$B$14,Paramètres!$A$1:$I$89,3,0)*0.475*44/12</f>
        <v>6.7647878953242984</v>
      </c>
      <c r="EC31" s="23">
        <f>EXP(-LN(2)/2)*EC30+(1-EXP(-LN(2)/2))/(LN(2)/2)*DW31*DZ31*VLOOKUP('Données projet'!$B$14,Paramètres!$A$1:$I$89,3,0)*0.475*44/12</f>
        <v>7.524689038975132</v>
      </c>
      <c r="ED31" s="24">
        <f t="shared" si="18"/>
        <v>17.89320780944923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1.05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3.85</v>
      </c>
      <c r="H32" s="70">
        <f t="shared" si="1"/>
        <v>241.26666666666665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23.267142857142858</v>
      </c>
      <c r="N32" s="14">
        <f>IF('Données projet'!$A$36&gt;35,N31+M32-V31,IF(A32&lt;'Données projet'!$A$36,$K$205^A32,IF(A32='Données projet'!$A$36,'Données projet'!$B$36,N31+M32-V31)))</f>
        <v>237.51714285714286</v>
      </c>
      <c r="O32" s="14">
        <f>N32*VLOOKUP('Données projet'!$B$9,Paramètres!$A$1:$I$89,3,0)*VLOOKUP('Données projet'!$B$9,Paramètres!$A$1:$I$89,5,0)</f>
        <v>132.77208285714286</v>
      </c>
      <c r="P32" s="14">
        <f t="shared" si="33"/>
        <v>34.636117583630444</v>
      </c>
      <c r="Q32" s="22">
        <f t="shared" si="2"/>
        <v>291.5692824343468</v>
      </c>
      <c r="R32" s="62">
        <f t="shared" si="0"/>
        <v>572.09191864990748</v>
      </c>
      <c r="S32" s="62">
        <f ca="1">AVERAGE(OFFSET($R$3,0,0,'Données projet'!$E$9+1,1))-AVERAGE(OFFSET($H$3,0,0,'Données projet'!$E$9+1,1))</f>
        <v>393.3487617557011</v>
      </c>
      <c r="T32" s="62">
        <f t="shared" si="34"/>
        <v>360.09400083977084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5.406832658906878</v>
      </c>
      <c r="AA32" s="23">
        <f>EXP(-LN(2)/25)*AA31+(1-EXP(-LN(2)/25))/(LN(2)/25)*Calculateur!V32*Calculateur!X32*VLOOKUP('Données projet'!$B$9,Paramètres!$A$1:$I$89,3,0)*0.475*44/12</f>
        <v>9.5463261118004912</v>
      </c>
      <c r="AB32" s="23">
        <f>EXP(-LN(2)/2)*AB31+(1-EXP(-LN(2)/2))/(LN(2)/2)*V32*Y32*VLOOKUP('Données projet'!$B$9,Paramètres!$A$1:$I$89,3,0)*0.475*44/12</f>
        <v>20.198619947267009</v>
      </c>
      <c r="AC32" s="24">
        <f t="shared" si="3"/>
        <v>35.151778717974381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134.99999999999997</v>
      </c>
      <c r="AJ32" s="14">
        <f>AI32*VLOOKUP('Données projet'!$B$10,Paramètres!$A$1:$I$89,3,0)*VLOOKUP('Données projet'!$B$10,Paramètres!$A$1:$I$89,5,0)</f>
        <v>98.981999999999971</v>
      </c>
      <c r="AK32" s="14">
        <f t="shared" si="35"/>
        <v>26.719328849010743</v>
      </c>
      <c r="AL32" s="22">
        <f t="shared" si="4"/>
        <v>218.92981441202699</v>
      </c>
      <c r="AM32" s="62">
        <f t="shared" si="5"/>
        <v>499.45245062758772</v>
      </c>
      <c r="AN32" s="62">
        <f ca="1">AVERAGE(OFFSET($AM$3,0,0,'Données projet'!$E$10+1,1))-AVERAGE(OFFSET($H$3,0,0,'Données projet'!$E$10+1,1))</f>
        <v>283.28499080043167</v>
      </c>
      <c r="AO32" s="62">
        <f t="shared" si="36"/>
        <v>278.56966286485783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6.9599782613079109</v>
      </c>
      <c r="AW32" s="23">
        <f>EXP(-LN(2)/2)*AW31+(1-EXP(-LN(2)/2))/(LN(2)/2)*AQ32*AT32*VLOOKUP('Données projet'!$B$10,Paramètres!$A$1:$I$89,3,0)*0.475*44/12</f>
        <v>1.9056324270099512</v>
      </c>
      <c r="AX32" s="23">
        <f t="shared" si="6"/>
        <v>8.8656106883178616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134.99999999999997</v>
      </c>
      <c r="BE32" s="14">
        <f>BD32*VLOOKUP('Données projet'!$B$11,Paramètres!$A$1:$I$89,3,0)*VLOOKUP('Données projet'!$B$11,Paramètres!$A$1:$I$89,5,0)</f>
        <v>107.40599999999998</v>
      </c>
      <c r="BF32" s="14">
        <f t="shared" si="37"/>
        <v>28.718971683040337</v>
      </c>
      <c r="BG32" s="22">
        <f t="shared" si="7"/>
        <v>237.08432568129521</v>
      </c>
      <c r="BH32" s="62">
        <f t="shared" si="8"/>
        <v>517.60696189685598</v>
      </c>
      <c r="BI32" s="62">
        <f ca="1">AVERAGE(OFFSET($BH$3,0,0,'Données projet'!$E$11+1,1))-AVERAGE(OFFSET($H$3,0,0,'Données projet'!$E$11+1,1))</f>
        <v>303.91914071195419</v>
      </c>
      <c r="BJ32" s="62">
        <f t="shared" si="38"/>
        <v>298.30050362688769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6.2715659844159983</v>
      </c>
      <c r="BS32" s="24">
        <f t="shared" si="9"/>
        <v>6.2715659844159983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101.15664000000001</v>
      </c>
      <c r="CA32" s="14">
        <f t="shared" si="39"/>
        <v>27.237366379381644</v>
      </c>
      <c r="CB32" s="22">
        <f t="shared" si="10"/>
        <v>223.61956111075639</v>
      </c>
      <c r="CC32" s="62">
        <f t="shared" si="11"/>
        <v>504.14219732631716</v>
      </c>
      <c r="CD32" s="62">
        <f ca="1">AVERAGE(OFFSET($CC$3,0,0,'Données projet'!$E$12+1,1))-AVERAGE(OFFSET($H$3,0,0,'Données projet'!$E$12+1,1))</f>
        <v>446.15737983598251</v>
      </c>
      <c r="CE32" s="62">
        <f t="shared" si="40"/>
        <v>282.2299715529382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131.99999999999994</v>
      </c>
      <c r="CU32" s="18">
        <f>CT32*VLOOKUP('Données projet'!$B$13,Paramètres!$A$1:$I$89,3,0)*VLOOKUP('Données projet'!$B$13,Paramètres!$A$1:$I$89,5,0)</f>
        <v>102.95999999999997</v>
      </c>
      <c r="CV32" s="14">
        <f t="shared" si="41"/>
        <v>27.665975080374633</v>
      </c>
      <c r="CW32" s="22">
        <f t="shared" si="13"/>
        <v>227.50690659831903</v>
      </c>
      <c r="CX32" s="62">
        <f t="shared" si="14"/>
        <v>508.02954281387974</v>
      </c>
      <c r="CY32" s="62">
        <f ca="1">AVERAGE(OFFSET($CX$3,0,0,'Données projet'!$E$13+1,1))-AVERAGE(OFFSET($H$3,0,0,'Données projet'!$E$13+1,1))</f>
        <v>293.03320024876842</v>
      </c>
      <c r="CZ32" s="62">
        <f t="shared" si="42"/>
        <v>287.49994652707915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5.7980367100059427</v>
      </c>
      <c r="DI32" s="24">
        <f t="shared" si="15"/>
        <v>5.7980367100059427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14.4</v>
      </c>
      <c r="DO32" s="13">
        <f>IF('Données projet'!$A$166&gt;35,DO31+DN32-DW31,IF(A32&lt;'Données projet'!$A$166,$DL$205^A32,IF(A32='Données projet'!$A$166,'Données projet'!$B$166,DO31+DN32-DW31)))</f>
        <v>257.59999999999997</v>
      </c>
      <c r="DP32" s="18">
        <f>DO32*VLOOKUP('Données projet'!$B$14,Paramètres!$A$1:$I$89,3,0)*VLOOKUP('Données projet'!$B$14,Paramètres!$A$1:$I$89,5,0)</f>
        <v>140.64959999999996</v>
      </c>
      <c r="DQ32" s="14">
        <f t="shared" si="43"/>
        <v>36.445779615258601</v>
      </c>
      <c r="DR32" s="22">
        <f t="shared" si="16"/>
        <v>308.44111949657531</v>
      </c>
      <c r="DS32" s="62">
        <f t="shared" si="17"/>
        <v>588.96375571213605</v>
      </c>
      <c r="DT32" s="62">
        <f ca="1">AVERAGE(OFFSET($DS$3,0,0,'Données projet'!$E$14+1,1))-AVERAGE(OFFSET($H$3,0,0,'Données projet'!$E$14+1,1))</f>
        <v>253.0312006976271</v>
      </c>
      <c r="DU32" s="62">
        <f t="shared" si="44"/>
        <v>365.93937083714866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3.5330639107469057</v>
      </c>
      <c r="EB32" s="23">
        <f>EXP(-LN(2)/25)*EB31+(1-EXP(-LN(2)/25))/(LN(2)/25)*Calculateur!DW32*Calculateur!DY32*VLOOKUP('Données projet'!$B$14,Paramètres!$A$1:$I$89,3,0)*0.475*44/12</f>
        <v>6.579804414581921</v>
      </c>
      <c r="EC32" s="23">
        <f>EXP(-LN(2)/2)*EC31+(1-EXP(-LN(2)/2))/(LN(2)/2)*DW32*DZ32*VLOOKUP('Données projet'!$B$14,Paramètres!$A$1:$I$89,3,0)*0.475*44/12</f>
        <v>5.3207586457794012</v>
      </c>
      <c r="ED32" s="24">
        <f t="shared" si="18"/>
        <v>15.433626971108227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1.05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3.85</v>
      </c>
      <c r="H33" s="70">
        <f t="shared" si="1"/>
        <v>241.26666666666665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23.267142857142858</v>
      </c>
      <c r="N33" s="14">
        <f>IF('Données projet'!$A$36&gt;35,N32+M33-V32,IF(A33&lt;'Données projet'!$A$36,$K$205^A33,IF(A33='Données projet'!$A$36,'Données projet'!$B$36,N32+M33-V32)))</f>
        <v>260.78428571428572</v>
      </c>
      <c r="O33" s="14">
        <f>N33*VLOOKUP('Données projet'!$B$9,Paramètres!$A$1:$I$89,3,0)*VLOOKUP('Données projet'!$B$9,Paramètres!$A$1:$I$89,5,0)</f>
        <v>145.7784157142857</v>
      </c>
      <c r="P33" s="14">
        <f t="shared" si="33"/>
        <v>37.617627311837914</v>
      </c>
      <c r="Q33" s="22">
        <f t="shared" si="2"/>
        <v>319.4147749371653</v>
      </c>
      <c r="R33" s="62">
        <f t="shared" si="0"/>
        <v>601.36066750643749</v>
      </c>
      <c r="S33" s="62">
        <f ca="1">AVERAGE(OFFSET($R$3,0,0,'Données projet'!$E$9+1,1))-AVERAGE(OFFSET($H$3,0,0,'Données projet'!$E$9+1,1))</f>
        <v>393.3487617557011</v>
      </c>
      <c r="T33" s="62">
        <f t="shared" si="34"/>
        <v>360.09400083977084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5.3008079683080016</v>
      </c>
      <c r="AA33" s="23">
        <f>EXP(-LN(2)/25)*AA32+(1-EXP(-LN(2)/25))/(LN(2)/25)*Calculateur!V33*Calculateur!X33*VLOOKUP('Données projet'!$B$9,Paramètres!$A$1:$I$89,3,0)*0.475*44/12</f>
        <v>9.2852813222538355</v>
      </c>
      <c r="AB33" s="23">
        <f>EXP(-LN(2)/2)*AB32+(1-EXP(-LN(2)/2))/(LN(2)/2)*V33*Y33*VLOOKUP('Données projet'!$B$9,Paramètres!$A$1:$I$89,3,0)*0.475*44/12</f>
        <v>14.282581135322367</v>
      </c>
      <c r="AC33" s="24">
        <f t="shared" si="3"/>
        <v>28.868670425884204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146.99999999999997</v>
      </c>
      <c r="AJ33" s="14">
        <f>AI33*VLOOKUP('Données projet'!$B$10,Paramètres!$A$1:$I$89,3,0)*VLOOKUP('Données projet'!$B$10,Paramètres!$A$1:$I$89,5,0)</f>
        <v>107.78039999999999</v>
      </c>
      <c r="AK33" s="14">
        <f t="shared" si="35"/>
        <v>28.807410696030036</v>
      </c>
      <c r="AL33" s="22">
        <f t="shared" si="4"/>
        <v>237.89043696225227</v>
      </c>
      <c r="AM33" s="62">
        <f t="shared" si="5"/>
        <v>519.83632953152448</v>
      </c>
      <c r="AN33" s="62">
        <f ca="1">AVERAGE(OFFSET($AM$3,0,0,'Données projet'!$E$10+1,1))-AVERAGE(OFFSET($H$3,0,0,'Données projet'!$E$10+1,1))</f>
        <v>283.28499080043167</v>
      </c>
      <c r="AO33" s="62">
        <f t="shared" si="36"/>
        <v>278.56966286485783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1.9517583645147305</v>
      </c>
      <c r="AV33" s="23">
        <f>EXP(-LN(2)/25)*AV32+(1-EXP(-LN(2)/25))/(LN(2)/25)*Calculateur!AQ33*Calculateur!AS33*VLOOKUP('Données projet'!$B$10,Paramètres!$A$1:$I$89,3,0)*0.475*44/12</f>
        <v>8.7137308378984919</v>
      </c>
      <c r="AW33" s="23">
        <f>EXP(-LN(2)/2)*AW32+(1-EXP(-LN(2)/2))/(LN(2)/2)*AQ33*AT33*VLOOKUP('Données projet'!$B$10,Paramètres!$A$1:$I$89,3,0)*0.475*44/12</f>
        <v>12.969623699237381</v>
      </c>
      <c r="AX33" s="23">
        <f t="shared" si="6"/>
        <v>23.635112901650604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146.99999999999997</v>
      </c>
      <c r="BE33" s="14">
        <f>BD33*VLOOKUP('Données projet'!$B$11,Paramètres!$A$1:$I$89,3,0)*VLOOKUP('Données projet'!$B$11,Paramètres!$A$1:$I$89,5,0)</f>
        <v>116.95319999999998</v>
      </c>
      <c r="BF33" s="14">
        <f t="shared" si="37"/>
        <v>30.963323095281662</v>
      </c>
      <c r="BG33" s="22">
        <f t="shared" si="7"/>
        <v>257.62127772428215</v>
      </c>
      <c r="BH33" s="62">
        <f t="shared" si="8"/>
        <v>539.56717029355434</v>
      </c>
      <c r="BI33" s="62">
        <f ca="1">AVERAGE(OFFSET($BH$3,0,0,'Données projet'!$E$11+1,1))-AVERAGE(OFFSET($H$3,0,0,'Données projet'!$E$11+1,1))</f>
        <v>303.91914071195419</v>
      </c>
      <c r="BJ33" s="62">
        <f t="shared" si="38"/>
        <v>298.30050362688769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0.10600000000000001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2.6001142012192155</v>
      </c>
      <c r="BR33" s="23">
        <f>EXP(-LN(2)/2)*BR32+(1-EXP(-LN(2)/2))/(LN(2)/2)*BL33*BO33*VLOOKUP('Données projet'!$B$11,Paramètres!$A$1:$I$89,3,0)*0.475*44/12</f>
        <v>25.453427207520754</v>
      </c>
      <c r="BS33" s="24">
        <f t="shared" si="9"/>
        <v>28.053541408739971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109.48080000000002</v>
      </c>
      <c r="CA33" s="14">
        <f t="shared" si="39"/>
        <v>29.208623339903898</v>
      </c>
      <c r="CB33" s="22">
        <f t="shared" si="10"/>
        <v>241.55074565033269</v>
      </c>
      <c r="CC33" s="62">
        <f t="shared" si="11"/>
        <v>523.49663821960485</v>
      </c>
      <c r="CD33" s="62">
        <f ca="1">AVERAGE(OFFSET($CC$3,0,0,'Données projet'!$E$12+1,1))-AVERAGE(OFFSET($H$3,0,0,'Données projet'!$E$12+1,1))</f>
        <v>446.15737983598251</v>
      </c>
      <c r="CE33" s="62">
        <f t="shared" si="40"/>
        <v>282.2299715529382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143.49999999999994</v>
      </c>
      <c r="CU33" s="18">
        <f>CT33*VLOOKUP('Données projet'!$B$13,Paramètres!$A$1:$I$89,3,0)*VLOOKUP('Données projet'!$B$13,Paramètres!$A$1:$I$89,5,0)</f>
        <v>111.92999999999996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528.7666131937458</v>
      </c>
      <c r="CY33" s="62">
        <f ca="1">AVERAGE(OFFSET($CX$3,0,0,'Données projet'!$E$13+1,1))-AVERAGE(OFFSET($H$3,0,0,'Données projet'!$E$13+1,1))</f>
        <v>293.03320024876842</v>
      </c>
      <c r="CZ33" s="62">
        <f t="shared" si="42"/>
        <v>287.49994652707915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4.0998310752137419</v>
      </c>
      <c r="DI33" s="24">
        <f t="shared" si="15"/>
        <v>4.0998310752137419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272</v>
      </c>
      <c r="DM33" s="13">
        <f>VLOOKUP(A33,'Données projet'!$A$165:$I$185,9,0)</f>
        <v>14.4</v>
      </c>
      <c r="DN33" s="13">
        <f t="array" ref="DN33">INDEX(DM:DM,MIN(IF(ISNUMBER(DM33:DM229),ROW(DM33:DM229),"")))</f>
        <v>14.4</v>
      </c>
      <c r="DO33" s="13">
        <f>IF('Données projet'!$A$166&gt;35,DO32+DN33-DW32,IF(A33&lt;'Données projet'!$A$166,$DL$205^A33,IF(A33='Données projet'!$A$166,'Données projet'!$B$166,DO32+DN33-DW32)))</f>
        <v>271.99999999999994</v>
      </c>
      <c r="DP33" s="18">
        <f>DO33*VLOOKUP('Données projet'!$B$14,Paramètres!$A$1:$I$89,3,0)*VLOOKUP('Données projet'!$B$14,Paramètres!$A$1:$I$89,5,0)</f>
        <v>148.51199999999997</v>
      </c>
      <c r="DQ33" s="14">
        <f t="shared" si="43"/>
        <v>38.240236326053513</v>
      </c>
      <c r="DR33" s="22">
        <f t="shared" si="16"/>
        <v>325.26014493454312</v>
      </c>
      <c r="DS33" s="62">
        <f t="shared" si="17"/>
        <v>607.20603750381531</v>
      </c>
      <c r="DT33" s="62">
        <f ca="1">AVERAGE(OFFSET($DS$3,0,0,'Données projet'!$E$14+1,1))-AVERAGE(OFFSET($H$3,0,0,'Données projet'!$E$14+1,1))</f>
        <v>253.0312006976271</v>
      </c>
      <c r="DU33" s="62">
        <f t="shared" si="44"/>
        <v>365.93937083714866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37</v>
      </c>
      <c r="DX33" s="17">
        <f>IF(ISNA(VLOOKUP(A33,'Données projet'!$A$165:$I$185,5,0)),0%,VLOOKUP(A33,'Données projet'!$A$165:$I$185,5,0)*VLOOKUP('Données projet'!$B$14,Paramètres!$A$1:$I$89,7,0))</f>
        <v>0.12</v>
      </c>
      <c r="DY33" s="17">
        <f>IF(ISNA(VLOOKUP(A33,'Données projet'!$A$165:$I$185,6,0)),0%,VLOOKUP(A33,'Données projet'!$A$165:$I$185,6,0)*VLOOKUP('Données projet'!$B$14,Paramètres!$A$1:$I$89,7,0))</f>
        <v>0.12</v>
      </c>
      <c r="DZ33" s="17">
        <f>IF(ISNA(VLOOKUP(A33,'Données projet'!$A$165:$I$185,7,0)),0%,VLOOKUP(A33,'Données projet'!$A$165:$I$185,7,0))</f>
        <v>0.6</v>
      </c>
      <c r="EA33" s="23">
        <f>EXP(-LN(2)/35)*EA32+(1-EXP(-LN(2)/35))/(LN(2)/35)*DW33*DX33*VLOOKUP('Données projet'!$B$14,Paramètres!$A$1:$I$89,3,0)*0.475*44/12</f>
        <v>6.6796932978681109</v>
      </c>
      <c r="EB33" s="23">
        <f>EXP(-LN(2)/25)*EB32+(1-EXP(-LN(2)/25))/(LN(2)/25)*Calculateur!DW33*Calculateur!DY33*VLOOKUP('Données projet'!$B$14,Paramètres!$A$1:$I$89,3,0)*0.475*44/12</f>
        <v>9.6031276668519965</v>
      </c>
      <c r="EC33" s="23">
        <f>EXP(-LN(2)/2)*EC32+(1-EXP(-LN(2)/2))/(LN(2)/2)*DW33*DZ33*VLOOKUP('Données projet'!$B$14,Paramètres!$A$1:$I$89,3,0)*0.475*44/12</f>
        <v>17.486358644265362</v>
      </c>
      <c r="ED33" s="24">
        <f t="shared" si="18"/>
        <v>33.769179608985468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1.05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3.85</v>
      </c>
      <c r="H34" s="70">
        <f t="shared" si="1"/>
        <v>241.26666666666665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23.267142857142858</v>
      </c>
      <c r="N34" s="14">
        <f>IF('Données projet'!$A$36&gt;35,N33+M34-V33,IF(A34&lt;'Données projet'!$A$36,$K$205^A34,IF(A34='Données projet'!$A$36,'Données projet'!$B$36,N33+M34-V33)))</f>
        <v>284.05142857142857</v>
      </c>
      <c r="O34" s="14">
        <f>N34*VLOOKUP('Données projet'!$B$9,Paramètres!$A$1:$I$89,3,0)*VLOOKUP('Données projet'!$B$9,Paramètres!$A$1:$I$89,5,0)</f>
        <v>158.78474857142857</v>
      </c>
      <c r="P34" s="14">
        <f t="shared" si="33"/>
        <v>40.568290544193985</v>
      </c>
      <c r="Q34" s="22">
        <f t="shared" si="2"/>
        <v>347.20654312637589</v>
      </c>
      <c r="R34" s="62">
        <f t="shared" si="0"/>
        <v>629.34998233440092</v>
      </c>
      <c r="S34" s="62">
        <f ca="1">AVERAGE(OFFSET($R$3,0,0,'Données projet'!$E$9+1,1))-AVERAGE(OFFSET($H$3,0,0,'Données projet'!$E$9+1,1))</f>
        <v>393.3487617557011</v>
      </c>
      <c r="T34" s="62">
        <f t="shared" si="34"/>
        <v>360.09400083977084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5.1968623572230932</v>
      </c>
      <c r="AA34" s="23">
        <f>EXP(-LN(2)/25)*AA33+(1-EXP(-LN(2)/25))/(LN(2)/25)*Calculateur!V34*Calculateur!X34*VLOOKUP('Données projet'!$B$9,Paramètres!$A$1:$I$89,3,0)*0.475*44/12</f>
        <v>9.0313748162050818</v>
      </c>
      <c r="AB34" s="23">
        <f>EXP(-LN(2)/2)*AB33+(1-EXP(-LN(2)/2))/(LN(2)/2)*V34*Y34*VLOOKUP('Données projet'!$B$9,Paramètres!$A$1:$I$89,3,0)*0.475*44/12</f>
        <v>10.099309973633504</v>
      </c>
      <c r="AC34" s="24">
        <f t="shared" si="3"/>
        <v>24.327547147061679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129.79999999999998</v>
      </c>
      <c r="AJ34" s="14">
        <f>AI34*VLOOKUP('Données projet'!$B$10,Paramètres!$A$1:$I$89,3,0)*VLOOKUP('Données projet'!$B$10,Paramètres!$A$1:$I$89,5,0)</f>
        <v>95.169359999999983</v>
      </c>
      <c r="AK34" s="14">
        <f t="shared" si="35"/>
        <v>25.807868995534712</v>
      </c>
      <c r="AL34" s="22">
        <f t="shared" si="4"/>
        <v>210.70200716722289</v>
      </c>
      <c r="AM34" s="62">
        <f t="shared" si="5"/>
        <v>492.84544637524789</v>
      </c>
      <c r="AN34" s="62">
        <f ca="1">AVERAGE(OFFSET($AM$3,0,0,'Données projet'!$E$10+1,1))-AVERAGE(OFFSET($H$3,0,0,'Données projet'!$E$10+1,1))</f>
        <v>283.28499080043167</v>
      </c>
      <c r="AO34" s="62">
        <f t="shared" si="36"/>
        <v>278.56966286485783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1.9134855734416514</v>
      </c>
      <c r="AV34" s="23">
        <f>EXP(-LN(2)/25)*AV33+(1-EXP(-LN(2)/25))/(LN(2)/25)*Calculateur!AQ34*Calculateur!AS34*VLOOKUP('Données projet'!$B$10,Paramètres!$A$1:$I$89,3,0)*0.475*44/12</f>
        <v>8.4754534099009682</v>
      </c>
      <c r="AW34" s="23">
        <f>EXP(-LN(2)/2)*AW33+(1-EXP(-LN(2)/2))/(LN(2)/2)*AQ34*AT34*VLOOKUP('Données projet'!$B$10,Paramètres!$A$1:$I$89,3,0)*0.475*44/12</f>
        <v>9.1709088671685084</v>
      </c>
      <c r="AX34" s="23">
        <f t="shared" si="6"/>
        <v>19.559847850511126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129.79999999999998</v>
      </c>
      <c r="BE34" s="14">
        <f>BD34*VLOOKUP('Données projet'!$B$11,Paramètres!$A$1:$I$89,3,0)*VLOOKUP('Données projet'!$B$11,Paramètres!$A$1:$I$89,5,0)</f>
        <v>103.26888</v>
      </c>
      <c r="BF34" s="14">
        <f t="shared" si="37"/>
        <v>27.739299256755746</v>
      </c>
      <c r="BG34" s="22">
        <f t="shared" si="7"/>
        <v>228.17257887218292</v>
      </c>
      <c r="BH34" s="62">
        <f t="shared" si="8"/>
        <v>510.31601808020798</v>
      </c>
      <c r="BI34" s="62">
        <f ca="1">AVERAGE(OFFSET($BH$3,0,0,'Données projet'!$E$11+1,1))-AVERAGE(OFFSET($H$3,0,0,'Données projet'!$E$11+1,1))</f>
        <v>303.91914071195419</v>
      </c>
      <c r="BJ34" s="62">
        <f t="shared" si="38"/>
        <v>298.30050362688769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2.529013941652813</v>
      </c>
      <c r="BR34" s="23">
        <f>EXP(-LN(2)/2)*BR33+(1-EXP(-LN(2)/2))/(LN(2)/2)*BL34*BO34*VLOOKUP('Données projet'!$B$11,Paramètres!$A$1:$I$89,3,0)*0.475*44/12</f>
        <v>17.998290982876096</v>
      </c>
      <c r="BS34" s="24">
        <f t="shared" si="9"/>
        <v>20.527304924528909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93.91824000000004</v>
      </c>
      <c r="CA34" s="14">
        <f t="shared" si="39"/>
        <v>25.507853654186022</v>
      </c>
      <c r="CB34" s="22">
        <f t="shared" si="10"/>
        <v>208.00044644770739</v>
      </c>
      <c r="CC34" s="62">
        <f t="shared" si="11"/>
        <v>490.14388565573245</v>
      </c>
      <c r="CD34" s="62">
        <f ca="1">AVERAGE(OFFSET($CC$3,0,0,'Données projet'!$E$12+1,1))-AVERAGE(OFFSET($H$3,0,0,'Données projet'!$E$12+1,1))</f>
        <v>446.15737983598251</v>
      </c>
      <c r="CE34" s="62">
        <f t="shared" si="40"/>
        <v>282.2299715529382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154.99999999999994</v>
      </c>
      <c r="CU34" s="18">
        <f>CT34*VLOOKUP('Données projet'!$B$13,Paramètres!$A$1:$I$89,3,0)*VLOOKUP('Données projet'!$B$13,Paramètres!$A$1:$I$89,5,0)</f>
        <v>120.89999999999996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548.24366414102906</v>
      </c>
      <c r="CY34" s="62">
        <f ca="1">AVERAGE(OFFSET($CX$3,0,0,'Données projet'!$E$13+1,1))-AVERAGE(OFFSET($H$3,0,0,'Données projet'!$E$13+1,1))</f>
        <v>293.03320024876842</v>
      </c>
      <c r="CZ34" s="62">
        <f t="shared" si="42"/>
        <v>287.49994652707915</v>
      </c>
      <c r="DA34" s="16">
        <f>IF(ISNA(VLOOKUP(A34,'Données projet'!$A$139:$I$159,3,0)),0,VLOOKUP(A34,'Données projet'!$A$139:$I$159,3,0))</f>
        <v>4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2.8990183550029713</v>
      </c>
      <c r="DI34" s="24">
        <f t="shared" si="15"/>
        <v>2.8990183550029713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11</v>
      </c>
      <c r="DO34" s="13">
        <f>IF('Données projet'!$A$166&gt;35,DO33+DN34-DW33,IF(A34&lt;'Données projet'!$A$166,$DL$205^A34,IF(A34='Données projet'!$A$166,'Données projet'!$B$166,DO33+DN34-DW33)))</f>
        <v>245.99999999999994</v>
      </c>
      <c r="DP34" s="18">
        <f>DO34*VLOOKUP('Données projet'!$B$14,Paramètres!$A$1:$I$89,3,0)*VLOOKUP('Données projet'!$B$14,Paramètres!$A$1:$I$89,5,0)</f>
        <v>134.31599999999997</v>
      </c>
      <c r="DQ34" s="14">
        <f t="shared" si="43"/>
        <v>34.991756585122445</v>
      </c>
      <c r="DR34" s="22">
        <f t="shared" si="16"/>
        <v>294.87767605242158</v>
      </c>
      <c r="DS34" s="62">
        <f t="shared" si="17"/>
        <v>577.02111526044655</v>
      </c>
      <c r="DT34" s="62">
        <f ca="1">AVERAGE(OFFSET($DS$3,0,0,'Données projet'!$E$14+1,1))-AVERAGE(OFFSET($H$3,0,0,'Données projet'!$E$14+1,1))</f>
        <v>253.0312006976271</v>
      </c>
      <c r="DU34" s="62">
        <f t="shared" si="44"/>
        <v>365.93937083714866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6.5487085865075345</v>
      </c>
      <c r="EB34" s="23">
        <f>EXP(-LN(2)/25)*EB33+(1-EXP(-LN(2)/25))/(LN(2)/25)*Calculateur!DW34*Calculateur!DY34*VLOOKUP('Données projet'!$B$14,Paramètres!$A$1:$I$89,3,0)*0.475*44/12</f>
        <v>9.3405296357953933</v>
      </c>
      <c r="EC34" s="23">
        <f>EXP(-LN(2)/2)*EC33+(1-EXP(-LN(2)/2))/(LN(2)/2)*DW34*DZ34*VLOOKUP('Données projet'!$B$14,Paramètres!$A$1:$I$89,3,0)*0.475*44/12</f>
        <v>12.364722775620042</v>
      </c>
      <c r="ED34" s="24">
        <f t="shared" si="18"/>
        <v>28.25396099792297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1.05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3.85</v>
      </c>
      <c r="H35" s="70">
        <f t="shared" si="1"/>
        <v>241.26666666666665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23.267142857142858</v>
      </c>
      <c r="N35" s="14">
        <f>IF('Données projet'!$A$36&gt;35,N34+M35-V34,IF(A35&lt;'Données projet'!$A$36,$K$205^A35,IF(A35='Données projet'!$A$36,'Données projet'!$B$36,N34+M35-V34)))</f>
        <v>307.31857142857143</v>
      </c>
      <c r="O35" s="14">
        <f>N35*VLOOKUP('Données projet'!$B$9,Paramètres!$A$1:$I$89,3,0)*VLOOKUP('Données projet'!$B$9,Paramètres!$A$1:$I$89,5,0)</f>
        <v>171.79108142857143</v>
      </c>
      <c r="P35" s="14">
        <f t="shared" si="33"/>
        <v>43.490921229423932</v>
      </c>
      <c r="Q35" s="22">
        <f t="shared" ref="Q35:Q66" si="53">(O35+P35)*0.475*44/12</f>
        <v>374.94948796267522</v>
      </c>
      <c r="R35" s="62">
        <f t="shared" si="0"/>
        <v>657.28704681691886</v>
      </c>
      <c r="S35" s="62">
        <f ca="1">AVERAGE(OFFSET($R$3,0,0,'Données projet'!$E$9+1,1))-AVERAGE(OFFSET($H$3,0,0,'Données projet'!$E$9+1,1))</f>
        <v>393.3487617557011</v>
      </c>
      <c r="T35" s="62">
        <f t="shared" si="34"/>
        <v>360.09400083977084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5.0949550561709973</v>
      </c>
      <c r="AA35" s="23">
        <f>EXP(-LN(2)/25)*AA34+(1-EXP(-LN(2)/25))/(LN(2)/25)*Calculateur!V35*Calculateur!X35*VLOOKUP('Données projet'!$B$9,Paramètres!$A$1:$I$89,3,0)*0.475*44/12</f>
        <v>8.7844113969165942</v>
      </c>
      <c r="AB35" s="23">
        <f>EXP(-LN(2)/2)*AB34+(1-EXP(-LN(2)/2))/(LN(2)/2)*V35*Y35*VLOOKUP('Données projet'!$B$9,Paramètres!$A$1:$I$89,3,0)*0.475*44/12</f>
        <v>7.1412905676611835</v>
      </c>
      <c r="AC35" s="24">
        <f t="shared" si="3"/>
        <v>21.020657020748775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140.6</v>
      </c>
      <c r="AJ35" s="14">
        <f>AI35*VLOOKUP('Données projet'!$B$10,Paramètres!$A$1:$I$89,3,0)*VLOOKUP('Données projet'!$B$10,Paramètres!$A$1:$I$89,5,0)</f>
        <v>103.08792</v>
      </c>
      <c r="AK35" s="14">
        <f t="shared" si="35"/>
        <v>27.696344760342487</v>
      </c>
      <c r="AL35" s="22">
        <f t="shared" si="4"/>
        <v>227.7825944575965</v>
      </c>
      <c r="AM35" s="62">
        <f t="shared" si="5"/>
        <v>510.12015331184011</v>
      </c>
      <c r="AN35" s="62">
        <f ca="1">AVERAGE(OFFSET($AM$3,0,0,'Données projet'!$E$10+1,1))-AVERAGE(OFFSET($H$3,0,0,'Données projet'!$E$10+1,1))</f>
        <v>283.28499080043167</v>
      </c>
      <c r="AO35" s="62">
        <f t="shared" si="36"/>
        <v>278.56966286485783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1.8759632884574178</v>
      </c>
      <c r="AV35" s="23">
        <f>EXP(-LN(2)/25)*AV34+(1-EXP(-LN(2)/25))/(LN(2)/25)*Calculateur!AQ35*Calculateur!AS35*VLOOKUP('Données projet'!$B$10,Paramètres!$A$1:$I$89,3,0)*0.475*44/12</f>
        <v>8.2436916907025015</v>
      </c>
      <c r="AW35" s="23">
        <f>EXP(-LN(2)/2)*AW34+(1-EXP(-LN(2)/2))/(LN(2)/2)*AQ35*AT35*VLOOKUP('Données projet'!$B$10,Paramètres!$A$1:$I$89,3,0)*0.475*44/12</f>
        <v>6.4848118496186915</v>
      </c>
      <c r="AX35" s="23">
        <f t="shared" si="6"/>
        <v>16.604466828778612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140.6</v>
      </c>
      <c r="BE35" s="14">
        <f>BD35*VLOOKUP('Données projet'!$B$11,Paramètres!$A$1:$I$89,3,0)*VLOOKUP('Données projet'!$B$11,Paramètres!$A$1:$I$89,5,0)</f>
        <v>111.86136</v>
      </c>
      <c r="BF35" s="14">
        <f t="shared" si="37"/>
        <v>29.769106304683568</v>
      </c>
      <c r="BG35" s="22">
        <f t="shared" si="7"/>
        <v>246.67306214732389</v>
      </c>
      <c r="BH35" s="62">
        <f t="shared" si="8"/>
        <v>529.01062100156753</v>
      </c>
      <c r="BI35" s="62">
        <f ca="1">AVERAGE(OFFSET($BH$3,0,0,'Données projet'!$E$11+1,1))-AVERAGE(OFFSET($H$3,0,0,'Données projet'!$E$11+1,1))</f>
        <v>303.91914071195419</v>
      </c>
      <c r="BJ35" s="62">
        <f t="shared" si="38"/>
        <v>298.30050362688769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2.4598579224232537</v>
      </c>
      <c r="BR35" s="23">
        <f>EXP(-LN(2)/2)*BR34+(1-EXP(-LN(2)/2))/(LN(2)/2)*BL35*BO35*VLOOKUP('Données projet'!$B$11,Paramètres!$A$1:$I$89,3,0)*0.475*44/12</f>
        <v>12.726713603760381</v>
      </c>
      <c r="BS35" s="24">
        <f t="shared" si="9"/>
        <v>15.186571526183634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103.69008000000004</v>
      </c>
      <c r="CA35" s="14">
        <f t="shared" si="39"/>
        <v>27.83924565319537</v>
      </c>
      <c r="CB35" s="22">
        <f t="shared" si="10"/>
        <v>229.08024217931529</v>
      </c>
      <c r="CC35" s="62">
        <f t="shared" si="11"/>
        <v>511.41780103355893</v>
      </c>
      <c r="CD35" s="62">
        <f ca="1">AVERAGE(OFFSET($CC$3,0,0,'Données projet'!$E$12+1,1))-AVERAGE(OFFSET($H$3,0,0,'Données projet'!$E$12+1,1))</f>
        <v>446.15737983598251</v>
      </c>
      <c r="CE35" s="62">
        <f t="shared" si="40"/>
        <v>282.2299715529382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130.49999999999994</v>
      </c>
      <c r="CU35" s="18">
        <f>CT35*VLOOKUP('Données projet'!$B$13,Paramètres!$A$1:$I$89,3,0)*VLOOKUP('Données projet'!$B$13,Paramètres!$A$1:$I$89,5,0)</f>
        <v>101.78999999999996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507.322573843398</v>
      </c>
      <c r="CY35" s="62">
        <f ca="1">AVERAGE(OFFSET($CX$3,0,0,'Données projet'!$E$13+1,1))-AVERAGE(OFFSET($H$3,0,0,'Données projet'!$E$13+1,1))</f>
        <v>293.03320024876842</v>
      </c>
      <c r="CZ35" s="62">
        <f t="shared" si="42"/>
        <v>287.49994652707915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2.049915537606871</v>
      </c>
      <c r="DI35" s="24">
        <f t="shared" si="15"/>
        <v>2.049915537606871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</v>
      </c>
      <c r="DO35" s="13">
        <f>IF('Données projet'!$A$166&gt;35,DO34+DN35-DW34,IF(A35&lt;'Données projet'!$A$166,$DL$205^A35,IF(A35='Données projet'!$A$166,'Données projet'!$B$166,DO34+DN35-DW34)))</f>
        <v>256.99999999999994</v>
      </c>
      <c r="DP35" s="18">
        <f>DO35*VLOOKUP('Données projet'!$B$14,Paramètres!$A$1:$I$89,3,0)*VLOOKUP('Données projet'!$B$14,Paramètres!$A$1:$I$89,5,0)</f>
        <v>140.32199999999997</v>
      </c>
      <c r="DQ35" s="14">
        <f t="shared" si="43"/>
        <v>36.370761307502868</v>
      </c>
      <c r="DR35" s="22">
        <f t="shared" si="16"/>
        <v>307.73989261056744</v>
      </c>
      <c r="DS35" s="62">
        <f t="shared" si="17"/>
        <v>590.07745146481102</v>
      </c>
      <c r="DT35" s="62">
        <f ca="1">AVERAGE(OFFSET($DS$3,0,0,'Données projet'!$E$14+1,1))-AVERAGE(OFFSET($H$3,0,0,'Données projet'!$E$14+1,1))</f>
        <v>253.0312006976271</v>
      </c>
      <c r="DU35" s="62">
        <f t="shared" si="44"/>
        <v>365.93937083714866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6.420292405443953</v>
      </c>
      <c r="EB35" s="23">
        <f>EXP(-LN(2)/25)*EB34+(1-EXP(-LN(2)/25))/(LN(2)/25)*Calculateur!DW35*Calculateur!DY35*VLOOKUP('Données projet'!$B$14,Paramètres!$A$1:$I$89,3,0)*0.475*44/12</f>
        <v>9.0851123617074627</v>
      </c>
      <c r="EC35" s="23">
        <f>EXP(-LN(2)/2)*EC34+(1-EXP(-LN(2)/2))/(LN(2)/2)*DW35*DZ35*VLOOKUP('Données projet'!$B$14,Paramètres!$A$1:$I$89,3,0)*0.475*44/12</f>
        <v>8.743179322132681</v>
      </c>
      <c r="ED35" s="24">
        <f t="shared" si="18"/>
        <v>24.248584089284094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1.05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3.85</v>
      </c>
      <c r="H36" s="70">
        <f t="shared" si="1"/>
        <v>241.26666666666665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23.267142857142858</v>
      </c>
      <c r="N36" s="14">
        <f>IF('Données projet'!$A$36&gt;35,N35+M36-V35,IF(A36&lt;'Données projet'!$A$36,$K$205^A36,IF(A36='Données projet'!$A$36,'Données projet'!$B$36,N35+M36-V35)))</f>
        <v>330.58571428571429</v>
      </c>
      <c r="O36" s="14">
        <f>N36*VLOOKUP('Données projet'!$B$9,Paramètres!$A$1:$I$89,3,0)*VLOOKUP('Données projet'!$B$9,Paramètres!$A$1:$I$89,5,0)</f>
        <v>184.7974142857143</v>
      </c>
      <c r="P36" s="14">
        <f t="shared" si="33"/>
        <v>46.387883037381307</v>
      </c>
      <c r="Q36" s="22">
        <f t="shared" si="53"/>
        <v>402.64772617105814</v>
      </c>
      <c r="R36" s="62">
        <f t="shared" si="0"/>
        <v>685.17603712964501</v>
      </c>
      <c r="S36" s="62">
        <f ca="1">AVERAGE(OFFSET($R$3,0,0,'Données projet'!$E$9+1,1))-AVERAGE(OFFSET($H$3,0,0,'Données projet'!$E$9+1,1))</f>
        <v>393.3487617557011</v>
      </c>
      <c r="T36" s="62">
        <f t="shared" si="34"/>
        <v>360.09400083977084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4.9950460951352165</v>
      </c>
      <c r="AA36" s="23">
        <f>EXP(-LN(2)/25)*AA35+(1-EXP(-LN(2)/25))/(LN(2)/25)*Calculateur!V36*Calculateur!X36*VLOOKUP('Données projet'!$B$9,Paramètres!$A$1:$I$89,3,0)*0.475*44/12</f>
        <v>8.5442012053157921</v>
      </c>
      <c r="AB36" s="23">
        <f>EXP(-LN(2)/2)*AB35+(1-EXP(-LN(2)/2))/(LN(2)/2)*V36*Y36*VLOOKUP('Données projet'!$B$9,Paramètres!$A$1:$I$89,3,0)*0.475*44/12</f>
        <v>5.0496549868167522</v>
      </c>
      <c r="AC36" s="24">
        <f t="shared" si="3"/>
        <v>18.588902287267761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151.4</v>
      </c>
      <c r="AJ36" s="14">
        <f>AI36*VLOOKUP('Données projet'!$B$10,Paramètres!$A$1:$I$89,3,0)*VLOOKUP('Données projet'!$B$10,Paramètres!$A$1:$I$89,5,0)</f>
        <v>111.00648000000001</v>
      </c>
      <c r="AK36" s="14">
        <f t="shared" si="35"/>
        <v>29.567993259970109</v>
      </c>
      <c r="AL36" s="22">
        <f t="shared" si="4"/>
        <v>244.8338742611146</v>
      </c>
      <c r="AM36" s="62">
        <f t="shared" si="5"/>
        <v>527.36218521970159</v>
      </c>
      <c r="AN36" s="62">
        <f ca="1">AVERAGE(OFFSET($AM$3,0,0,'Données projet'!$E$10+1,1))-AVERAGE(OFFSET($H$3,0,0,'Données projet'!$E$10+1,1))</f>
        <v>283.28499080043167</v>
      </c>
      <c r="AO36" s="62">
        <f t="shared" si="36"/>
        <v>278.56966286485783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1.839176792595391</v>
      </c>
      <c r="AV36" s="23">
        <f>EXP(-LN(2)/25)*AV35+(1-EXP(-LN(2)/25))/(LN(2)/25)*Calculateur!AQ36*Calculateur!AS36*VLOOKUP('Données projet'!$B$10,Paramètres!$A$1:$I$89,3,0)*0.475*44/12</f>
        <v>8.018267507903337</v>
      </c>
      <c r="AW36" s="23">
        <f>EXP(-LN(2)/2)*AW35+(1-EXP(-LN(2)/2))/(LN(2)/2)*AQ36*AT36*VLOOKUP('Données projet'!$B$10,Paramètres!$A$1:$I$89,3,0)*0.475*44/12</f>
        <v>4.5854544335842551</v>
      </c>
      <c r="AX36" s="23">
        <f t="shared" si="6"/>
        <v>14.442898734082982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151.4</v>
      </c>
      <c r="BE36" s="14">
        <f>BD36*VLOOKUP('Données projet'!$B$11,Paramètres!$A$1:$I$89,3,0)*VLOOKUP('Données projet'!$B$11,Paramètres!$A$1:$I$89,5,0)</f>
        <v>120.45384</v>
      </c>
      <c r="BF36" s="14">
        <f t="shared" si="37"/>
        <v>31.780826754892406</v>
      </c>
      <c r="BG36" s="22">
        <f t="shared" si="7"/>
        <v>265.14204459810429</v>
      </c>
      <c r="BH36" s="62">
        <f t="shared" si="8"/>
        <v>547.67035555669122</v>
      </c>
      <c r="BI36" s="62">
        <f ca="1">AVERAGE(OFFSET($BH$3,0,0,'Données projet'!$E$11+1,1))-AVERAGE(OFFSET($H$3,0,0,'Données projet'!$E$11+1,1))</f>
        <v>303.91914071195419</v>
      </c>
      <c r="BJ36" s="62">
        <f t="shared" si="38"/>
        <v>298.30050362688769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2.392592978176284</v>
      </c>
      <c r="BR36" s="23">
        <f>EXP(-LN(2)/2)*BR35+(1-EXP(-LN(2)/2))/(LN(2)/2)*BL36*BO36*VLOOKUP('Données projet'!$B$11,Paramètres!$A$1:$I$89,3,0)*0.475*44/12</f>
        <v>8.9991454914380498</v>
      </c>
      <c r="BS36" s="24">
        <f t="shared" si="9"/>
        <v>11.391738469614333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113.46192000000002</v>
      </c>
      <c r="CA36" s="14">
        <f t="shared" si="39"/>
        <v>30.145163126535493</v>
      </c>
      <c r="CB36" s="22">
        <f t="shared" si="10"/>
        <v>250.11566977871598</v>
      </c>
      <c r="CC36" s="62">
        <f t="shared" si="11"/>
        <v>532.64398073730285</v>
      </c>
      <c r="CD36" s="62">
        <f ca="1">AVERAGE(OFFSET($CC$3,0,0,'Données projet'!$E$12+1,1))-AVERAGE(OFFSET($H$3,0,0,'Données projet'!$E$12+1,1))</f>
        <v>446.15737983598251</v>
      </c>
      <c r="CE36" s="62">
        <f t="shared" si="40"/>
        <v>282.2299715529382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141.99999999999994</v>
      </c>
      <c r="CU36" s="18">
        <f>CT36*VLOOKUP('Données projet'!$B$13,Paramètres!$A$1:$I$89,3,0)*VLOOKUP('Données projet'!$B$13,Paramètres!$A$1:$I$89,5,0)</f>
        <v>110.75999999999996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526.83185019703569</v>
      </c>
      <c r="CY36" s="62">
        <f ca="1">AVERAGE(OFFSET($CX$3,0,0,'Données projet'!$E$13+1,1))-AVERAGE(OFFSET($H$3,0,0,'Données projet'!$E$13+1,1))</f>
        <v>293.03320024876842</v>
      </c>
      <c r="CZ36" s="62">
        <f t="shared" si="42"/>
        <v>287.49994652707915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1.4495091775014857</v>
      </c>
      <c r="DI36" s="24">
        <f t="shared" si="15"/>
        <v>1.4495091775014857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</v>
      </c>
      <c r="DO36" s="13">
        <f>IF('Données projet'!$A$166&gt;35,DO35+DN36-DW35,IF(A36&lt;'Données projet'!$A$166,$DL$205^A36,IF(A36='Données projet'!$A$166,'Données projet'!$B$166,DO35+DN36-DW35)))</f>
        <v>267.99999999999994</v>
      </c>
      <c r="DP36" s="18">
        <f>DO36*VLOOKUP('Données projet'!$B$14,Paramètres!$A$1:$I$89,3,0)*VLOOKUP('Données projet'!$B$14,Paramètres!$A$1:$I$89,5,0)</f>
        <v>146.32799999999997</v>
      </c>
      <c r="DQ36" s="14">
        <f t="shared" si="43"/>
        <v>37.74291056436379</v>
      </c>
      <c r="DR36" s="22">
        <f t="shared" si="16"/>
        <v>320.59016923293353</v>
      </c>
      <c r="DS36" s="62">
        <f t="shared" si="17"/>
        <v>603.11848019152046</v>
      </c>
      <c r="DT36" s="62">
        <f ca="1">AVERAGE(OFFSET($DS$3,0,0,'Données projet'!$E$14+1,1))-AVERAGE(OFFSET($H$3,0,0,'Données projet'!$E$14+1,1))</f>
        <v>253.0312006976271</v>
      </c>
      <c r="DU36" s="62">
        <f t="shared" si="44"/>
        <v>365.93937083714866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6.2943943873648927</v>
      </c>
      <c r="EB36" s="23">
        <f>EXP(-LN(2)/25)*EB35+(1-EXP(-LN(2)/25))/(LN(2)/25)*Calculateur!DW36*Calculateur!DY36*VLOOKUP('Données projet'!$B$14,Paramètres!$A$1:$I$89,3,0)*0.475*44/12</f>
        <v>8.8366794864112777</v>
      </c>
      <c r="EC36" s="23">
        <f>EXP(-LN(2)/2)*EC35+(1-EXP(-LN(2)/2))/(LN(2)/2)*DW36*DZ36*VLOOKUP('Données projet'!$B$14,Paramètres!$A$1:$I$89,3,0)*0.475*44/12</f>
        <v>6.1823613878100208</v>
      </c>
      <c r="ED36" s="24">
        <f t="shared" si="18"/>
        <v>21.313435261586193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1.05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3.85</v>
      </c>
      <c r="H37" s="70">
        <f t="shared" si="1"/>
        <v>241.26666666666665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23.267142857142858</v>
      </c>
      <c r="N37" s="14">
        <f>IF('Données projet'!$A$36&gt;35,N36+M37-V36,IF(A37&lt;'Données projet'!$A$36,$K$205^A37,IF(A37='Données projet'!$A$36,'Données projet'!$B$36,N36+M37-V36)))</f>
        <v>353.85285714285715</v>
      </c>
      <c r="O37" s="14">
        <f>N37*VLOOKUP('Données projet'!$B$9,Paramètres!$A$1:$I$89,3,0)*VLOOKUP('Données projet'!$B$9,Paramètres!$A$1:$I$89,5,0)</f>
        <v>197.80374714285716</v>
      </c>
      <c r="P37" s="14">
        <f t="shared" si="33"/>
        <v>49.26118807441209</v>
      </c>
      <c r="Q37" s="22">
        <f t="shared" si="53"/>
        <v>430.30476217007725</v>
      </c>
      <c r="R37" s="62">
        <f t="shared" si="0"/>
        <v>713.02051611045488</v>
      </c>
      <c r="S37" s="62">
        <f ca="1">AVERAGE(OFFSET($R$3,0,0,'Données projet'!$E$9+1,1))-AVERAGE(OFFSET($H$3,0,0,'Données projet'!$E$9+1,1))</f>
        <v>393.3487617557011</v>
      </c>
      <c r="T37" s="62">
        <f t="shared" si="34"/>
        <v>360.09400083977084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4.8970962878868987</v>
      </c>
      <c r="AA37" s="23">
        <f>EXP(-LN(2)/25)*AA36+(1-EXP(-LN(2)/25))/(LN(2)/25)*Calculateur!V37*Calculateur!X37*VLOOKUP('Données projet'!$B$9,Paramètres!$A$1:$I$89,3,0)*0.475*44/12</f>
        <v>8.310559574036418</v>
      </c>
      <c r="AB37" s="23">
        <f>EXP(-LN(2)/2)*AB36+(1-EXP(-LN(2)/2))/(LN(2)/2)*V37*Y37*VLOOKUP('Données projet'!$B$9,Paramètres!$A$1:$I$89,3,0)*0.475*44/12</f>
        <v>3.5706452838305918</v>
      </c>
      <c r="AC37" s="24">
        <f t="shared" si="3"/>
        <v>16.778301145753908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162.20000000000002</v>
      </c>
      <c r="AJ37" s="14">
        <f>AI37*VLOOKUP('Données projet'!$B$10,Paramètres!$A$1:$I$89,3,0)*VLOOKUP('Données projet'!$B$10,Paramètres!$A$1:$I$89,5,0)</f>
        <v>118.92504000000002</v>
      </c>
      <c r="AK37" s="14">
        <f t="shared" si="35"/>
        <v>31.424151376563206</v>
      </c>
      <c r="AL37" s="22">
        <f t="shared" si="4"/>
        <v>261.85817498084759</v>
      </c>
      <c r="AM37" s="62">
        <f t="shared" si="5"/>
        <v>544.57392892122516</v>
      </c>
      <c r="AN37" s="62">
        <f ca="1">AVERAGE(OFFSET($AM$3,0,0,'Données projet'!$E$10+1,1))-AVERAGE(OFFSET($H$3,0,0,'Données projet'!$E$10+1,1))</f>
        <v>283.28499080043167</v>
      </c>
      <c r="AO37" s="62">
        <f t="shared" si="36"/>
        <v>278.56966286485783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1.8031116574796715</v>
      </c>
      <c r="AV37" s="23">
        <f>EXP(-LN(2)/25)*AV36+(1-EXP(-LN(2)/25))/(LN(2)/25)*Calculateur!AQ37*Calculateur!AS37*VLOOKUP('Données projet'!$B$10,Paramètres!$A$1:$I$89,3,0)*0.475*44/12</f>
        <v>7.7990075612373584</v>
      </c>
      <c r="AW37" s="23">
        <f>EXP(-LN(2)/2)*AW36+(1-EXP(-LN(2)/2))/(LN(2)/2)*AQ37*AT37*VLOOKUP('Données projet'!$B$10,Paramètres!$A$1:$I$89,3,0)*0.475*44/12</f>
        <v>3.2424059248093462</v>
      </c>
      <c r="AX37" s="23">
        <f t="shared" si="6"/>
        <v>12.844525143526376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162.20000000000002</v>
      </c>
      <c r="BE37" s="14">
        <f>BD37*VLOOKUP('Données projet'!$B$11,Paramètres!$A$1:$I$89,3,0)*VLOOKUP('Données projet'!$B$11,Paramètres!$A$1:$I$89,5,0)</f>
        <v>129.04632000000001</v>
      </c>
      <c r="BF37" s="14">
        <f t="shared" si="37"/>
        <v>33.775897540199807</v>
      </c>
      <c r="BG37" s="22">
        <f t="shared" si="7"/>
        <v>283.58202888251463</v>
      </c>
      <c r="BH37" s="62">
        <f t="shared" si="8"/>
        <v>566.29778282289226</v>
      </c>
      <c r="BI37" s="62">
        <f ca="1">AVERAGE(OFFSET($BH$3,0,0,'Données projet'!$E$11+1,1))-AVERAGE(OFFSET($H$3,0,0,'Données projet'!$E$11+1,1))</f>
        <v>303.91914071195419</v>
      </c>
      <c r="BJ37" s="62">
        <f t="shared" si="38"/>
        <v>298.30050362688769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2.3271673973670572</v>
      </c>
      <c r="BR37" s="23">
        <f>EXP(-LN(2)/2)*BR36+(1-EXP(-LN(2)/2))/(LN(2)/2)*BL37*BO37*VLOOKUP('Données projet'!$B$11,Paramètres!$A$1:$I$89,3,0)*0.475*44/12</f>
        <v>6.3633568018801911</v>
      </c>
      <c r="BS37" s="24">
        <f t="shared" si="9"/>
        <v>8.6905241992472479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123.23376000000005</v>
      </c>
      <c r="CA37" s="14">
        <f t="shared" si="39"/>
        <v>32.428049504876491</v>
      </c>
      <c r="CB37" s="22">
        <f t="shared" si="10"/>
        <v>271.11098488765998</v>
      </c>
      <c r="CC37" s="62">
        <f t="shared" si="11"/>
        <v>553.82673882803761</v>
      </c>
      <c r="CD37" s="62">
        <f ca="1">AVERAGE(OFFSET($CC$3,0,0,'Données projet'!$E$12+1,1))-AVERAGE(OFFSET($H$3,0,0,'Données projet'!$E$12+1,1))</f>
        <v>446.15737983598251</v>
      </c>
      <c r="CE37" s="62">
        <f t="shared" si="40"/>
        <v>282.2299715529382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153.49999999999994</v>
      </c>
      <c r="CU37" s="18">
        <f>CT37*VLOOKUP('Données projet'!$B$13,Paramètres!$A$1:$I$89,3,0)*VLOOKUP('Données projet'!$B$13,Paramètres!$A$1:$I$89,5,0)</f>
        <v>119.72999999999996</v>
      </c>
      <c r="CV37" s="14">
        <f t="shared" si="41"/>
        <v>31.612017974790529</v>
      </c>
      <c r="CW37" s="22">
        <f t="shared" si="13"/>
        <v>263.58734797276003</v>
      </c>
      <c r="CX37" s="62">
        <f t="shared" si="14"/>
        <v>546.30310191313765</v>
      </c>
      <c r="CY37" s="62">
        <f ca="1">AVERAGE(OFFSET($CX$3,0,0,'Données projet'!$E$13+1,1))-AVERAGE(OFFSET($H$3,0,0,'Données projet'!$E$13+1,1))</f>
        <v>293.03320024876842</v>
      </c>
      <c r="CZ37" s="62">
        <f t="shared" si="42"/>
        <v>287.49994652707915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1.0249577688034355</v>
      </c>
      <c r="DI37" s="24">
        <f t="shared" si="15"/>
        <v>1.0249577688034355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</v>
      </c>
      <c r="DO37" s="13">
        <f>IF('Données projet'!$A$166&gt;35,DO36+DN37-DW36,IF(A37&lt;'Données projet'!$A$166,$DL$205^A37,IF(A37='Données projet'!$A$166,'Données projet'!$B$166,DO36+DN37-DW36)))</f>
        <v>278.99999999999994</v>
      </c>
      <c r="DP37" s="18">
        <f>DO37*VLOOKUP('Données projet'!$B$14,Paramètres!$A$1:$I$89,3,0)*VLOOKUP('Données projet'!$B$14,Paramètres!$A$1:$I$89,5,0)</f>
        <v>152.33399999999997</v>
      </c>
      <c r="DQ37" s="14">
        <f t="shared" si="43"/>
        <v>39.108517919805784</v>
      </c>
      <c r="DR37" s="22">
        <f t="shared" si="16"/>
        <v>333.42905204366167</v>
      </c>
      <c r="DS37" s="62">
        <f t="shared" si="17"/>
        <v>616.14480598403929</v>
      </c>
      <c r="DT37" s="62">
        <f ca="1">AVERAGE(OFFSET($DS$3,0,0,'Données projet'!$E$14+1,1))-AVERAGE(OFFSET($H$3,0,0,'Données projet'!$E$14+1,1))</f>
        <v>253.0312006976271</v>
      </c>
      <c r="DU37" s="62">
        <f t="shared" si="44"/>
        <v>365.93937083714866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6.1709651526301537</v>
      </c>
      <c r="EB37" s="23">
        <f>EXP(-LN(2)/25)*EB36+(1-EXP(-LN(2)/25))/(LN(2)/25)*Calculateur!DW37*Calculateur!DY37*VLOOKUP('Données projet'!$B$14,Paramètres!$A$1:$I$89,3,0)*0.475*44/12</f>
        <v>8.595040021154583</v>
      </c>
      <c r="EC37" s="23">
        <f>EXP(-LN(2)/2)*EC36+(1-EXP(-LN(2)/2))/(LN(2)/2)*DW37*DZ37*VLOOKUP('Données projet'!$B$14,Paramètres!$A$1:$I$89,3,0)*0.475*44/12</f>
        <v>4.3715896610663405</v>
      </c>
      <c r="ED37" s="24">
        <f t="shared" si="18"/>
        <v>19.137594834851079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1.05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3.85</v>
      </c>
      <c r="H38" s="70">
        <f t="shared" si="1"/>
        <v>241.26666666666665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377.12</v>
      </c>
      <c r="L38" s="13">
        <f>VLOOKUP(A38,'Données projet'!$A$35:$I$55,9,0)</f>
        <v>23.267142857142858</v>
      </c>
      <c r="M38" s="13">
        <f t="array" ref="M38">INDEX(L:L,MIN(IF(ISNUMBER(L38:L234),ROW(L38:L234),"")))</f>
        <v>23.267142857142858</v>
      </c>
      <c r="N38" s="14">
        <f>IF('Données projet'!$A$36&gt;35,N37+M38-V37,IF(A38&lt;'Données projet'!$A$36,$K$205^A38,IF(A38='Données projet'!$A$36,'Données projet'!$B$36,N37+M38-V37)))</f>
        <v>377.12</v>
      </c>
      <c r="O38" s="14">
        <f>N38*VLOOKUP('Données projet'!$B$9,Paramètres!$A$1:$I$89,3,0)*VLOOKUP('Données projet'!$B$9,Paramètres!$A$1:$I$89,5,0)</f>
        <v>210.81008</v>
      </c>
      <c r="P38" s="14">
        <f t="shared" si="33"/>
        <v>52.112568873523912</v>
      </c>
      <c r="Q38" s="22">
        <f t="shared" si="53"/>
        <v>457.92361345472085</v>
      </c>
      <c r="R38" s="62">
        <f t="shared" si="0"/>
        <v>740.82355866021487</v>
      </c>
      <c r="S38" s="62">
        <f ca="1">AVERAGE(OFFSET($R$3,0,0,'Données projet'!$E$9+1,1))-AVERAGE(OFFSET($H$3,0,0,'Données projet'!$E$9+1,1))</f>
        <v>393.3487617557011</v>
      </c>
      <c r="T38" s="62">
        <f t="shared" si="34"/>
        <v>360.09400083977084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86.68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4.8010672166152366</v>
      </c>
      <c r="AA38" s="23">
        <f>EXP(-LN(2)/25)*AA37+(1-EXP(-LN(2)/25))/(LN(2)/25)*Calculateur!V38*Calculateur!X38*VLOOKUP('Données projet'!$B$9,Paramètres!$A$1:$I$89,3,0)*0.475*44/12</f>
        <v>8.0833068854510586</v>
      </c>
      <c r="AB38" s="23">
        <f>EXP(-LN(2)/2)*AB37+(1-EXP(-LN(2)/2))/(LN(2)/2)*V38*Y38*VLOOKUP('Données projet'!$B$9,Paramètres!$A$1:$I$89,3,0)*0.475*44/12</f>
        <v>2.5248274934083761</v>
      </c>
      <c r="AC38" s="24">
        <f t="shared" si="3"/>
        <v>15.409201595474672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173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173.00000000000003</v>
      </c>
      <c r="AJ38" s="14">
        <f>AI38*VLOOKUP('Données projet'!$B$10,Paramètres!$A$1:$I$89,3,0)*VLOOKUP('Données projet'!$B$10,Paramètres!$A$1:$I$89,5,0)</f>
        <v>126.84360000000001</v>
      </c>
      <c r="AK38" s="14">
        <f t="shared" si="35"/>
        <v>33.26596788929173</v>
      </c>
      <c r="AL38" s="22">
        <f t="shared" si="4"/>
        <v>278.85749740718308</v>
      </c>
      <c r="AM38" s="62">
        <f t="shared" si="5"/>
        <v>561.7574426126771</v>
      </c>
      <c r="AN38" s="62">
        <f ca="1">AVERAGE(OFFSET($AM$3,0,0,'Données projet'!$E$10+1,1))-AVERAGE(OFFSET($H$3,0,0,'Données projet'!$E$10+1,1))</f>
        <v>283.28499080043167</v>
      </c>
      <c r="AO38" s="62">
        <f t="shared" si="36"/>
        <v>278.56966286485783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1.7677537376660111</v>
      </c>
      <c r="AV38" s="23">
        <f>EXP(-LN(2)/25)*AV37+(1-EXP(-LN(2)/25))/(LN(2)/25)*Calculateur!AQ38*Calculateur!AS38*VLOOKUP('Données projet'!$B$10,Paramètres!$A$1:$I$89,3,0)*0.475*44/12</f>
        <v>7.5857432893433403</v>
      </c>
      <c r="AW38" s="23">
        <f>EXP(-LN(2)/2)*AW37+(1-EXP(-LN(2)/2))/(LN(2)/2)*AQ38*AT38*VLOOKUP('Données projet'!$B$10,Paramètres!$A$1:$I$89,3,0)*0.475*44/12</f>
        <v>2.292727216792128</v>
      </c>
      <c r="AX38" s="23">
        <f t="shared" si="6"/>
        <v>11.64622424380148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173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173.00000000000003</v>
      </c>
      <c r="BE38" s="14">
        <f>BD38*VLOOKUP('Données projet'!$B$11,Paramètres!$A$1:$I$89,3,0)*VLOOKUP('Données projet'!$B$11,Paramètres!$A$1:$I$89,5,0)</f>
        <v>137.63880000000003</v>
      </c>
      <c r="BF38" s="14">
        <f t="shared" si="37"/>
        <v>35.755553413044268</v>
      </c>
      <c r="BG38" s="22">
        <f t="shared" si="7"/>
        <v>301.99516552771883</v>
      </c>
      <c r="BH38" s="62">
        <f t="shared" si="8"/>
        <v>584.89511073321285</v>
      </c>
      <c r="BI38" s="62">
        <f ca="1">AVERAGE(OFFSET($BH$3,0,0,'Données projet'!$E$11+1,1))-AVERAGE(OFFSET($H$3,0,0,'Données projet'!$E$11+1,1))</f>
        <v>303.91914071195419</v>
      </c>
      <c r="BJ38" s="62">
        <f t="shared" si="38"/>
        <v>298.30050362688769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2.2635308825056404</v>
      </c>
      <c r="BR38" s="23">
        <f>EXP(-LN(2)/2)*BR37+(1-EXP(-LN(2)/2))/(LN(2)/2)*BL38*BO38*VLOOKUP('Données projet'!$B$11,Paramètres!$A$1:$I$89,3,0)*0.475*44/12</f>
        <v>4.4995727457190258</v>
      </c>
      <c r="BS38" s="24">
        <f t="shared" si="9"/>
        <v>6.7631036282246662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133.00560000000004</v>
      </c>
      <c r="CA38" s="14">
        <f t="shared" si="39"/>
        <v>34.689938673073549</v>
      </c>
      <c r="CB38" s="22">
        <f t="shared" si="10"/>
        <v>292.06972985560316</v>
      </c>
      <c r="CC38" s="62">
        <f t="shared" si="11"/>
        <v>574.96967506109718</v>
      </c>
      <c r="CD38" s="62">
        <f ca="1">AVERAGE(OFFSET($CC$3,0,0,'Données projet'!$E$12+1,1))-AVERAGE(OFFSET($H$3,0,0,'Données projet'!$E$12+1,1))</f>
        <v>446.15737983598251</v>
      </c>
      <c r="CE38" s="62">
        <f t="shared" si="40"/>
        <v>282.2299715529382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164.99999999999994</v>
      </c>
      <c r="CU38" s="18">
        <f>CT38*VLOOKUP('Données projet'!$B$13,Paramètres!$A$1:$I$89,3,0)*VLOOKUP('Données projet'!$B$13,Paramètres!$A$1:$I$89,5,0)</f>
        <v>128.69999999999996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565.73928297224313</v>
      </c>
      <c r="CY38" s="62">
        <f ca="1">AVERAGE(OFFSET($CX$3,0,0,'Données projet'!$E$13+1,1))-AVERAGE(OFFSET($H$3,0,0,'Données projet'!$E$13+1,1))</f>
        <v>293.03320024876842</v>
      </c>
      <c r="CZ38" s="62">
        <f t="shared" si="42"/>
        <v>287.49994652707915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0.72475458875074283</v>
      </c>
      <c r="DI38" s="24">
        <f t="shared" si="15"/>
        <v>0.72475458875074283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290</v>
      </c>
      <c r="DM38" s="13">
        <f>VLOOKUP(A38,'Données projet'!$A$165:$I$185,9,0)</f>
        <v>11</v>
      </c>
      <c r="DN38" s="13">
        <f t="array" ref="DN38">INDEX(DM:DM,MIN(IF(ISNUMBER(DM38:DM234),ROW(DM38:DM234),"")))</f>
        <v>11</v>
      </c>
      <c r="DO38" s="13">
        <f>IF('Données projet'!$A$166&gt;35,DO37+DN38-DW37,IF(A38&lt;'Données projet'!$A$166,$DL$205^A38,IF(A38='Données projet'!$A$166,'Données projet'!$B$166,DO37+DN38-DW37)))</f>
        <v>289.99999999999994</v>
      </c>
      <c r="DP38" s="18">
        <f>DO38*VLOOKUP('Données projet'!$B$14,Paramètres!$A$1:$I$89,3,0)*VLOOKUP('Données projet'!$B$14,Paramètres!$A$1:$I$89,5,0)</f>
        <v>158.33999999999997</v>
      </c>
      <c r="DQ38" s="14">
        <f t="shared" si="43"/>
        <v>40.467870812652819</v>
      </c>
      <c r="DR38" s="22">
        <f t="shared" si="16"/>
        <v>346.25704166537025</v>
      </c>
      <c r="DS38" s="62">
        <f t="shared" si="17"/>
        <v>629.15698687086433</v>
      </c>
      <c r="DT38" s="62">
        <f ca="1">AVERAGE(OFFSET($DS$3,0,0,'Données projet'!$E$14+1,1))-AVERAGE(OFFSET($H$3,0,0,'Données projet'!$E$14+1,1))</f>
        <v>253.0312006976271</v>
      </c>
      <c r="DU38" s="62">
        <f t="shared" si="44"/>
        <v>365.93937083714866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29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6.0499562899041637</v>
      </c>
      <c r="EB38" s="23">
        <f>EXP(-LN(2)/25)*EB37+(1-EXP(-LN(2)/25))/(LN(2)/25)*Calculateur!DW38*Calculateur!DY38*VLOOKUP('Données projet'!$B$14,Paramètres!$A$1:$I$89,3,0)*0.475*44/12</f>
        <v>8.3600081997825999</v>
      </c>
      <c r="EC38" s="23">
        <f>EXP(-LN(2)/2)*EC37+(1-EXP(-LN(2)/2))/(LN(2)/2)*DW38*DZ38*VLOOKUP('Données projet'!$B$14,Paramètres!$A$1:$I$89,3,0)*0.475*44/12</f>
        <v>3.0911806939050104</v>
      </c>
      <c r="ED38" s="24">
        <f t="shared" si="18"/>
        <v>17.501145183591774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1.05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3.85</v>
      </c>
      <c r="H39" s="70">
        <f t="shared" si="1"/>
        <v>241.26666666666665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22.82714285714286</v>
      </c>
      <c r="N39" s="14">
        <f>IF('Données projet'!$A$36&gt;35,N38+M39-V38,IF(A39&lt;'Données projet'!$A$36,$K$205^A39,IF(A39='Données projet'!$A$36,'Données projet'!$B$36,N38+M39-V38)))</f>
        <v>313.26714285714286</v>
      </c>
      <c r="O39" s="14">
        <f>N39*VLOOKUP('Données projet'!$B$9,Paramètres!$A$1:$I$89,3,0)*VLOOKUP('Données projet'!$B$9,Paramètres!$A$1:$I$89,5,0)</f>
        <v>175.11633285714288</v>
      </c>
      <c r="P39" s="14">
        <f t="shared" si="33"/>
        <v>44.233926946721667</v>
      </c>
      <c r="Q39" s="22">
        <f t="shared" si="53"/>
        <v>382.03503582506414</v>
      </c>
      <c r="R39" s="62">
        <f t="shared" si="0"/>
        <v>665.11597698901471</v>
      </c>
      <c r="S39" s="62">
        <f ca="1">AVERAGE(OFFSET($R$3,0,0,'Données projet'!$E$9+1,1))-AVERAGE(OFFSET($H$3,0,0,'Données projet'!$E$9+1,1))</f>
        <v>393.3487617557011</v>
      </c>
      <c r="T39" s="62">
        <f t="shared" si="34"/>
        <v>360.09400083977084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4.7069212168592625</v>
      </c>
      <c r="AA39" s="23">
        <f>EXP(-LN(2)/25)*AA38+(1-EXP(-LN(2)/25))/(LN(2)/25)*Calculateur!V39*Calculateur!X39*VLOOKUP('Données projet'!$B$9,Paramètres!$A$1:$I$89,3,0)*0.475*44/12</f>
        <v>7.8622684335857649</v>
      </c>
      <c r="AB39" s="23">
        <f>EXP(-LN(2)/2)*AB38+(1-EXP(-LN(2)/2))/(LN(2)/2)*V39*Y39*VLOOKUP('Données projet'!$B$9,Paramètres!$A$1:$I$89,3,0)*0.475*44/12</f>
        <v>1.7853226419152959</v>
      </c>
      <c r="AC39" s="24">
        <f t="shared" si="3"/>
        <v>14.354512292360322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9.4</v>
      </c>
      <c r="AI39" s="14">
        <f>IF('Données projet'!$A$62&gt;35,AI38+AH39-AQ38,IF(A39&lt;'Données projet'!$A$62,$AF$205^A39,IF(A39='Données projet'!$A$62,'Données projet'!$B$62,AI38+AH39-AQ38)))</f>
        <v>154.40000000000003</v>
      </c>
      <c r="AJ39" s="14">
        <f>AI39*VLOOKUP('Données projet'!$B$10,Paramètres!$A$1:$I$89,3,0)*VLOOKUP('Données projet'!$B$10,Paramètres!$A$1:$I$89,5,0)</f>
        <v>113.20608000000003</v>
      </c>
      <c r="AK39" s="14">
        <f t="shared" si="35"/>
        <v>30.085094361791089</v>
      </c>
      <c r="AL39" s="22">
        <f t="shared" si="4"/>
        <v>249.5654620134529</v>
      </c>
      <c r="AM39" s="62">
        <f t="shared" si="5"/>
        <v>532.6464031774035</v>
      </c>
      <c r="AN39" s="62">
        <f ca="1">AVERAGE(OFFSET($AM$3,0,0,'Données projet'!$E$10+1,1))-AVERAGE(OFFSET($H$3,0,0,'Données projet'!$E$10+1,1))</f>
        <v>283.28499080043167</v>
      </c>
      <c r="AO39" s="62">
        <f t="shared" si="36"/>
        <v>278.56966286485783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1.7330891650936948</v>
      </c>
      <c r="AV39" s="23">
        <f>EXP(-LN(2)/25)*AV38+(1-EXP(-LN(2)/25))/(LN(2)/25)*Calculateur!AQ39*Calculateur!AS39*VLOOKUP('Données projet'!$B$10,Paramètres!$A$1:$I$89,3,0)*0.475*44/12</f>
        <v>7.3783107401793444</v>
      </c>
      <c r="AW39" s="23">
        <f>EXP(-LN(2)/2)*AW38+(1-EXP(-LN(2)/2))/(LN(2)/2)*AQ39*AT39*VLOOKUP('Données projet'!$B$10,Paramètres!$A$1:$I$89,3,0)*0.475*44/12</f>
        <v>1.6212029624046735</v>
      </c>
      <c r="AX39" s="23">
        <f t="shared" si="6"/>
        <v>10.732602867677713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</v>
      </c>
      <c r="BD39" s="13">
        <f>IF('Données projet'!$A$88&gt;35,BD38+BC39-BL38,IF(A39&lt;'Données projet'!$A$88,$BA$205^A39,IF(A39='Données projet'!$A$88,'Données projet'!$B$88,BD38+BC39-BL38)))</f>
        <v>154.40000000000003</v>
      </c>
      <c r="BE39" s="14">
        <f>BD39*VLOOKUP('Données projet'!$B$11,Paramètres!$A$1:$I$89,3,0)*VLOOKUP('Données projet'!$B$11,Paramètres!$A$1:$I$89,5,0)</f>
        <v>122.84064000000002</v>
      </c>
      <c r="BF39" s="14">
        <f t="shared" si="37"/>
        <v>32.336627088964654</v>
      </c>
      <c r="BG39" s="22">
        <f t="shared" si="7"/>
        <v>270.26707351328014</v>
      </c>
      <c r="BH39" s="62">
        <f t="shared" si="8"/>
        <v>553.34801467723071</v>
      </c>
      <c r="BI39" s="62">
        <f ca="1">AVERAGE(OFFSET($BH$3,0,0,'Données projet'!$E$11+1,1))-AVERAGE(OFFSET($H$3,0,0,'Données projet'!$E$11+1,1))</f>
        <v>303.91914071195419</v>
      </c>
      <c r="BJ39" s="62">
        <f t="shared" si="38"/>
        <v>298.30050362688769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2.2016345114896079</v>
      </c>
      <c r="BR39" s="23">
        <f>EXP(-LN(2)/2)*BR38+(1-EXP(-LN(2)/2))/(LN(2)/2)*BL39*BO39*VLOOKUP('Données projet'!$B$11,Paramètres!$A$1:$I$89,3,0)*0.475*44/12</f>
        <v>3.181678400940096</v>
      </c>
      <c r="BS39" s="24">
        <f t="shared" si="9"/>
        <v>5.3833129124297034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117.80496000000004</v>
      </c>
      <c r="CA39" s="14">
        <f t="shared" si="39"/>
        <v>31.162493487829593</v>
      </c>
      <c r="CB39" s="22">
        <f t="shared" si="10"/>
        <v>259.45164815796994</v>
      </c>
      <c r="CC39" s="62">
        <f t="shared" si="11"/>
        <v>542.53258932192057</v>
      </c>
      <c r="CD39" s="62">
        <f ca="1">AVERAGE(OFFSET($CC$3,0,0,'Données projet'!$E$12+1,1))-AVERAGE(OFFSET($H$3,0,0,'Données projet'!$E$12+1,1))</f>
        <v>446.15737983598251</v>
      </c>
      <c r="CE39" s="62">
        <f t="shared" si="40"/>
        <v>282.2299715529382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176.49999999999994</v>
      </c>
      <c r="CU39" s="18">
        <f>CT39*VLOOKUP('Données projet'!$B$13,Paramètres!$A$1:$I$89,3,0)*VLOOKUP('Données projet'!$B$13,Paramètres!$A$1:$I$89,5,0)</f>
        <v>137.66999999999996</v>
      </c>
      <c r="CV39" s="14">
        <f t="shared" si="41"/>
        <v>35.762714965854656</v>
      </c>
      <c r="CW39" s="22">
        <f t="shared" si="13"/>
        <v>302.06197856553007</v>
      </c>
      <c r="CX39" s="62">
        <f t="shared" si="14"/>
        <v>585.14291972948058</v>
      </c>
      <c r="CY39" s="62">
        <f ca="1">AVERAGE(OFFSET($CX$3,0,0,'Données projet'!$E$13+1,1))-AVERAGE(OFFSET($H$3,0,0,'Données projet'!$E$13+1,1))</f>
        <v>293.03320024876842</v>
      </c>
      <c r="CZ39" s="62">
        <f t="shared" si="42"/>
        <v>287.49994652707915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0.51247888440171774</v>
      </c>
      <c r="DI39" s="24">
        <f t="shared" si="15"/>
        <v>0.51247888440171774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8.1999999999999993</v>
      </c>
      <c r="DO39" s="13">
        <f>IF('Données projet'!$A$166&gt;35,DO38+DN39-DW38,IF(A39&lt;'Données projet'!$A$166,$DL$205^A39,IF(A39='Données projet'!$A$166,'Données projet'!$B$166,DO38+DN39-DW38)))</f>
        <v>269.19999999999993</v>
      </c>
      <c r="DP39" s="18">
        <f>DO39*VLOOKUP('Données projet'!$B$14,Paramètres!$A$1:$I$89,3,0)*VLOOKUP('Données projet'!$B$14,Paramètres!$A$1:$I$89,5,0)</f>
        <v>146.98319999999995</v>
      </c>
      <c r="DQ39" s="14">
        <f t="shared" si="43"/>
        <v>37.892198442301805</v>
      </c>
      <c r="DR39" s="22">
        <f t="shared" si="16"/>
        <v>321.99131895367555</v>
      </c>
      <c r="DS39" s="62">
        <f t="shared" si="17"/>
        <v>605.07226011762612</v>
      </c>
      <c r="DT39" s="62">
        <f ca="1">AVERAGE(OFFSET($DS$3,0,0,'Données projet'!$E$14+1,1))-AVERAGE(OFFSET($H$3,0,0,'Données projet'!$E$14+1,1))</f>
        <v>253.0312006976271</v>
      </c>
      <c r="DU39" s="62">
        <f t="shared" si="44"/>
        <v>365.93937083714866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5.9313203371681116</v>
      </c>
      <c r="EB39" s="23">
        <f>EXP(-LN(2)/25)*EB38+(1-EXP(-LN(2)/25))/(LN(2)/25)*Calculateur!DW39*Calculateur!DY39*VLOOKUP('Données projet'!$B$14,Paramètres!$A$1:$I$89,3,0)*0.475*44/12</f>
        <v>8.1314033359258211</v>
      </c>
      <c r="EC39" s="23">
        <f>EXP(-LN(2)/2)*EC38+(1-EXP(-LN(2)/2))/(LN(2)/2)*DW39*DZ39*VLOOKUP('Données projet'!$B$14,Paramètres!$A$1:$I$89,3,0)*0.475*44/12</f>
        <v>2.1857948305331703</v>
      </c>
      <c r="ED39" s="24">
        <f t="shared" si="18"/>
        <v>16.248518503627103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1.05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3.85</v>
      </c>
      <c r="H40" s="70">
        <f t="shared" si="1"/>
        <v>241.26666666666665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22.82714285714286</v>
      </c>
      <c r="N40" s="14">
        <f>IF('Données projet'!$A$36&gt;35,N39+M40-V39,IF(A40&lt;'Données projet'!$A$36,$K$205^A40,IF(A40='Données projet'!$A$36,'Données projet'!$B$36,N39+M40-V39)))</f>
        <v>336.09428571428572</v>
      </c>
      <c r="O40" s="14">
        <f>N40*VLOOKUP('Données projet'!$B$9,Paramètres!$A$1:$I$89,3,0)*VLOOKUP('Données projet'!$B$9,Paramètres!$A$1:$I$89,5,0)</f>
        <v>187.87670571428572</v>
      </c>
      <c r="P40" s="14">
        <f t="shared" si="33"/>
        <v>47.070216037627915</v>
      </c>
      <c r="Q40" s="22">
        <f t="shared" si="53"/>
        <v>409.19922205124954</v>
      </c>
      <c r="R40" s="62">
        <f t="shared" si="0"/>
        <v>692.45801929842378</v>
      </c>
      <c r="S40" s="62">
        <f ca="1">AVERAGE(OFFSET($R$3,0,0,'Données projet'!$E$9+1,1))-AVERAGE(OFFSET($H$3,0,0,'Données projet'!$E$9+1,1))</f>
        <v>393.3487617557011</v>
      </c>
      <c r="T40" s="62">
        <f t="shared" si="34"/>
        <v>360.09400083977084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4.6146213627351127</v>
      </c>
      <c r="AA40" s="23">
        <f>EXP(-LN(2)/25)*AA39+(1-EXP(-LN(2)/25))/(LN(2)/25)*Calculateur!V40*Calculateur!X40*VLOOKUP('Données projet'!$B$9,Paramètres!$A$1:$I$89,3,0)*0.475*44/12</f>
        <v>7.6472742898106345</v>
      </c>
      <c r="AB40" s="23">
        <f>EXP(-LN(2)/2)*AB39+(1-EXP(-LN(2)/2))/(LN(2)/2)*V40*Y40*VLOOKUP('Données projet'!$B$9,Paramètres!$A$1:$I$89,3,0)*0.475*44/12</f>
        <v>1.262413746704188</v>
      </c>
      <c r="AC40" s="24">
        <f t="shared" si="3"/>
        <v>13.524309399249935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9.4</v>
      </c>
      <c r="AI40" s="14">
        <f>IF('Données projet'!$A$62&gt;35,AI39+AH40-AQ39,IF(A40&lt;'Données projet'!$A$62,$AF$205^A40,IF(A40='Données projet'!$A$62,'Données projet'!$B$62,AI39+AH40-AQ39)))</f>
        <v>163.80000000000004</v>
      </c>
      <c r="AJ40" s="14">
        <f>AI40*VLOOKUP('Données projet'!$B$10,Paramètres!$A$1:$I$89,3,0)*VLOOKUP('Données projet'!$B$10,Paramètres!$A$1:$I$89,5,0)</f>
        <v>120.09816000000004</v>
      </c>
      <c r="AK40" s="14">
        <f t="shared" si="35"/>
        <v>31.697892412546196</v>
      </c>
      <c r="AL40" s="22">
        <f t="shared" si="4"/>
        <v>264.37812461851803</v>
      </c>
      <c r="AM40" s="62">
        <f t="shared" si="5"/>
        <v>547.63692186569233</v>
      </c>
      <c r="AN40" s="62">
        <f ca="1">AVERAGE(OFFSET($AM$3,0,0,'Données projet'!$E$10+1,1))-AVERAGE(OFFSET($H$3,0,0,'Données projet'!$E$10+1,1))</f>
        <v>283.28499080043167</v>
      </c>
      <c r="AO40" s="62">
        <f t="shared" si="36"/>
        <v>278.56966286485783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1.6991043436462201</v>
      </c>
      <c r="AV40" s="23">
        <f>EXP(-LN(2)/25)*AV39+(1-EXP(-LN(2)/25))/(LN(2)/25)*Calculateur!AQ40*Calculateur!AS40*VLOOKUP('Données projet'!$B$10,Paramètres!$A$1:$I$89,3,0)*0.475*44/12</f>
        <v>7.1765504449806414</v>
      </c>
      <c r="AW40" s="23">
        <f>EXP(-LN(2)/2)*AW39+(1-EXP(-LN(2)/2))/(LN(2)/2)*AQ40*AT40*VLOOKUP('Données projet'!$B$10,Paramètres!$A$1:$I$89,3,0)*0.475*44/12</f>
        <v>1.1463636083960642</v>
      </c>
      <c r="AX40" s="23">
        <f t="shared" si="6"/>
        <v>10.022018397022926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</v>
      </c>
      <c r="BD40" s="13">
        <f>IF('Données projet'!$A$88&gt;35,BD39+BC40-BL39,IF(A40&lt;'Données projet'!$A$88,$BA$205^A40,IF(A40='Données projet'!$A$88,'Données projet'!$B$88,BD39+BC40-BL39)))</f>
        <v>163.80000000000004</v>
      </c>
      <c r="BE40" s="14">
        <f>BD40*VLOOKUP('Données projet'!$B$11,Paramètres!$A$1:$I$89,3,0)*VLOOKUP('Données projet'!$B$11,Paramètres!$A$1:$I$89,5,0)</f>
        <v>130.31928000000005</v>
      </c>
      <c r="BF40" s="14">
        <f t="shared" si="37"/>
        <v>34.070125030168121</v>
      </c>
      <c r="BG40" s="22">
        <f t="shared" si="7"/>
        <v>286.31154709420952</v>
      </c>
      <c r="BH40" s="62">
        <f t="shared" si="8"/>
        <v>569.57034434138382</v>
      </c>
      <c r="BI40" s="62">
        <f ca="1">AVERAGE(OFFSET($BH$3,0,0,'Données projet'!$E$11+1,1))-AVERAGE(OFFSET($H$3,0,0,'Données projet'!$E$11+1,1))</f>
        <v>303.91914071195419</v>
      </c>
      <c r="BJ40" s="62">
        <f t="shared" si="38"/>
        <v>298.30050362688769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2.1414306999939976</v>
      </c>
      <c r="BR40" s="23">
        <f>EXP(-LN(2)/2)*BR39+(1-EXP(-LN(2)/2))/(LN(2)/2)*BL40*BO40*VLOOKUP('Données projet'!$B$11,Paramètres!$A$1:$I$89,3,0)*0.475*44/12</f>
        <v>2.2497863728595129</v>
      </c>
      <c r="BS40" s="24">
        <f t="shared" si="9"/>
        <v>4.3912170728535109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127.93872000000003</v>
      </c>
      <c r="CA40" s="14">
        <f t="shared" si="39"/>
        <v>33.519615889545641</v>
      </c>
      <c r="CB40" s="22">
        <f t="shared" si="10"/>
        <v>281.20660167429202</v>
      </c>
      <c r="CC40" s="62">
        <f t="shared" si="11"/>
        <v>564.4653989214662</v>
      </c>
      <c r="CD40" s="62">
        <f ca="1">AVERAGE(OFFSET($CC$3,0,0,'Données projet'!$E$12+1,1))-AVERAGE(OFFSET($H$3,0,0,'Données projet'!$E$12+1,1))</f>
        <v>446.15737983598251</v>
      </c>
      <c r="CE40" s="62">
        <f t="shared" si="40"/>
        <v>282.2299715529382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187.99999999999994</v>
      </c>
      <c r="CU40" s="18">
        <f>CT40*VLOOKUP('Données projet'!$B$13,Paramètres!$A$1:$I$89,3,0)*VLOOKUP('Données projet'!$B$13,Paramètres!$A$1:$I$89,5,0)</f>
        <v>146.63999999999996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604.51619749679867</v>
      </c>
      <c r="CY40" s="62">
        <f ca="1">AVERAGE(OFFSET($CX$3,0,0,'Données projet'!$E$13+1,1))-AVERAGE(OFFSET($H$3,0,0,'Données projet'!$E$13+1,1))</f>
        <v>293.03320024876842</v>
      </c>
      <c r="CZ40" s="62">
        <f t="shared" si="42"/>
        <v>287.49994652707915</v>
      </c>
      <c r="DA40" s="16">
        <f>IF(ISNA(VLOOKUP(A40,'Données projet'!$A$139:$I$159,3,0)),0,VLOOKUP(A40,'Données projet'!$A$139:$I$159,3,0))</f>
        <v>5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0.36237729437537142</v>
      </c>
      <c r="DI40" s="24">
        <f t="shared" si="15"/>
        <v>0.36237729437537142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8.1999999999999993</v>
      </c>
      <c r="DO40" s="13">
        <f>IF('Données projet'!$A$166&gt;35,DO39+DN40-DW39,IF(A40&lt;'Données projet'!$A$166,$DL$205^A40,IF(A40='Données projet'!$A$166,'Données projet'!$B$166,DO39+DN40-DW39)))</f>
        <v>277.39999999999992</v>
      </c>
      <c r="DP40" s="18">
        <f>DO40*VLOOKUP('Données projet'!$B$14,Paramètres!$A$1:$I$89,3,0)*VLOOKUP('Données projet'!$B$14,Paramètres!$A$1:$I$89,5,0)</f>
        <v>151.46039999999996</v>
      </c>
      <c r="DQ40" s="14">
        <f t="shared" si="43"/>
        <v>38.910279383617429</v>
      </c>
      <c r="DR40" s="22">
        <f t="shared" si="16"/>
        <v>331.56226659313359</v>
      </c>
      <c r="DS40" s="62">
        <f t="shared" si="17"/>
        <v>614.82106384030783</v>
      </c>
      <c r="DT40" s="62">
        <f ca="1">AVERAGE(OFFSET($DS$3,0,0,'Données projet'!$E$14+1,1))-AVERAGE(OFFSET($H$3,0,0,'Données projet'!$E$14+1,1))</f>
        <v>253.0312006976271</v>
      </c>
      <c r="DU40" s="62">
        <f t="shared" si="44"/>
        <v>365.93937083714866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5.8150107631044277</v>
      </c>
      <c r="EB40" s="23">
        <f>EXP(-LN(2)/25)*EB39+(1-EXP(-LN(2)/25))/(LN(2)/25)*Calculateur!DW40*Calculateur!DY40*VLOOKUP('Données projet'!$B$14,Paramètres!$A$1:$I$89,3,0)*0.475*44/12</f>
        <v>7.9090496840930129</v>
      </c>
      <c r="EC40" s="23">
        <f>EXP(-LN(2)/2)*EC39+(1-EXP(-LN(2)/2))/(LN(2)/2)*DW40*DZ40*VLOOKUP('Données projet'!$B$14,Paramètres!$A$1:$I$89,3,0)*0.475*44/12</f>
        <v>1.5455903469525052</v>
      </c>
      <c r="ED40" s="24">
        <f t="shared" si="18"/>
        <v>15.269650794149946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1.05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3.85</v>
      </c>
      <c r="H41" s="70">
        <f t="shared" si="1"/>
        <v>241.26666666666665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22.82714285714286</v>
      </c>
      <c r="N41" s="14">
        <f>IF('Données projet'!$A$36&gt;35,N40+M41-V40,IF(A41&lt;'Données projet'!$A$36,$K$205^A41,IF(A41='Données projet'!$A$36,'Données projet'!$B$36,N40+M41-V40)))</f>
        <v>358.92142857142858</v>
      </c>
      <c r="O41" s="14">
        <f>N41*VLOOKUP('Données projet'!$B$9,Paramètres!$A$1:$I$89,3,0)*VLOOKUP('Données projet'!$B$9,Paramètres!$A$1:$I$89,5,0)</f>
        <v>200.63707857142856</v>
      </c>
      <c r="P41" s="14">
        <f t="shared" si="33"/>
        <v>49.884152387105956</v>
      </c>
      <c r="Q41" s="22">
        <f t="shared" si="53"/>
        <v>436.32447725278098</v>
      </c>
      <c r="R41" s="62">
        <f t="shared" si="0"/>
        <v>719.75804517776169</v>
      </c>
      <c r="S41" s="62">
        <f ca="1">AVERAGE(OFFSET($R$3,0,0,'Données projet'!$E$9+1,1))-AVERAGE(OFFSET($H$3,0,0,'Données projet'!$E$9+1,1))</f>
        <v>393.3487617557011</v>
      </c>
      <c r="T41" s="62">
        <f t="shared" si="34"/>
        <v>360.09400083977084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4.5241314524529859</v>
      </c>
      <c r="AA41" s="23">
        <f>EXP(-LN(2)/25)*AA40+(1-EXP(-LN(2)/25))/(LN(2)/25)*Calculateur!V41*Calculateur!X41*VLOOKUP('Données projet'!$B$9,Paramètres!$A$1:$I$89,3,0)*0.475*44/12</f>
        <v>7.4381591722030862</v>
      </c>
      <c r="AB41" s="23">
        <f>EXP(-LN(2)/2)*AB40+(1-EXP(-LN(2)/2))/(LN(2)/2)*V41*Y41*VLOOKUP('Données projet'!$B$9,Paramètres!$A$1:$I$89,3,0)*0.475*44/12</f>
        <v>0.89266132095764794</v>
      </c>
      <c r="AC41" s="24">
        <f t="shared" si="3"/>
        <v>12.85495194561372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9.4</v>
      </c>
      <c r="AI41" s="14">
        <f>IF('Données projet'!$A$62&gt;35,AI40+AH41-AQ40,IF(A41&lt;'Données projet'!$A$62,$AF$205^A41,IF(A41='Données projet'!$A$62,'Données projet'!$B$62,AI40+AH41-AQ40)))</f>
        <v>173.20000000000005</v>
      </c>
      <c r="AJ41" s="14">
        <f>AI41*VLOOKUP('Données projet'!$B$10,Paramètres!$A$1:$I$89,3,0)*VLOOKUP('Données projet'!$B$10,Paramètres!$A$1:$I$89,5,0)</f>
        <v>126.99024000000001</v>
      </c>
      <c r="AK41" s="14">
        <f t="shared" si="35"/>
        <v>33.299946886247369</v>
      </c>
      <c r="AL41" s="22">
        <f t="shared" si="4"/>
        <v>279.17207549354754</v>
      </c>
      <c r="AM41" s="62">
        <f t="shared" si="5"/>
        <v>562.60564341852819</v>
      </c>
      <c r="AN41" s="62">
        <f ca="1">AVERAGE(OFFSET($AM$3,0,0,'Données projet'!$E$10+1,1))-AVERAGE(OFFSET($H$3,0,0,'Données projet'!$E$10+1,1))</f>
        <v>283.28499080043167</v>
      </c>
      <c r="AO41" s="62">
        <f t="shared" si="36"/>
        <v>278.56966286485783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1.6657859438186362</v>
      </c>
      <c r="AV41" s="23">
        <f>EXP(-LN(2)/25)*AV40+(1-EXP(-LN(2)/25))/(LN(2)/25)*Calculateur!AQ41*Calculateur!AS41*VLOOKUP('Données projet'!$B$10,Paramètres!$A$1:$I$89,3,0)*0.475*44/12</f>
        <v>6.98030729566426</v>
      </c>
      <c r="AW41" s="23">
        <f>EXP(-LN(2)/2)*AW40+(1-EXP(-LN(2)/2))/(LN(2)/2)*AQ41*AT41*VLOOKUP('Données projet'!$B$10,Paramètres!$A$1:$I$89,3,0)*0.475*44/12</f>
        <v>0.81060148120233688</v>
      </c>
      <c r="AX41" s="23">
        <f t="shared" si="6"/>
        <v>9.456694720685233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</v>
      </c>
      <c r="BD41" s="13">
        <f>IF('Données projet'!$A$88&gt;35,BD40+BC41-BL40,IF(A41&lt;'Données projet'!$A$88,$BA$205^A41,IF(A41='Données projet'!$A$88,'Données projet'!$B$88,BD40+BC41-BL40)))</f>
        <v>173.20000000000005</v>
      </c>
      <c r="BE41" s="14">
        <f>BD41*VLOOKUP('Données projet'!$B$11,Paramètres!$A$1:$I$89,3,0)*VLOOKUP('Données projet'!$B$11,Paramètres!$A$1:$I$89,5,0)</f>
        <v>137.79792000000003</v>
      </c>
      <c r="BF41" s="14">
        <f t="shared" si="37"/>
        <v>35.792075357772092</v>
      </c>
      <c r="BG41" s="22">
        <f t="shared" si="7"/>
        <v>302.33590858145311</v>
      </c>
      <c r="BH41" s="62">
        <f t="shared" si="8"/>
        <v>585.76947650643376</v>
      </c>
      <c r="BI41" s="62">
        <f ca="1">AVERAGE(OFFSET($BH$3,0,0,'Données projet'!$E$11+1,1))-AVERAGE(OFFSET($H$3,0,0,'Données projet'!$E$11+1,1))</f>
        <v>303.91914071195419</v>
      </c>
      <c r="BJ41" s="62">
        <f t="shared" si="38"/>
        <v>298.30050362688769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2.0828731648897154</v>
      </c>
      <c r="BR41" s="23">
        <f>EXP(-LN(2)/2)*BR40+(1-EXP(-LN(2)/2))/(LN(2)/2)*BL41*BO41*VLOOKUP('Données projet'!$B$11,Paramètres!$A$1:$I$89,3,0)*0.475*44/12</f>
        <v>1.590839200470048</v>
      </c>
      <c r="BS41" s="24">
        <f t="shared" si="9"/>
        <v>3.6737123653597634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138.07248000000001</v>
      </c>
      <c r="CA41" s="14">
        <f t="shared" si="39"/>
        <v>35.85508207677799</v>
      </c>
      <c r="CB41" s="22">
        <f t="shared" si="10"/>
        <v>302.9238372837217</v>
      </c>
      <c r="CC41" s="62">
        <f t="shared" si="11"/>
        <v>586.3574052087024</v>
      </c>
      <c r="CD41" s="62">
        <f ca="1">AVERAGE(OFFSET($CC$3,0,0,'Données projet'!$E$12+1,1))-AVERAGE(OFFSET($H$3,0,0,'Données projet'!$E$12+1,1))</f>
        <v>446.15737983598251</v>
      </c>
      <c r="CE41" s="62">
        <f t="shared" si="40"/>
        <v>282.2299715529382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163.14285714285708</v>
      </c>
      <c r="CU41" s="18">
        <f>CT41*VLOOKUP('Données projet'!$B$13,Paramètres!$A$1:$I$89,3,0)*VLOOKUP('Données projet'!$B$13,Paramètres!$A$1:$I$89,5,0)</f>
        <v>127.25142857142853</v>
      </c>
      <c r="CV41" s="14">
        <f t="shared" si="41"/>
        <v>33.360457439554281</v>
      </c>
      <c r="CW41" s="22">
        <f t="shared" si="13"/>
        <v>279.73236813579501</v>
      </c>
      <c r="CX41" s="62">
        <f t="shared" si="14"/>
        <v>563.16593606077572</v>
      </c>
      <c r="CY41" s="62">
        <f ca="1">AVERAGE(OFFSET($CX$3,0,0,'Données projet'!$E$13+1,1))-AVERAGE(OFFSET($H$3,0,0,'Données projet'!$E$13+1,1))</f>
        <v>293.03320024876842</v>
      </c>
      <c r="CZ41" s="62">
        <f t="shared" si="42"/>
        <v>287.49994652707915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0.25623944220085887</v>
      </c>
      <c r="DI41" s="24">
        <f t="shared" si="15"/>
        <v>0.25623944220085887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8.1999999999999993</v>
      </c>
      <c r="DO41" s="13">
        <f>IF('Données projet'!$A$166&gt;35,DO40+DN41-DW40,IF(A41&lt;'Données projet'!$A$166,$DL$205^A41,IF(A41='Données projet'!$A$166,'Données projet'!$B$166,DO40+DN41-DW40)))</f>
        <v>285.59999999999991</v>
      </c>
      <c r="DP41" s="18">
        <f>DO41*VLOOKUP('Données projet'!$B$14,Paramètres!$A$1:$I$89,3,0)*VLOOKUP('Données projet'!$B$14,Paramètres!$A$1:$I$89,5,0)</f>
        <v>155.93759999999995</v>
      </c>
      <c r="DQ41" s="14">
        <f t="shared" si="43"/>
        <v>39.924862785906342</v>
      </c>
      <c r="DR41" s="22">
        <f t="shared" si="16"/>
        <v>341.12712268545346</v>
      </c>
      <c r="DS41" s="62">
        <f t="shared" si="17"/>
        <v>624.56069061043411</v>
      </c>
      <c r="DT41" s="62">
        <f ca="1">AVERAGE(OFFSET($DS$3,0,0,'Données projet'!$E$14+1,1))-AVERAGE(OFFSET($H$3,0,0,'Données projet'!$E$14+1,1))</f>
        <v>253.0312006976271</v>
      </c>
      <c r="DU41" s="62">
        <f t="shared" si="44"/>
        <v>365.93937083714866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5.7009819488462972</v>
      </c>
      <c r="EB41" s="23">
        <f>EXP(-LN(2)/25)*EB40+(1-EXP(-LN(2)/25))/(LN(2)/25)*Calculateur!DW41*Calculateur!DY41*VLOOKUP('Données projet'!$B$14,Paramètres!$A$1:$I$89,3,0)*0.475*44/12</f>
        <v>7.6927763045626429</v>
      </c>
      <c r="EC41" s="23">
        <f>EXP(-LN(2)/2)*EC40+(1-EXP(-LN(2)/2))/(LN(2)/2)*DW41*DZ41*VLOOKUP('Données projet'!$B$14,Paramètres!$A$1:$I$89,3,0)*0.475*44/12</f>
        <v>1.0928974152665851</v>
      </c>
      <c r="ED41" s="24">
        <f t="shared" si="18"/>
        <v>14.486655668675525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1.05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3.85</v>
      </c>
      <c r="H42" s="70">
        <f t="shared" si="1"/>
        <v>241.26666666666665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22.82714285714286</v>
      </c>
      <c r="N42" s="14">
        <f>IF('Données projet'!$A$36&gt;35,N41+M42-V41,IF(A42&lt;'Données projet'!$A$36,$K$205^A42,IF(A42='Données projet'!$A$36,'Données projet'!$B$36,N41+M42-V41)))</f>
        <v>381.74857142857144</v>
      </c>
      <c r="O42" s="14">
        <f>N42*VLOOKUP('Données projet'!$B$9,Paramètres!$A$1:$I$89,3,0)*VLOOKUP('Données projet'!$B$9,Paramètres!$A$1:$I$89,5,0)</f>
        <v>213.39745142857146</v>
      </c>
      <c r="P42" s="14">
        <f t="shared" si="33"/>
        <v>52.67731943158536</v>
      </c>
      <c r="Q42" s="22">
        <f t="shared" si="53"/>
        <v>463.41355924810642</v>
      </c>
      <c r="R42" s="62">
        <f t="shared" si="0"/>
        <v>747.01886597036219</v>
      </c>
      <c r="S42" s="62">
        <f ca="1">AVERAGE(OFFSET($R$3,0,0,'Données projet'!$E$9+1,1))-AVERAGE(OFFSET($H$3,0,0,'Données projet'!$E$9+1,1))</f>
        <v>393.3487617557011</v>
      </c>
      <c r="T42" s="62">
        <f t="shared" si="34"/>
        <v>360.09400083977084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4.4354159941180962</v>
      </c>
      <c r="AA42" s="23">
        <f>EXP(-LN(2)/25)*AA41+(1-EXP(-LN(2)/25))/(LN(2)/25)*Calculateur!V42*Calculateur!X42*VLOOKUP('Données projet'!$B$9,Paramètres!$A$1:$I$89,3,0)*0.475*44/12</f>
        <v>7.2347623184834022</v>
      </c>
      <c r="AB42" s="23">
        <f>EXP(-LN(2)/2)*AB41+(1-EXP(-LN(2)/2))/(LN(2)/2)*V42*Y42*VLOOKUP('Données projet'!$B$9,Paramètres!$A$1:$I$89,3,0)*0.475*44/12</f>
        <v>0.63120687335209402</v>
      </c>
      <c r="AC42" s="24">
        <f t="shared" si="3"/>
        <v>12.301385185953592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9.4</v>
      </c>
      <c r="AI42" s="14">
        <f>IF('Données projet'!$A$62&gt;35,AI41+AH42-AQ41,IF(A42&lt;'Données projet'!$A$62,$AF$205^A42,IF(A42='Données projet'!$A$62,'Données projet'!$B$62,AI41+AH42-AQ41)))</f>
        <v>182.60000000000005</v>
      </c>
      <c r="AJ42" s="14">
        <f>AI42*VLOOKUP('Données projet'!$B$10,Paramètres!$A$1:$I$89,3,0)*VLOOKUP('Données projet'!$B$10,Paramètres!$A$1:$I$89,5,0)</f>
        <v>133.88232000000002</v>
      </c>
      <c r="AK42" s="14">
        <f t="shared" si="35"/>
        <v>34.89190733724724</v>
      </c>
      <c r="AL42" s="22">
        <f t="shared" si="4"/>
        <v>293.9484459457056</v>
      </c>
      <c r="AM42" s="62">
        <f t="shared" si="5"/>
        <v>577.55375266796136</v>
      </c>
      <c r="AN42" s="62">
        <f ca="1">AVERAGE(OFFSET($AM$3,0,0,'Données projet'!$E$10+1,1))-AVERAGE(OFFSET($H$3,0,0,'Données projet'!$E$10+1,1))</f>
        <v>283.28499080043167</v>
      </c>
      <c r="AO42" s="62">
        <f t="shared" si="36"/>
        <v>278.56966286485783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1.633120897489454</v>
      </c>
      <c r="AV42" s="23">
        <f>EXP(-LN(2)/25)*AV41+(1-EXP(-LN(2)/25))/(LN(2)/25)*Calculateur!AQ42*Calculateur!AS42*VLOOKUP('Données projet'!$B$10,Paramètres!$A$1:$I$89,3,0)*0.475*44/12</f>
        <v>6.7894304255859135</v>
      </c>
      <c r="AW42" s="23">
        <f>EXP(-LN(2)/2)*AW41+(1-EXP(-LN(2)/2))/(LN(2)/2)*AQ42*AT42*VLOOKUP('Données projet'!$B$10,Paramètres!$A$1:$I$89,3,0)*0.475*44/12</f>
        <v>0.57318180419803222</v>
      </c>
      <c r="AX42" s="23">
        <f t="shared" si="6"/>
        <v>8.9957331272734002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</v>
      </c>
      <c r="BD42" s="13">
        <f>IF('Données projet'!$A$88&gt;35,BD41+BC42-BL41,IF(A42&lt;'Données projet'!$A$88,$BA$205^A42,IF(A42='Données projet'!$A$88,'Données projet'!$B$88,BD41+BC42-BL41)))</f>
        <v>182.60000000000005</v>
      </c>
      <c r="BE42" s="14">
        <f>BD42*VLOOKUP('Données projet'!$B$11,Paramètres!$A$1:$I$89,3,0)*VLOOKUP('Données projet'!$B$11,Paramètres!$A$1:$I$89,5,0)</f>
        <v>145.27656000000005</v>
      </c>
      <c r="BF42" s="14">
        <f t="shared" si="37"/>
        <v>37.503176238005366</v>
      </c>
      <c r="BG42" s="22">
        <f t="shared" si="7"/>
        <v>318.34137394785938</v>
      </c>
      <c r="BH42" s="62">
        <f t="shared" si="8"/>
        <v>601.94668067011526</v>
      </c>
      <c r="BI42" s="62">
        <f ca="1">AVERAGE(OFFSET($BH$3,0,0,'Données projet'!$E$11+1,1))-AVERAGE(OFFSET($H$3,0,0,'Données projet'!$E$11+1,1))</f>
        <v>303.91914071195419</v>
      </c>
      <c r="BJ42" s="62">
        <f t="shared" si="38"/>
        <v>298.30050362688769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2.0259168886622669</v>
      </c>
      <c r="BR42" s="23">
        <f>EXP(-LN(2)/2)*BR41+(1-EXP(-LN(2)/2))/(LN(2)/2)*BL42*BO42*VLOOKUP('Données projet'!$B$11,Paramètres!$A$1:$I$89,3,0)*0.475*44/12</f>
        <v>1.1248931864297564</v>
      </c>
      <c r="BS42" s="24">
        <f t="shared" si="9"/>
        <v>3.1508100750920232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148.20624000000001</v>
      </c>
      <c r="CA42" s="14">
        <f t="shared" si="39"/>
        <v>38.170662245893794</v>
      </c>
      <c r="CB42" s="22">
        <f t="shared" si="10"/>
        <v>324.60643807826506</v>
      </c>
      <c r="CC42" s="62">
        <f t="shared" si="11"/>
        <v>608.21174480052082</v>
      </c>
      <c r="CD42" s="62">
        <f ca="1">AVERAGE(OFFSET($CC$3,0,0,'Données projet'!$E$12+1,1))-AVERAGE(OFFSET($H$3,0,0,'Données projet'!$E$12+1,1))</f>
        <v>446.15737983598251</v>
      </c>
      <c r="CE42" s="62">
        <f t="shared" si="40"/>
        <v>282.2299715529382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174.28571428571422</v>
      </c>
      <c r="CU42" s="18">
        <f>CT42*VLOOKUP('Données projet'!$B$13,Paramètres!$A$1:$I$89,3,0)*VLOOKUP('Données projet'!$B$13,Paramètres!$A$1:$I$89,5,0)</f>
        <v>135.94285714285709</v>
      </c>
      <c r="CV42" s="14">
        <f t="shared" si="41"/>
        <v>35.365986273808367</v>
      </c>
      <c r="CW42" s="22">
        <f t="shared" si="13"/>
        <v>298.36290228402567</v>
      </c>
      <c r="CX42" s="62">
        <f t="shared" si="14"/>
        <v>581.96820900628154</v>
      </c>
      <c r="CY42" s="62">
        <f ca="1">AVERAGE(OFFSET($CX$3,0,0,'Données projet'!$E$13+1,1))-AVERAGE(OFFSET($H$3,0,0,'Données projet'!$E$13+1,1))</f>
        <v>293.03320024876842</v>
      </c>
      <c r="CZ42" s="62">
        <f t="shared" si="42"/>
        <v>287.49994652707915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0.18118864718768571</v>
      </c>
      <c r="DI42" s="24">
        <f t="shared" si="15"/>
        <v>0.18118864718768571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8.1999999999999993</v>
      </c>
      <c r="DO42" s="13">
        <f>IF('Données projet'!$A$166&gt;35,DO41+DN42-DW41,IF(A42&lt;'Données projet'!$A$166,$DL$205^A42,IF(A42='Données projet'!$A$166,'Données projet'!$B$166,DO41+DN42-DW41)))</f>
        <v>293.7999999999999</v>
      </c>
      <c r="DP42" s="18">
        <f>DO42*VLOOKUP('Données projet'!$B$14,Paramètres!$A$1:$I$89,3,0)*VLOOKUP('Données projet'!$B$14,Paramètres!$A$1:$I$89,5,0)</f>
        <v>160.41479999999996</v>
      </c>
      <c r="DQ42" s="14">
        <f t="shared" si="43"/>
        <v>40.936060601587023</v>
      </c>
      <c r="DR42" s="22">
        <f t="shared" si="16"/>
        <v>350.68608221443066</v>
      </c>
      <c r="DS42" s="62">
        <f t="shared" si="17"/>
        <v>634.29138893668642</v>
      </c>
      <c r="DT42" s="62">
        <f ca="1">AVERAGE(OFFSET($DS$3,0,0,'Données projet'!$E$14+1,1))-AVERAGE(OFFSET($H$3,0,0,'Données projet'!$E$14+1,1))</f>
        <v>253.0312006976271</v>
      </c>
      <c r="DU42" s="62">
        <f t="shared" si="44"/>
        <v>365.93937083714866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5.58918917008506</v>
      </c>
      <c r="EB42" s="23">
        <f>EXP(-LN(2)/25)*EB41+(1-EXP(-LN(2)/25))/(LN(2)/25)*Calculateur!DW42*Calculateur!DY42*VLOOKUP('Données projet'!$B$14,Paramètres!$A$1:$I$89,3,0)*0.475*44/12</f>
        <v>7.4824169319688538</v>
      </c>
      <c r="EC42" s="23">
        <f>EXP(-LN(2)/2)*EC41+(1-EXP(-LN(2)/2))/(LN(2)/2)*DW42*DZ42*VLOOKUP('Données projet'!$B$14,Paramètres!$A$1:$I$89,3,0)*0.475*44/12</f>
        <v>0.77279517347625259</v>
      </c>
      <c r="ED42" s="24">
        <f t="shared" si="18"/>
        <v>13.844401275530165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1.05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3.85</v>
      </c>
      <c r="H43" s="70">
        <f t="shared" si="1"/>
        <v>241.26666666666665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22.82714285714286</v>
      </c>
      <c r="N43" s="14">
        <f>IF('Données projet'!$A$36&gt;35,N42+M43-V42,IF(A43&lt;'Données projet'!$A$36,$K$205^A43,IF(A43='Données projet'!$A$36,'Données projet'!$B$36,N42+M43-V42)))</f>
        <v>404.5757142857143</v>
      </c>
      <c r="O43" s="14">
        <f>N43*VLOOKUP('Données projet'!$B$9,Paramètres!$A$1:$I$89,3,0)*VLOOKUP('Données projet'!$B$9,Paramètres!$A$1:$I$89,5,0)</f>
        <v>226.1578242857143</v>
      </c>
      <c r="P43" s="14">
        <f t="shared" si="33"/>
        <v>55.451100541643569</v>
      </c>
      <c r="Q43" s="22">
        <f t="shared" si="53"/>
        <v>490.46887740764834</v>
      </c>
      <c r="R43" s="62">
        <f t="shared" si="0"/>
        <v>774.24294364299703</v>
      </c>
      <c r="S43" s="62">
        <f ca="1">AVERAGE(OFFSET($R$3,0,0,'Données projet'!$E$9+1,1))-AVERAGE(OFFSET($H$3,0,0,'Données projet'!$E$9+1,1))</f>
        <v>393.3487617557011</v>
      </c>
      <c r="T43" s="62">
        <f t="shared" si="34"/>
        <v>360.09400083977084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4.3484401918100666</v>
      </c>
      <c r="AA43" s="23">
        <f>EXP(-LN(2)/25)*AA42+(1-EXP(-LN(2)/25))/(LN(2)/25)*Calculateur!V43*Calculateur!X43*VLOOKUP('Données projet'!$B$9,Paramètres!$A$1:$I$89,3,0)*0.475*44/12</f>
        <v>7.0369273624248585</v>
      </c>
      <c r="AB43" s="23">
        <f>EXP(-LN(2)/2)*AB42+(1-EXP(-LN(2)/2))/(LN(2)/2)*V43*Y43*VLOOKUP('Données projet'!$B$9,Paramètres!$A$1:$I$89,3,0)*0.475*44/12</f>
        <v>0.44633066047882397</v>
      </c>
      <c r="AC43" s="24">
        <f t="shared" si="3"/>
        <v>11.831698214713748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9.4</v>
      </c>
      <c r="AH43" s="13">
        <f t="array" ref="AH43">INDEX(AG:AG,MIN(IF(ISNUMBER(AG43:AG239),ROW(AG43:AG239),"")))</f>
        <v>9.4</v>
      </c>
      <c r="AI43" s="14">
        <f>IF('Données projet'!$A$62&gt;35,AI42+AH43-AQ42,IF(A43&lt;'Données projet'!$A$62,$AF$205^A43,IF(A43='Données projet'!$A$62,'Données projet'!$B$62,AI42+AH43-AQ42)))</f>
        <v>192.00000000000006</v>
      </c>
      <c r="AJ43" s="14">
        <f>AI43*VLOOKUP('Données projet'!$B$10,Paramètres!$A$1:$I$89,3,0)*VLOOKUP('Données projet'!$B$10,Paramètres!$A$1:$I$89,5,0)</f>
        <v>140.77440000000004</v>
      </c>
      <c r="AK43" s="14">
        <f t="shared" si="35"/>
        <v>36.474352666172102</v>
      </c>
      <c r="AL43" s="22">
        <f t="shared" si="4"/>
        <v>308.70824422691652</v>
      </c>
      <c r="AM43" s="62">
        <f t="shared" si="5"/>
        <v>592.48231046226522</v>
      </c>
      <c r="AN43" s="62">
        <f ca="1">AVERAGE(OFFSET($AM$3,0,0,'Données projet'!$E$10+1,1))-AVERAGE(OFFSET($H$3,0,0,'Données projet'!$E$10+1,1))</f>
        <v>283.28499080043167</v>
      </c>
      <c r="AO43" s="62">
        <f t="shared" si="36"/>
        <v>278.56966286485783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1.6010963927950761</v>
      </c>
      <c r="AV43" s="23">
        <f>EXP(-LN(2)/25)*AV42+(1-EXP(-LN(2)/25))/(LN(2)/25)*Calculateur!AQ43*Calculateur!AS43*VLOOKUP('Données projet'!$B$10,Paramètres!$A$1:$I$89,3,0)*0.475*44/12</f>
        <v>6.6037730935576384</v>
      </c>
      <c r="AW43" s="23">
        <f>EXP(-LN(2)/2)*AW42+(1-EXP(-LN(2)/2))/(LN(2)/2)*AQ43*AT43*VLOOKUP('Données projet'!$B$10,Paramètres!$A$1:$I$89,3,0)*0.475*44/12</f>
        <v>0.4053007406011685</v>
      </c>
      <c r="AX43" s="23">
        <f t="shared" si="6"/>
        <v>8.6101702269538833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9.4</v>
      </c>
      <c r="BC43" s="13">
        <f t="array" ref="BC43">INDEX(BB:BB,MIN(IF(ISNUMBER(BB43:BB239),ROW(BB43:BB239),"")))</f>
        <v>9.4</v>
      </c>
      <c r="BD43" s="13">
        <f>IF('Données projet'!$A$88&gt;35,BD42+BC43-BL42,IF(A43&lt;'Données projet'!$A$88,$BA$205^A43,IF(A43='Données projet'!$A$88,'Données projet'!$B$88,BD42+BC43-BL42)))</f>
        <v>192.00000000000006</v>
      </c>
      <c r="BE43" s="14">
        <f>BD43*VLOOKUP('Données projet'!$B$11,Paramètres!$A$1:$I$89,3,0)*VLOOKUP('Données projet'!$B$11,Paramètres!$A$1:$I$89,5,0)</f>
        <v>152.75520000000006</v>
      </c>
      <c r="BF43" s="14">
        <f t="shared" si="37"/>
        <v>39.204049895729561</v>
      </c>
      <c r="BG43" s="22">
        <f t="shared" si="7"/>
        <v>334.32902690172904</v>
      </c>
      <c r="BH43" s="62">
        <f t="shared" si="8"/>
        <v>618.10309313707774</v>
      </c>
      <c r="BI43" s="62">
        <f ca="1">AVERAGE(OFFSET($BH$3,0,0,'Données projet'!$E$11+1,1))-AVERAGE(OFFSET($H$3,0,0,'Données projet'!$E$11+1,1))</f>
        <v>303.91914071195419</v>
      </c>
      <c r="BJ43" s="62">
        <f t="shared" si="38"/>
        <v>298.30050362688769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1.9705180848034585</v>
      </c>
      <c r="BR43" s="23">
        <f>EXP(-LN(2)/2)*BR42+(1-EXP(-LN(2)/2))/(LN(2)/2)*BL43*BO43*VLOOKUP('Données projet'!$B$11,Paramètres!$A$1:$I$89,3,0)*0.475*44/12</f>
        <v>0.795419600235024</v>
      </c>
      <c r="BS43" s="24">
        <f t="shared" si="9"/>
        <v>2.7659376850384825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158.34</v>
      </c>
      <c r="CA43" s="14">
        <f t="shared" si="39"/>
        <v>40.467870812652819</v>
      </c>
      <c r="CB43" s="22">
        <f t="shared" si="10"/>
        <v>346.25704166537031</v>
      </c>
      <c r="CC43" s="62">
        <f t="shared" si="11"/>
        <v>630.03110790071901</v>
      </c>
      <c r="CD43" s="62">
        <f ca="1">AVERAGE(OFFSET($CC$3,0,0,'Données projet'!$E$12+1,1))-AVERAGE(OFFSET($H$3,0,0,'Données projet'!$E$12+1,1))</f>
        <v>446.15737983598251</v>
      </c>
      <c r="CE43" s="62">
        <f t="shared" si="40"/>
        <v>282.2299715529382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185.42857142857136</v>
      </c>
      <c r="CU43" s="18">
        <f>CT43*VLOOKUP('Données projet'!$B$13,Paramètres!$A$1:$I$89,3,0)*VLOOKUP('Données projet'!$B$13,Paramètres!$A$1:$I$89,5,0)</f>
        <v>144.63428571428565</v>
      </c>
      <c r="CV43" s="14">
        <f t="shared" si="41"/>
        <v>37.356634728420524</v>
      </c>
      <c r="CW43" s="22">
        <f t="shared" si="13"/>
        <v>316.96751977104657</v>
      </c>
      <c r="CX43" s="62">
        <f t="shared" si="14"/>
        <v>600.74158600639521</v>
      </c>
      <c r="CY43" s="62">
        <f ca="1">AVERAGE(OFFSET($CX$3,0,0,'Données projet'!$E$13+1,1))-AVERAGE(OFFSET($H$3,0,0,'Données projet'!$E$13+1,1))</f>
        <v>293.03320024876842</v>
      </c>
      <c r="CZ43" s="62">
        <f t="shared" si="42"/>
        <v>287.49994652707915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0.12811972110042943</v>
      </c>
      <c r="DI43" s="24">
        <f t="shared" si="15"/>
        <v>0.12811972110042943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302</v>
      </c>
      <c r="DM43" s="13">
        <f>VLOOKUP(A43,'Données projet'!$A$165:$I$185,9,0)</f>
        <v>8.1999999999999993</v>
      </c>
      <c r="DN43" s="13">
        <f t="array" ref="DN43">INDEX(DM:DM,MIN(IF(ISNUMBER(DM43:DM239),ROW(DM43:DM239),"")))</f>
        <v>8.1999999999999993</v>
      </c>
      <c r="DO43" s="13">
        <f>IF('Données projet'!$A$166&gt;35,DO42+DN43-DW42,IF(A43&lt;'Données projet'!$A$166,$DL$205^A43,IF(A43='Données projet'!$A$166,'Données projet'!$B$166,DO42+DN43-DW42)))</f>
        <v>301.99999999999989</v>
      </c>
      <c r="DP43" s="18">
        <f>DO43*VLOOKUP('Données projet'!$B$14,Paramètres!$A$1:$I$89,3,0)*VLOOKUP('Données projet'!$B$14,Paramètres!$A$1:$I$89,5,0)</f>
        <v>164.89199999999994</v>
      </c>
      <c r="DQ43" s="14">
        <f t="shared" si="43"/>
        <v>41.943978178295076</v>
      </c>
      <c r="DR43" s="22">
        <f t="shared" si="16"/>
        <v>360.23932866053048</v>
      </c>
      <c r="DS43" s="62">
        <f t="shared" si="17"/>
        <v>644.01339489587917</v>
      </c>
      <c r="DT43" s="62">
        <f ca="1">AVERAGE(OFFSET($DS$3,0,0,'Données projet'!$E$14+1,1))-AVERAGE(OFFSET($H$3,0,0,'Données projet'!$E$14+1,1))</f>
        <v>253.0312006976271</v>
      </c>
      <c r="DU43" s="62">
        <f t="shared" si="44"/>
        <v>365.93937083714866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22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5.4795885795284685</v>
      </c>
      <c r="EB43" s="23">
        <f>EXP(-LN(2)/25)*EB42+(1-EXP(-LN(2)/25))/(LN(2)/25)*Calculateur!DW43*Calculateur!DY43*VLOOKUP('Données projet'!$B$14,Paramètres!$A$1:$I$89,3,0)*0.475*44/12</f>
        <v>7.2778098474809605</v>
      </c>
      <c r="EC43" s="23">
        <f>EXP(-LN(2)/2)*EC42+(1-EXP(-LN(2)/2))/(LN(2)/2)*DW43*DZ43*VLOOKUP('Données projet'!$B$14,Paramètres!$A$1:$I$89,3,0)*0.475*44/12</f>
        <v>0.54644870763329256</v>
      </c>
      <c r="ED43" s="24">
        <f t="shared" si="18"/>
        <v>13.303847134642721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1.05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3.85</v>
      </c>
      <c r="H44" s="70">
        <f t="shared" si="1"/>
        <v>241.26666666666665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22.82714285714286</v>
      </c>
      <c r="N44" s="14">
        <f>IF('Données projet'!$A$36&gt;35,N43+M44-V43,IF(A44&lt;'Données projet'!$A$36,$K$205^A44,IF(A44='Données projet'!$A$36,'Données projet'!$B$36,N43+M44-V43)))</f>
        <v>427.40285714285716</v>
      </c>
      <c r="O44" s="14">
        <f>N44*VLOOKUP('Données projet'!$B$9,Paramètres!$A$1:$I$89,3,0)*VLOOKUP('Données projet'!$B$9,Paramètres!$A$1:$I$89,5,0)</f>
        <v>238.91819714285714</v>
      </c>
      <c r="P44" s="14">
        <f t="shared" si="33"/>
        <v>58.206714164613295</v>
      </c>
      <c r="Q44" s="22">
        <f t="shared" si="53"/>
        <v>517.49255386051107</v>
      </c>
      <c r="R44" s="62">
        <f t="shared" si="0"/>
        <v>801.43245200869023</v>
      </c>
      <c r="S44" s="62">
        <f ca="1">AVERAGE(OFFSET($R$3,0,0,'Données projet'!$E$9+1,1))-AVERAGE(OFFSET($H$3,0,0,'Données projet'!$E$9+1,1))</f>
        <v>393.3487617557011</v>
      </c>
      <c r="T44" s="62">
        <f t="shared" si="34"/>
        <v>360.09400083977084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4.2631699319352965</v>
      </c>
      <c r="AA44" s="23">
        <f>EXP(-LN(2)/25)*AA43+(1-EXP(-LN(2)/25))/(LN(2)/25)*Calculateur!V44*Calculateur!X44*VLOOKUP('Données projet'!$B$9,Paramètres!$A$1:$I$89,3,0)*0.475*44/12</f>
        <v>6.8445022136434241</v>
      </c>
      <c r="AB44" s="23">
        <f>EXP(-LN(2)/2)*AB43+(1-EXP(-LN(2)/2))/(LN(2)/2)*V44*Y44*VLOOKUP('Données projet'!$B$9,Paramètres!$A$1:$I$89,3,0)*0.475*44/12</f>
        <v>0.31560343667604701</v>
      </c>
      <c r="AC44" s="24">
        <f t="shared" si="3"/>
        <v>11.423275582254769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8.1999999999999993</v>
      </c>
      <c r="AI44" s="14">
        <f>IF('Données projet'!$A$62&gt;35,AI43+AH44-AQ43,IF(A44&lt;'Données projet'!$A$62,$AF$205^A44,IF(A44='Données projet'!$A$62,'Données projet'!$B$62,AI43+AH44-AQ43)))</f>
        <v>172.20000000000005</v>
      </c>
      <c r="AJ44" s="14">
        <f>AI44*VLOOKUP('Données projet'!$B$10,Paramètres!$A$1:$I$89,3,0)*VLOOKUP('Données projet'!$B$10,Paramètres!$A$1:$I$89,5,0)</f>
        <v>126.25704000000002</v>
      </c>
      <c r="AK44" s="14">
        <f t="shared" si="35"/>
        <v>33.130006114881255</v>
      </c>
      <c r="AL44" s="22">
        <f t="shared" si="4"/>
        <v>277.59910531675155</v>
      </c>
      <c r="AM44" s="62">
        <f t="shared" si="5"/>
        <v>561.53900346493072</v>
      </c>
      <c r="AN44" s="62">
        <f ca="1">AVERAGE(OFFSET($AM$3,0,0,'Données projet'!$E$10+1,1))-AVERAGE(OFFSET($H$3,0,0,'Données projet'!$E$10+1,1))</f>
        <v>283.28499080043167</v>
      </c>
      <c r="AO44" s="62">
        <f t="shared" si="36"/>
        <v>278.56966286485783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1.5696998691047357</v>
      </c>
      <c r="AV44" s="23">
        <f>EXP(-LN(2)/25)*AV43+(1-EXP(-LN(2)/25))/(LN(2)/25)*Calculateur!AQ44*Calculateur!AS44*VLOOKUP('Données projet'!$B$10,Paramètres!$A$1:$I$89,3,0)*0.475*44/12</f>
        <v>6.4231925710369708</v>
      </c>
      <c r="AW44" s="23">
        <f>EXP(-LN(2)/2)*AW43+(1-EXP(-LN(2)/2))/(LN(2)/2)*AQ44*AT44*VLOOKUP('Données projet'!$B$10,Paramètres!$A$1:$I$89,3,0)*0.475*44/12</f>
        <v>0.28659090209901611</v>
      </c>
      <c r="AX44" s="23">
        <f t="shared" si="6"/>
        <v>8.2794833422407219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172.20000000000005</v>
      </c>
      <c r="BE44" s="14">
        <f>BD44*VLOOKUP('Données projet'!$B$11,Paramètres!$A$1:$I$89,3,0)*VLOOKUP('Données projet'!$B$11,Paramètres!$A$1:$I$89,5,0)</f>
        <v>137.00232000000005</v>
      </c>
      <c r="BF44" s="14">
        <f t="shared" si="37"/>
        <v>35.609416420931346</v>
      </c>
      <c r="BG44" s="22">
        <f t="shared" si="7"/>
        <v>300.63210759978887</v>
      </c>
      <c r="BH44" s="62">
        <f t="shared" si="8"/>
        <v>584.57200574796798</v>
      </c>
      <c r="BI44" s="62">
        <f ca="1">AVERAGE(OFFSET($BH$3,0,0,'Données projet'!$E$11+1,1))-AVERAGE(OFFSET($H$3,0,0,'Données projet'!$E$11+1,1))</f>
        <v>303.91914071195419</v>
      </c>
      <c r="BJ44" s="62">
        <f t="shared" si="38"/>
        <v>298.30050362688769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1.9166341641494655</v>
      </c>
      <c r="BR44" s="23">
        <f>EXP(-LN(2)/2)*BR43+(1-EXP(-LN(2)/2))/(LN(2)/2)*BL44*BO44*VLOOKUP('Données projet'!$B$11,Paramètres!$A$1:$I$89,3,0)*0.475*44/12</f>
        <v>0.56244659321487822</v>
      </c>
      <c r="BS44" s="24">
        <f t="shared" si="9"/>
        <v>2.4790807573643439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143.32032000000001</v>
      </c>
      <c r="CA44" s="14">
        <f t="shared" si="39"/>
        <v>37.056603420232349</v>
      </c>
      <c r="CB44" s="22">
        <f t="shared" si="10"/>
        <v>314.15647495690467</v>
      </c>
      <c r="CC44" s="62">
        <f t="shared" si="11"/>
        <v>598.09637310508379</v>
      </c>
      <c r="CD44" s="62">
        <f ca="1">AVERAGE(OFFSET($CC$3,0,0,'Données projet'!$E$12+1,1))-AVERAGE(OFFSET($H$3,0,0,'Données projet'!$E$12+1,1))</f>
        <v>446.15737983598251</v>
      </c>
      <c r="CE44" s="62">
        <f t="shared" si="40"/>
        <v>282.2299715529382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</v>
      </c>
      <c r="CU44" s="18">
        <f>CT44*VLOOKUP('Données projet'!$B$13,Paramètres!$A$1:$I$89,3,0)*VLOOKUP('Données projet'!$B$13,Paramètres!$A$1:$I$89,5,0)</f>
        <v>153.32571428571424</v>
      </c>
      <c r="CV44" s="14">
        <f t="shared" si="41"/>
        <v>39.333398837614155</v>
      </c>
      <c r="CW44" s="22">
        <f t="shared" si="13"/>
        <v>335.5479553564636</v>
      </c>
      <c r="CX44" s="62">
        <f t="shared" si="14"/>
        <v>619.48785350464277</v>
      </c>
      <c r="CY44" s="62">
        <f ca="1">AVERAGE(OFFSET($CX$3,0,0,'Données projet'!$E$13+1,1))-AVERAGE(OFFSET($H$3,0,0,'Données projet'!$E$13+1,1))</f>
        <v>293.03320024876842</v>
      </c>
      <c r="CZ44" s="62">
        <f t="shared" si="42"/>
        <v>287.49994652707915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9.0594323593842854E-2</v>
      </c>
      <c r="DI44" s="24">
        <f t="shared" si="15"/>
        <v>9.0594323593842854E-2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</v>
      </c>
      <c r="DO44" s="13">
        <f>IF('Données projet'!$A$166&gt;35,DO43+DN44-DW43,IF(A44&lt;'Données projet'!$A$166,$DL$205^A44,IF(A44='Données projet'!$A$166,'Données projet'!$B$166,DO43+DN44-DW43)))</f>
        <v>285.99999999999989</v>
      </c>
      <c r="DP44" s="18">
        <f>DO44*VLOOKUP('Données projet'!$B$14,Paramètres!$A$1:$I$89,3,0)*VLOOKUP('Données projet'!$B$14,Paramètres!$A$1:$I$89,5,0)</f>
        <v>156.15599999999995</v>
      </c>
      <c r="DQ44" s="14">
        <f t="shared" si="43"/>
        <v>39.974267176222085</v>
      </c>
      <c r="DR44" s="22">
        <f t="shared" si="16"/>
        <v>341.59354866525337</v>
      </c>
      <c r="DS44" s="62">
        <f t="shared" si="17"/>
        <v>625.53344681343253</v>
      </c>
      <c r="DT44" s="62">
        <f ca="1">AVERAGE(OFFSET($DS$3,0,0,'Données projet'!$E$14+1,1))-AVERAGE(OFFSET($H$3,0,0,'Données projet'!$E$14+1,1))</f>
        <v>253.0312006976271</v>
      </c>
      <c r="DU44" s="62">
        <f t="shared" si="44"/>
        <v>365.93937083714866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5.372137189702932</v>
      </c>
      <c r="EB44" s="23">
        <f>EXP(-LN(2)/25)*EB43+(1-EXP(-LN(2)/25))/(LN(2)/25)*Calculateur!DW44*Calculateur!DY44*VLOOKUP('Données projet'!$B$14,Paramètres!$A$1:$I$89,3,0)*0.475*44/12</f>
        <v>7.0787977544782077</v>
      </c>
      <c r="EC44" s="23">
        <f>EXP(-LN(2)/2)*EC43+(1-EXP(-LN(2)/2))/(LN(2)/2)*DW44*DZ44*VLOOKUP('Données projet'!$B$14,Paramètres!$A$1:$I$89,3,0)*0.475*44/12</f>
        <v>0.3863975867381263</v>
      </c>
      <c r="ED44" s="24">
        <f t="shared" si="18"/>
        <v>12.837332530919266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1.05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3.85</v>
      </c>
      <c r="H45" s="70">
        <f t="shared" si="1"/>
        <v>241.26666666666665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450.23</v>
      </c>
      <c r="L45" s="13">
        <f>VLOOKUP(A45,'Données projet'!$A$35:$I$55,9,0)</f>
        <v>22.82714285714286</v>
      </c>
      <c r="M45" s="13">
        <f t="array" ref="M45">INDEX(L:L,MIN(IF(ISNUMBER(L45:L241),ROW(L45:L241),"")))</f>
        <v>22.82714285714286</v>
      </c>
      <c r="N45" s="14">
        <f>IF('Données projet'!$A$36&gt;35,N44+M45-V44,IF(A45&lt;'Données projet'!$A$36,$K$205^A45,IF(A45='Données projet'!$A$36,'Données projet'!$B$36,N44+M45-V44)))</f>
        <v>450.23</v>
      </c>
      <c r="O45" s="14">
        <f>N45*VLOOKUP('Données projet'!$B$9,Paramètres!$A$1:$I$89,3,0)*VLOOKUP('Données projet'!$B$9,Paramètres!$A$1:$I$89,5,0)</f>
        <v>251.67857000000004</v>
      </c>
      <c r="P45" s="14">
        <f t="shared" si="33"/>
        <v>60.945241245024086</v>
      </c>
      <c r="Q45" s="22">
        <f t="shared" si="53"/>
        <v>544.48647125175023</v>
      </c>
      <c r="R45" s="62">
        <f t="shared" si="0"/>
        <v>828.58932449981683</v>
      </c>
      <c r="S45" s="62">
        <f ca="1">AVERAGE(OFFSET($R$3,0,0,'Données projet'!$E$9+1,1))-AVERAGE(OFFSET($H$3,0,0,'Données projet'!$E$9+1,1))</f>
        <v>393.3487617557011</v>
      </c>
      <c r="T45" s="62">
        <f t="shared" si="34"/>
        <v>360.09400083977084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99.98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4.1795717698469481</v>
      </c>
      <c r="AA45" s="23">
        <f>EXP(-LN(2)/25)*AA44+(1-EXP(-LN(2)/25))/(LN(2)/25)*Calculateur!V45*Calculateur!X45*VLOOKUP('Données projet'!$B$9,Paramètres!$A$1:$I$89,3,0)*0.475*44/12</f>
        <v>6.6573389406746166</v>
      </c>
      <c r="AB45" s="23">
        <f>EXP(-LN(2)/2)*AB44+(1-EXP(-LN(2)/2))/(LN(2)/2)*V45*Y45*VLOOKUP('Données projet'!$B$9,Paramètres!$A$1:$I$89,3,0)*0.475*44/12</f>
        <v>0.22316533023941199</v>
      </c>
      <c r="AC45" s="24">
        <f t="shared" si="3"/>
        <v>11.060076040760977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8.1999999999999993</v>
      </c>
      <c r="AI45" s="14">
        <f>IF('Données projet'!$A$62&gt;35,AI44+AH45-AQ44,IF(A45&lt;'Données projet'!$A$62,$AF$205^A45,IF(A45='Données projet'!$A$62,'Données projet'!$B$62,AI44+AH45-AQ44)))</f>
        <v>180.40000000000003</v>
      </c>
      <c r="AJ45" s="14">
        <f>AI45*VLOOKUP('Données projet'!$B$10,Paramètres!$A$1:$I$89,3,0)*VLOOKUP('Données projet'!$B$10,Paramètres!$A$1:$I$89,5,0)</f>
        <v>132.26928000000001</v>
      </c>
      <c r="AK45" s="14">
        <f t="shared" si="35"/>
        <v>34.52019401964877</v>
      </c>
      <c r="AL45" s="22">
        <f t="shared" si="4"/>
        <v>290.49166725088827</v>
      </c>
      <c r="AM45" s="62">
        <f t="shared" si="5"/>
        <v>574.59452049895481</v>
      </c>
      <c r="AN45" s="62">
        <f ca="1">AVERAGE(OFFSET($AM$3,0,0,'Données projet'!$E$10+1,1))-AVERAGE(OFFSET($H$3,0,0,'Données projet'!$E$10+1,1))</f>
        <v>283.28499080043167</v>
      </c>
      <c r="AO45" s="62">
        <f t="shared" si="36"/>
        <v>278.56966286485783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1.5389190120939744</v>
      </c>
      <c r="AV45" s="23">
        <f>EXP(-LN(2)/25)*AV44+(1-EXP(-LN(2)/25))/(LN(2)/25)*Calculateur!AQ45*Calculateur!AS45*VLOOKUP('Données projet'!$B$10,Paramètres!$A$1:$I$89,3,0)*0.475*44/12</f>
        <v>6.2475500324009481</v>
      </c>
      <c r="AW45" s="23">
        <f>EXP(-LN(2)/2)*AW44+(1-EXP(-LN(2)/2))/(LN(2)/2)*AQ45*AT45*VLOOKUP('Données projet'!$B$10,Paramètres!$A$1:$I$89,3,0)*0.475*44/12</f>
        <v>0.20265037030058425</v>
      </c>
      <c r="AX45" s="23">
        <f t="shared" si="6"/>
        <v>7.9891194147955069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180.40000000000003</v>
      </c>
      <c r="BE45" s="14">
        <f>BD45*VLOOKUP('Données projet'!$B$11,Paramètres!$A$1:$I$89,3,0)*VLOOKUP('Données projet'!$B$11,Paramètres!$A$1:$I$89,5,0)</f>
        <v>143.52624000000003</v>
      </c>
      <c r="BF45" s="14">
        <f t="shared" si="37"/>
        <v>37.103644337236275</v>
      </c>
      <c r="BG45" s="22">
        <f t="shared" si="7"/>
        <v>314.59704855401986</v>
      </c>
      <c r="BH45" s="62">
        <f t="shared" si="8"/>
        <v>598.69990180208652</v>
      </c>
      <c r="BI45" s="62">
        <f ca="1">AVERAGE(OFFSET($BH$3,0,0,'Données projet'!$E$11+1,1))-AVERAGE(OFFSET($H$3,0,0,'Données projet'!$E$11+1,1))</f>
        <v>303.91914071195419</v>
      </c>
      <c r="BJ45" s="62">
        <f t="shared" si="38"/>
        <v>298.30050362688769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1.8642237021393882</v>
      </c>
      <c r="BR45" s="23">
        <f>EXP(-LN(2)/2)*BR44+(1-EXP(-LN(2)/2))/(LN(2)/2)*BL45*BO45*VLOOKUP('Données projet'!$B$11,Paramètres!$A$1:$I$89,3,0)*0.475*44/12</f>
        <v>0.397709800117512</v>
      </c>
      <c r="BS45" s="24">
        <f t="shared" si="9"/>
        <v>2.2619335022569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153.63504</v>
      </c>
      <c r="CA45" s="14">
        <f t="shared" si="39"/>
        <v>39.403506785222667</v>
      </c>
      <c r="CB45" s="22">
        <f t="shared" si="10"/>
        <v>336.20880231759617</v>
      </c>
      <c r="CC45" s="62">
        <f t="shared" si="11"/>
        <v>620.3116555656627</v>
      </c>
      <c r="CD45" s="62">
        <f ca="1">AVERAGE(OFFSET($CC$3,0,0,'Données projet'!$E$12+1,1))-AVERAGE(OFFSET($H$3,0,0,'Données projet'!$E$12+1,1))</f>
        <v>446.15737983598251</v>
      </c>
      <c r="CE45" s="62">
        <f t="shared" si="40"/>
        <v>282.2299715529382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207.71428571428564</v>
      </c>
      <c r="CU45" s="18">
        <f>CT45*VLOOKUP('Données projet'!$B$13,Paramètres!$A$1:$I$89,3,0)*VLOOKUP('Données projet'!$B$13,Paramètres!$A$1:$I$89,5,0)</f>
        <v>162.0171428571428</v>
      </c>
      <c r="CV45" s="14">
        <f t="shared" si="41"/>
        <v>41.29715533509664</v>
      </c>
      <c r="CW45" s="22">
        <f t="shared" si="13"/>
        <v>354.10573601815037</v>
      </c>
      <c r="CX45" s="62">
        <f t="shared" si="14"/>
        <v>638.2085892662169</v>
      </c>
      <c r="CY45" s="62">
        <f ca="1">AVERAGE(OFFSET($CX$3,0,0,'Données projet'!$E$13+1,1))-AVERAGE(OFFSET($H$3,0,0,'Données projet'!$E$13+1,1))</f>
        <v>293.03320024876842</v>
      </c>
      <c r="CZ45" s="62">
        <f t="shared" si="42"/>
        <v>287.49994652707915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6.4059860550214717E-2</v>
      </c>
      <c r="DI45" s="24">
        <f t="shared" si="15"/>
        <v>6.4059860550214717E-2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</v>
      </c>
      <c r="DO45" s="13">
        <f>IF('Données projet'!$A$166&gt;35,DO44+DN45-DW44,IF(A45&lt;'Données projet'!$A$166,$DL$205^A45,IF(A45='Données projet'!$A$166,'Données projet'!$B$166,DO44+DN45-DW44)))</f>
        <v>291.99999999999989</v>
      </c>
      <c r="DP45" s="18">
        <f>DO45*VLOOKUP('Données projet'!$B$14,Paramètres!$A$1:$I$89,3,0)*VLOOKUP('Données projet'!$B$14,Paramètres!$A$1:$I$89,5,0)</f>
        <v>159.43199999999993</v>
      </c>
      <c r="DQ45" s="14">
        <f t="shared" si="43"/>
        <v>40.714374916553687</v>
      </c>
      <c r="DR45" s="22">
        <f t="shared" si="16"/>
        <v>348.58826964633084</v>
      </c>
      <c r="DS45" s="62">
        <f t="shared" si="17"/>
        <v>632.69112289439749</v>
      </c>
      <c r="DT45" s="62">
        <f ca="1">AVERAGE(OFFSET($DS$3,0,0,'Données projet'!$E$14+1,1))-AVERAGE(OFFSET($H$3,0,0,'Données projet'!$E$14+1,1))</f>
        <v>253.0312006976271</v>
      </c>
      <c r="DU45" s="62">
        <f t="shared" si="44"/>
        <v>365.93937083714866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5.266792856092998</v>
      </c>
      <c r="EB45" s="23">
        <f>EXP(-LN(2)/25)*EB44+(1-EXP(-LN(2)/25))/(LN(2)/25)*Calculateur!DW45*Calculateur!DY45*VLOOKUP('Données projet'!$B$14,Paramètres!$A$1:$I$89,3,0)*0.475*44/12</f>
        <v>6.8852276576242062</v>
      </c>
      <c r="EC45" s="23">
        <f>EXP(-LN(2)/2)*EC44+(1-EXP(-LN(2)/2))/(LN(2)/2)*DW45*DZ45*VLOOKUP('Données projet'!$B$14,Paramètres!$A$1:$I$89,3,0)*0.475*44/12</f>
        <v>0.27322435381664628</v>
      </c>
      <c r="ED45" s="24">
        <f t="shared" si="18"/>
        <v>12.42524486753385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1.05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3.85</v>
      </c>
      <c r="H46" s="70">
        <f t="shared" si="1"/>
        <v>241.26666666666665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21.939999999999998</v>
      </c>
      <c r="N46" s="14">
        <f>IF('Données projet'!$A$36&gt;35,N45+M46-V45,IF(A46&lt;'Données projet'!$A$36,$K$205^A46,IF(A46='Données projet'!$A$36,'Données projet'!$B$36,N45+M46-V45)))</f>
        <v>372.19</v>
      </c>
      <c r="O46" s="14">
        <f>N46*VLOOKUP('Données projet'!$B$9,Paramètres!$A$1:$I$89,3,0)*VLOOKUP('Données projet'!$B$9,Paramètres!$A$1:$I$89,5,0)</f>
        <v>208.05420999999998</v>
      </c>
      <c r="P46" s="14">
        <f t="shared" si="33"/>
        <v>51.510151537098693</v>
      </c>
      <c r="Q46" s="22">
        <f t="shared" si="53"/>
        <v>452.07459634378012</v>
      </c>
      <c r="R46" s="62">
        <f t="shared" si="0"/>
        <v>736.33757778506424</v>
      </c>
      <c r="S46" s="62">
        <f ca="1">AVERAGE(OFFSET($R$3,0,0,'Données projet'!$E$9+1,1))-AVERAGE(OFFSET($H$3,0,0,'Données projet'!$E$9+1,1))</f>
        <v>393.3487617557011</v>
      </c>
      <c r="T46" s="62">
        <f t="shared" si="34"/>
        <v>360.09400083977084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4.0976129167273081</v>
      </c>
      <c r="AA46" s="23">
        <f>EXP(-LN(2)/25)*AA45+(1-EXP(-LN(2)/25))/(LN(2)/25)*Calculateur!V46*Calculateur!X46*VLOOKUP('Données projet'!$B$9,Paramètres!$A$1:$I$89,3,0)*0.475*44/12</f>
        <v>6.4752936572476303</v>
      </c>
      <c r="AB46" s="23">
        <f>EXP(-LN(2)/2)*AB45+(1-EXP(-LN(2)/2))/(LN(2)/2)*V46*Y46*VLOOKUP('Données projet'!$B$9,Paramètres!$A$1:$I$89,3,0)*0.475*44/12</f>
        <v>0.15780171833802351</v>
      </c>
      <c r="AC46" s="24">
        <f t="shared" si="3"/>
        <v>10.730708292312961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8.1999999999999993</v>
      </c>
      <c r="AI46" s="14">
        <f>IF('Données projet'!$A$62&gt;35,AI45+AH46-AQ45,IF(A46&lt;'Données projet'!$A$62,$AF$205^A46,IF(A46='Données projet'!$A$62,'Données projet'!$B$62,AI45+AH46-AQ45)))</f>
        <v>188.60000000000002</v>
      </c>
      <c r="AJ46" s="14">
        <f>AI46*VLOOKUP('Données projet'!$B$10,Paramètres!$A$1:$I$89,3,0)*VLOOKUP('Données projet'!$B$10,Paramètres!$A$1:$I$89,5,0)</f>
        <v>138.28152000000003</v>
      </c>
      <c r="AK46" s="14">
        <f t="shared" si="35"/>
        <v>35.903043322174675</v>
      </c>
      <c r="AL46" s="22">
        <f t="shared" si="4"/>
        <v>303.37144778612094</v>
      </c>
      <c r="AM46" s="62">
        <f t="shared" si="5"/>
        <v>587.63442922740501</v>
      </c>
      <c r="AN46" s="62">
        <f ca="1">AVERAGE(OFFSET($AM$3,0,0,'Données projet'!$E$10+1,1))-AVERAGE(OFFSET($H$3,0,0,'Données projet'!$E$10+1,1))</f>
        <v>283.28499080043167</v>
      </c>
      <c r="AO46" s="62">
        <f t="shared" si="36"/>
        <v>278.56966286485783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1.5087417489147252</v>
      </c>
      <c r="AV46" s="23">
        <f>EXP(-LN(2)/25)*AV45+(1-EXP(-LN(2)/25))/(LN(2)/25)*Calculateur!AQ46*Calculateur!AS46*VLOOKUP('Données projet'!$B$10,Paramètres!$A$1:$I$89,3,0)*0.475*44/12</f>
        <v>6.0767104482205667</v>
      </c>
      <c r="AW46" s="23">
        <f>EXP(-LN(2)/2)*AW45+(1-EXP(-LN(2)/2))/(LN(2)/2)*AQ46*AT46*VLOOKUP('Données projet'!$B$10,Paramètres!$A$1:$I$89,3,0)*0.475*44/12</f>
        <v>0.14329545104950805</v>
      </c>
      <c r="AX46" s="23">
        <f t="shared" si="6"/>
        <v>7.7287476481848003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188.60000000000002</v>
      </c>
      <c r="BE46" s="14">
        <f>BD46*VLOOKUP('Données projet'!$B$11,Paramètres!$A$1:$I$89,3,0)*VLOOKUP('Données projet'!$B$11,Paramètres!$A$1:$I$89,5,0)</f>
        <v>150.05016000000001</v>
      </c>
      <c r="BF46" s="14">
        <f t="shared" si="37"/>
        <v>38.589984439024605</v>
      </c>
      <c r="BG46" s="22">
        <f t="shared" si="7"/>
        <v>328.54825156463448</v>
      </c>
      <c r="BH46" s="62">
        <f t="shared" si="8"/>
        <v>612.81123300591867</v>
      </c>
      <c r="BI46" s="62">
        <f ca="1">AVERAGE(OFFSET($BH$3,0,0,'Données projet'!$E$11+1,1))-AVERAGE(OFFSET($H$3,0,0,'Données projet'!$E$11+1,1))</f>
        <v>303.91914071195419</v>
      </c>
      <c r="BJ46" s="62">
        <f t="shared" si="38"/>
        <v>298.30050362688769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1.8132464069691228</v>
      </c>
      <c r="BR46" s="23">
        <f>EXP(-LN(2)/2)*BR45+(1-EXP(-LN(2)/2))/(LN(2)/2)*BL46*BO46*VLOOKUP('Données projet'!$B$11,Paramètres!$A$1:$I$89,3,0)*0.475*44/12</f>
        <v>0.28122329660743911</v>
      </c>
      <c r="BS46" s="24">
        <f t="shared" si="9"/>
        <v>2.094469703576562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163.94976</v>
      </c>
      <c r="CA46" s="14">
        <f t="shared" si="39"/>
        <v>41.732126457893308</v>
      </c>
      <c r="CB46" s="22">
        <f t="shared" si="10"/>
        <v>358.22928558083089</v>
      </c>
      <c r="CC46" s="62">
        <f t="shared" si="11"/>
        <v>642.49226702211502</v>
      </c>
      <c r="CD46" s="62">
        <f ca="1">AVERAGE(OFFSET($CC$3,0,0,'Données projet'!$E$12+1,1))-AVERAGE(OFFSET($H$3,0,0,'Données projet'!$E$12+1,1))</f>
        <v>446.15737983598251</v>
      </c>
      <c r="CE46" s="62">
        <f t="shared" si="40"/>
        <v>282.2299715529382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218.85714285714278</v>
      </c>
      <c r="CU46" s="18">
        <f>CT46*VLOOKUP('Données projet'!$B$13,Paramètres!$A$1:$I$89,3,0)*VLOOKUP('Données projet'!$B$13,Paramètres!$A$1:$I$89,5,0)</f>
        <v>170.70857142857136</v>
      </c>
      <c r="CV46" s="14">
        <f t="shared" si="41"/>
        <v>43.248681576985376</v>
      </c>
      <c r="CW46" s="22">
        <f t="shared" si="13"/>
        <v>372.64221565134466</v>
      </c>
      <c r="CX46" s="62">
        <f t="shared" si="14"/>
        <v>656.90519709262878</v>
      </c>
      <c r="CY46" s="62">
        <f ca="1">AVERAGE(OFFSET($CX$3,0,0,'Données projet'!$E$13+1,1))-AVERAGE(OFFSET($H$3,0,0,'Données projet'!$E$13+1,1))</f>
        <v>293.03320024876842</v>
      </c>
      <c r="CZ46" s="62">
        <f t="shared" si="42"/>
        <v>287.49994652707915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4.5297161796921427E-2</v>
      </c>
      <c r="DI46" s="24">
        <f t="shared" si="15"/>
        <v>4.5297161796921427E-2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</v>
      </c>
      <c r="DO46" s="13">
        <f>IF('Données projet'!$A$166&gt;35,DO45+DN46-DW45,IF(A46&lt;'Données projet'!$A$166,$DL$205^A46,IF(A46='Données projet'!$A$166,'Données projet'!$B$166,DO45+DN46-DW45)))</f>
        <v>297.99999999999989</v>
      </c>
      <c r="DP46" s="18">
        <f>DO46*VLOOKUP('Données projet'!$B$14,Paramètres!$A$1:$I$89,3,0)*VLOOKUP('Données projet'!$B$14,Paramètres!$A$1:$I$89,5,0)</f>
        <v>162.70799999999994</v>
      </c>
      <c r="DQ46" s="14">
        <f t="shared" si="43"/>
        <v>41.452714465110219</v>
      </c>
      <c r="DR46" s="22">
        <f t="shared" si="16"/>
        <v>355.57991102673355</v>
      </c>
      <c r="DS46" s="62">
        <f t="shared" si="17"/>
        <v>639.84289246801768</v>
      </c>
      <c r="DT46" s="62">
        <f ca="1">AVERAGE(OFFSET($DS$3,0,0,'Données projet'!$E$14+1,1))-AVERAGE(OFFSET($H$3,0,0,'Données projet'!$E$14+1,1))</f>
        <v>253.0312006976271</v>
      </c>
      <c r="DU46" s="62">
        <f t="shared" si="44"/>
        <v>365.93937083714866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5.1635142606114561</v>
      </c>
      <c r="EB46" s="23">
        <f>EXP(-LN(2)/25)*EB45+(1-EXP(-LN(2)/25))/(LN(2)/25)*Calculateur!DW46*Calculateur!DY46*VLOOKUP('Données projet'!$B$14,Paramètres!$A$1:$I$89,3,0)*0.475*44/12</f>
        <v>6.6969507452480865</v>
      </c>
      <c r="EC46" s="23">
        <f>EXP(-LN(2)/2)*EC45+(1-EXP(-LN(2)/2))/(LN(2)/2)*DW46*DZ46*VLOOKUP('Données projet'!$B$14,Paramètres!$A$1:$I$89,3,0)*0.475*44/12</f>
        <v>0.19319879336906315</v>
      </c>
      <c r="ED46" s="24">
        <f t="shared" si="18"/>
        <v>12.053663799228605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1.05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3.85</v>
      </c>
      <c r="H47" s="70">
        <f t="shared" si="1"/>
        <v>241.26666666666665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21.939999999999998</v>
      </c>
      <c r="N47" s="14">
        <f>IF('Données projet'!$A$36&gt;35,N46+M47-V46,IF(A47&lt;'Données projet'!$A$36,$K$205^A47,IF(A47='Données projet'!$A$36,'Données projet'!$B$36,N46+M47-V46)))</f>
        <v>394.13</v>
      </c>
      <c r="O47" s="14">
        <f>N47*VLOOKUP('Données projet'!$B$9,Paramètres!$A$1:$I$89,3,0)*VLOOKUP('Données projet'!$B$9,Paramètres!$A$1:$I$89,5,0)</f>
        <v>220.31867</v>
      </c>
      <c r="P47" s="14">
        <f t="shared" si="33"/>
        <v>54.184141234835565</v>
      </c>
      <c r="Q47" s="22">
        <f t="shared" si="53"/>
        <v>478.09239623400526</v>
      </c>
      <c r="R47" s="62">
        <f t="shared" si="0"/>
        <v>762.51272800234756</v>
      </c>
      <c r="S47" s="62">
        <f ca="1">AVERAGE(OFFSET($R$3,0,0,'Données projet'!$E$9+1,1))-AVERAGE(OFFSET($H$3,0,0,'Données projet'!$E$9+1,1))</f>
        <v>393.3487617557011</v>
      </c>
      <c r="T47" s="62">
        <f t="shared" si="34"/>
        <v>360.09400083977084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4.0172612267273795</v>
      </c>
      <c r="AA47" s="23">
        <f>EXP(-LN(2)/25)*AA46+(1-EXP(-LN(2)/25))/(LN(2)/25)*Calculateur!V47*Calculateur!X47*VLOOKUP('Données projet'!$B$9,Paramètres!$A$1:$I$89,3,0)*0.475*44/12</f>
        <v>6.2982264116693001</v>
      </c>
      <c r="AB47" s="23">
        <f>EXP(-LN(2)/2)*AB46+(1-EXP(-LN(2)/2))/(LN(2)/2)*V47*Y47*VLOOKUP('Données projet'!$B$9,Paramètres!$A$1:$I$89,3,0)*0.475*44/12</f>
        <v>0.11158266511970599</v>
      </c>
      <c r="AC47" s="24">
        <f t="shared" si="3"/>
        <v>10.427070303516384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8.1999999999999993</v>
      </c>
      <c r="AI47" s="14">
        <f>IF('Données projet'!$A$62&gt;35,AI46+AH47-AQ46,IF(A47&lt;'Données projet'!$A$62,$AF$205^A47,IF(A47='Données projet'!$A$62,'Données projet'!$B$62,AI46+AH47-AQ46)))</f>
        <v>196.8</v>
      </c>
      <c r="AJ47" s="14">
        <f>AI47*VLOOKUP('Données projet'!$B$10,Paramètres!$A$1:$I$89,3,0)*VLOOKUP('Données projet'!$B$10,Paramètres!$A$1:$I$89,5,0)</f>
        <v>144.29375999999999</v>
      </c>
      <c r="AK47" s="14">
        <f t="shared" si="35"/>
        <v>37.278909560653958</v>
      </c>
      <c r="AL47" s="22">
        <f t="shared" si="4"/>
        <v>316.23906615147223</v>
      </c>
      <c r="AM47" s="62">
        <f t="shared" si="5"/>
        <v>600.65939791981441</v>
      </c>
      <c r="AN47" s="62">
        <f ca="1">AVERAGE(OFFSET($AM$3,0,0,'Données projet'!$E$10+1,1))-AVERAGE(OFFSET($H$3,0,0,'Données projet'!$E$10+1,1))</f>
        <v>283.28499080043167</v>
      </c>
      <c r="AO47" s="62">
        <f t="shared" si="36"/>
        <v>278.56966286485783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1.479156243460108</v>
      </c>
      <c r="AV47" s="23">
        <f>EXP(-LN(2)/25)*AV46+(1-EXP(-LN(2)/25))/(LN(2)/25)*Calculateur!AQ47*Calculateur!AS47*VLOOKUP('Données projet'!$B$10,Paramètres!$A$1:$I$89,3,0)*0.475*44/12</f>
        <v>5.9105424814536613</v>
      </c>
      <c r="AW47" s="23">
        <f>EXP(-LN(2)/2)*AW46+(1-EXP(-LN(2)/2))/(LN(2)/2)*AQ47*AT47*VLOOKUP('Données projet'!$B$10,Paramètres!$A$1:$I$89,3,0)*0.475*44/12</f>
        <v>0.10132518515029212</v>
      </c>
      <c r="AX47" s="23">
        <f t="shared" si="6"/>
        <v>7.4910239100640617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196.8</v>
      </c>
      <c r="BE47" s="14">
        <f>BD47*VLOOKUP('Données projet'!$B$11,Paramètres!$A$1:$I$89,3,0)*VLOOKUP('Données projet'!$B$11,Paramètres!$A$1:$I$89,5,0)</f>
        <v>156.57408000000001</v>
      </c>
      <c r="BF47" s="14">
        <f t="shared" si="37"/>
        <v>40.068818872547467</v>
      </c>
      <c r="BG47" s="22">
        <f t="shared" si="7"/>
        <v>342.48638220302018</v>
      </c>
      <c r="BH47" s="62">
        <f t="shared" si="8"/>
        <v>626.90671397136248</v>
      </c>
      <c r="BI47" s="62">
        <f ca="1">AVERAGE(OFFSET($BH$3,0,0,'Données projet'!$E$11+1,1))-AVERAGE(OFFSET($H$3,0,0,'Données projet'!$E$11+1,1))</f>
        <v>303.91914071195419</v>
      </c>
      <c r="BJ47" s="62">
        <f t="shared" si="38"/>
        <v>298.30050362688769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1.7636630886160678</v>
      </c>
      <c r="BR47" s="23">
        <f>EXP(-LN(2)/2)*BR46+(1-EXP(-LN(2)/2))/(LN(2)/2)*BL47*BO47*VLOOKUP('Données projet'!$B$11,Paramètres!$A$1:$I$89,3,0)*0.475*44/12</f>
        <v>0.198854900058756</v>
      </c>
      <c r="BS47" s="24">
        <f t="shared" si="9"/>
        <v>1.9625179886748239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174.26447999999999</v>
      </c>
      <c r="CA47" s="14">
        <f t="shared" si="39"/>
        <v>44.043743683739521</v>
      </c>
      <c r="CB47" s="22">
        <f t="shared" si="10"/>
        <v>380.22015624917964</v>
      </c>
      <c r="CC47" s="62">
        <f t="shared" si="11"/>
        <v>664.64048801752188</v>
      </c>
      <c r="CD47" s="62">
        <f ca="1">AVERAGE(OFFSET($CC$3,0,0,'Données projet'!$E$12+1,1))-AVERAGE(OFFSET($H$3,0,0,'Données projet'!$E$12+1,1))</f>
        <v>446.15737983598251</v>
      </c>
      <c r="CE47" s="62">
        <f t="shared" si="40"/>
        <v>282.2299715529382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229.99999999999991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675.5789342683529</v>
      </c>
      <c r="CY47" s="62">
        <f ca="1">AVERAGE(OFFSET($CX$3,0,0,'Données projet'!$E$13+1,1))-AVERAGE(OFFSET($H$3,0,0,'Données projet'!$E$13+1,1))</f>
        <v>293.03320024876842</v>
      </c>
      <c r="CZ47" s="62">
        <f t="shared" si="42"/>
        <v>287.49994652707915</v>
      </c>
      <c r="DA47" s="16">
        <f>IF(ISNA(VLOOKUP(A47,'Données projet'!$A$139:$I$159,3,0)),0,VLOOKUP(A47,'Données projet'!$A$139:$I$159,3,0))</f>
        <v>6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3.2029930275107359E-2</v>
      </c>
      <c r="DI47" s="24">
        <f t="shared" si="15"/>
        <v>3.2029930275107359E-2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</v>
      </c>
      <c r="DO47" s="13">
        <f>IF('Données projet'!$A$166&gt;35,DO46+DN47-DW46,IF(A47&lt;'Données projet'!$A$166,$DL$205^A47,IF(A47='Données projet'!$A$166,'Données projet'!$B$166,DO46+DN47-DW46)))</f>
        <v>303.99999999999989</v>
      </c>
      <c r="DP47" s="18">
        <f>DO47*VLOOKUP('Données projet'!$B$14,Paramètres!$A$1:$I$89,3,0)*VLOOKUP('Données projet'!$B$14,Paramètres!$A$1:$I$89,5,0)</f>
        <v>165.98399999999995</v>
      </c>
      <c r="DQ47" s="14">
        <f t="shared" si="43"/>
        <v>42.189325525922243</v>
      </c>
      <c r="DR47" s="22">
        <f t="shared" si="16"/>
        <v>362.56854195764782</v>
      </c>
      <c r="DS47" s="62">
        <f t="shared" si="17"/>
        <v>646.98887372599006</v>
      </c>
      <c r="DT47" s="62">
        <f ca="1">AVERAGE(OFFSET($DS$3,0,0,'Données projet'!$E$14+1,1))-AVERAGE(OFFSET($H$3,0,0,'Données projet'!$E$14+1,1))</f>
        <v>253.0312006976271</v>
      </c>
      <c r="DU47" s="62">
        <f t="shared" si="44"/>
        <v>365.93937083714866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5.0622608953935835</v>
      </c>
      <c r="EB47" s="23">
        <f>EXP(-LN(2)/25)*EB46+(1-EXP(-LN(2)/25))/(LN(2)/25)*Calculateur!DW47*Calculateur!DY47*VLOOKUP('Données projet'!$B$14,Paramètres!$A$1:$I$89,3,0)*0.475*44/12</f>
        <v>6.5138222749419441</v>
      </c>
      <c r="EC47" s="23">
        <f>EXP(-LN(2)/2)*EC46+(1-EXP(-LN(2)/2))/(LN(2)/2)*DW47*DZ47*VLOOKUP('Données projet'!$B$14,Paramètres!$A$1:$I$89,3,0)*0.475*44/12</f>
        <v>0.13661217690832314</v>
      </c>
      <c r="ED47" s="24">
        <f t="shared" si="18"/>
        <v>11.712695347243852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1.05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3.85</v>
      </c>
      <c r="H48" s="70">
        <f t="shared" si="1"/>
        <v>241.26666666666665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21.939999999999998</v>
      </c>
      <c r="N48" s="14">
        <f>IF('Données projet'!$A$36&gt;35,N47+M48-V47,IF(A48&lt;'Données projet'!$A$36,$K$205^A48,IF(A48='Données projet'!$A$36,'Données projet'!$B$36,N47+M48-V47)))</f>
        <v>416.07</v>
      </c>
      <c r="O48" s="14">
        <f>N48*VLOOKUP('Données projet'!$B$9,Paramètres!$A$1:$I$89,3,0)*VLOOKUP('Données projet'!$B$9,Paramètres!$A$1:$I$89,5,0)</f>
        <v>232.58313000000001</v>
      </c>
      <c r="P48" s="14">
        <f t="shared" si="33"/>
        <v>56.840851065639789</v>
      </c>
      <c r="Q48" s="22">
        <f t="shared" si="53"/>
        <v>504.08010035598926</v>
      </c>
      <c r="R48" s="62">
        <f t="shared" si="0"/>
        <v>788.65505277499778</v>
      </c>
      <c r="S48" s="62">
        <f ca="1">AVERAGE(OFFSET($R$3,0,0,'Données projet'!$E$9+1,1))-AVERAGE(OFFSET($H$3,0,0,'Données projet'!$E$9+1,1))</f>
        <v>393.3487617557011</v>
      </c>
      <c r="T48" s="62">
        <f t="shared" si="34"/>
        <v>360.09400083977084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3.9384851843586581</v>
      </c>
      <c r="AA48" s="23">
        <f>EXP(-LN(2)/25)*AA47+(1-EXP(-LN(2)/25))/(LN(2)/25)*Calculateur!V48*Calculateur!X48*VLOOKUP('Données projet'!$B$9,Paramètres!$A$1:$I$89,3,0)*0.475*44/12</f>
        <v>6.1260010792328705</v>
      </c>
      <c r="AB48" s="23">
        <f>EXP(-LN(2)/2)*AB47+(1-EXP(-LN(2)/2))/(LN(2)/2)*V48*Y48*VLOOKUP('Données projet'!$B$9,Paramètres!$A$1:$I$89,3,0)*0.475*44/12</f>
        <v>7.8900859169011753E-2</v>
      </c>
      <c r="AC48" s="24">
        <f t="shared" si="3"/>
        <v>10.143387122760542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205</v>
      </c>
      <c r="AG48" s="13">
        <f>VLOOKUP(A48,'Données projet'!$A$61:$I$81,9,0)</f>
        <v>8.1999999999999993</v>
      </c>
      <c r="AH48" s="13">
        <f t="array" ref="AH48">INDEX(AG:AG,MIN(IF(ISNUMBER(AG48:AG244),ROW(AG48:AG244),"")))</f>
        <v>8.1999999999999993</v>
      </c>
      <c r="AI48" s="14">
        <f>IF('Données projet'!$A$62&gt;35,AI47+AH48-AQ47,IF(A48&lt;'Données projet'!$A$62,$AF$205^A48,IF(A48='Données projet'!$A$62,'Données projet'!$B$62,AI47+AH48-AQ47)))</f>
        <v>205</v>
      </c>
      <c r="AJ48" s="14">
        <f>AI48*VLOOKUP('Données projet'!$B$10,Paramètres!$A$1:$I$89,3,0)*VLOOKUP('Données projet'!$B$10,Paramètres!$A$1:$I$89,5,0)</f>
        <v>150.30599999999998</v>
      </c>
      <c r="AK48" s="14">
        <f t="shared" si="35"/>
        <v>38.648116968856677</v>
      </c>
      <c r="AL48" s="22">
        <f t="shared" si="4"/>
        <v>329.09508705409201</v>
      </c>
      <c r="AM48" s="62">
        <f t="shared" si="5"/>
        <v>613.67003947310059</v>
      </c>
      <c r="AN48" s="62">
        <f ca="1">AVERAGE(OFFSET($AM$3,0,0,'Données projet'!$E$10+1,1))-AVERAGE(OFFSET($H$3,0,0,'Données projet'!$E$10+1,1))</f>
        <v>283.28499080043167</v>
      </c>
      <c r="AO48" s="62">
        <f t="shared" si="36"/>
        <v>278.56966286485783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22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1.4501508917220793</v>
      </c>
      <c r="AV48" s="23">
        <f>EXP(-LN(2)/25)*AV47+(1-EXP(-LN(2)/25))/(LN(2)/25)*Calculateur!AQ48*Calculateur!AS48*VLOOKUP('Données projet'!$B$10,Paramètres!$A$1:$I$89,3,0)*0.475*44/12</f>
        <v>5.7489183864763902</v>
      </c>
      <c r="AW48" s="23">
        <f>EXP(-LN(2)/2)*AW47+(1-EXP(-LN(2)/2))/(LN(2)/2)*AQ48*AT48*VLOOKUP('Données projet'!$B$10,Paramètres!$A$1:$I$89,3,0)*0.475*44/12</f>
        <v>7.1647725524754027E-2</v>
      </c>
      <c r="AX48" s="23">
        <f t="shared" si="6"/>
        <v>7.2707170037232229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205</v>
      </c>
      <c r="BE48" s="14">
        <f>BD48*VLOOKUP('Données projet'!$B$11,Paramètres!$A$1:$I$89,3,0)*VLOOKUP('Données projet'!$B$11,Paramètres!$A$1:$I$89,5,0)</f>
        <v>163.09800000000001</v>
      </c>
      <c r="BF48" s="14">
        <f t="shared" si="37"/>
        <v>41.540496136845142</v>
      </c>
      <c r="BG48" s="22">
        <f t="shared" si="7"/>
        <v>356.41204743833867</v>
      </c>
      <c r="BH48" s="62">
        <f t="shared" si="8"/>
        <v>640.9869998573472</v>
      </c>
      <c r="BI48" s="62">
        <f ca="1">AVERAGE(OFFSET($BH$3,0,0,'Données projet'!$E$11+1,1))-AVERAGE(OFFSET($H$3,0,0,'Données projet'!$E$11+1,1))</f>
        <v>303.91914071195419</v>
      </c>
      <c r="BJ48" s="62">
        <f t="shared" si="38"/>
        <v>298.30050362688769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1.7154356287108505</v>
      </c>
      <c r="BR48" s="23">
        <f>EXP(-LN(2)/2)*BR47+(1-EXP(-LN(2)/2))/(LN(2)/2)*BL48*BO48*VLOOKUP('Données projet'!$B$11,Paramètres!$A$1:$I$89,3,0)*0.475*44/12</f>
        <v>0.14061164830371956</v>
      </c>
      <c r="BS48" s="24">
        <f t="shared" si="9"/>
        <v>1.8560472770145702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184.57920000000001</v>
      </c>
      <c r="CA48" s="14">
        <f t="shared" si="39"/>
        <v>46.339479465836661</v>
      </c>
      <c r="CB48" s="22">
        <f t="shared" si="10"/>
        <v>402.18336673633218</v>
      </c>
      <c r="CC48" s="62">
        <f t="shared" si="11"/>
        <v>686.7583191553407</v>
      </c>
      <c r="CD48" s="62">
        <f ca="1">AVERAGE(OFFSET($CC$3,0,0,'Données projet'!$E$12+1,1))-AVERAGE(OFFSET($H$3,0,0,'Données projet'!$E$12+1,1))</f>
        <v>446.15737983598251</v>
      </c>
      <c r="CE48" s="62">
        <f t="shared" si="40"/>
        <v>282.2299715529382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197.37499999999991</v>
      </c>
      <c r="CU48" s="18">
        <f>CT48*VLOOKUP('Données projet'!$B$13,Paramètres!$A$1:$I$89,3,0)*VLOOKUP('Données projet'!$B$13,Paramètres!$A$1:$I$89,5,0)</f>
        <v>153.95249999999993</v>
      </c>
      <c r="CV48" s="14">
        <f t="shared" si="41"/>
        <v>39.475441267837361</v>
      </c>
      <c r="CW48" s="22">
        <f t="shared" si="13"/>
        <v>336.88699770814992</v>
      </c>
      <c r="CX48" s="62">
        <f t="shared" si="14"/>
        <v>621.46195012715839</v>
      </c>
      <c r="CY48" s="62">
        <f ca="1">AVERAGE(OFFSET($CX$3,0,0,'Données projet'!$E$13+1,1))-AVERAGE(OFFSET($H$3,0,0,'Données projet'!$E$13+1,1))</f>
        <v>293.03320024876842</v>
      </c>
      <c r="CZ48" s="62">
        <f t="shared" si="42"/>
        <v>287.49994652707915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2.2648580898460714E-2</v>
      </c>
      <c r="DI48" s="24">
        <f t="shared" si="15"/>
        <v>2.2648580898460714E-2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310</v>
      </c>
      <c r="DM48" s="13">
        <f>VLOOKUP(A48,'Données projet'!$A$165:$I$185,9,0)</f>
        <v>6</v>
      </c>
      <c r="DN48" s="13">
        <f t="array" ref="DN48">INDEX(DM:DM,MIN(IF(ISNUMBER(DM48:DM244),ROW(DM48:DM244),"")))</f>
        <v>6</v>
      </c>
      <c r="DO48" s="13">
        <f>IF('Données projet'!$A$166&gt;35,DO47+DN48-DW47,IF(A48&lt;'Données projet'!$A$166,$DL$205^A48,IF(A48='Données projet'!$A$166,'Données projet'!$B$166,DO47+DN48-DW47)))</f>
        <v>309.99999999999989</v>
      </c>
      <c r="DP48" s="18">
        <f>DO48*VLOOKUP('Données projet'!$B$14,Paramètres!$A$1:$I$89,3,0)*VLOOKUP('Données projet'!$B$14,Paramètres!$A$1:$I$89,5,0)</f>
        <v>169.25999999999996</v>
      </c>
      <c r="DQ48" s="14">
        <f t="shared" si="43"/>
        <v>42.924246146122272</v>
      </c>
      <c r="DR48" s="22">
        <f t="shared" si="16"/>
        <v>369.55422870449621</v>
      </c>
      <c r="DS48" s="62">
        <f t="shared" si="17"/>
        <v>654.12918112350474</v>
      </c>
      <c r="DT48" s="62">
        <f ca="1">AVERAGE(OFFSET($DS$3,0,0,'Données projet'!$E$14+1,1))-AVERAGE(OFFSET($H$3,0,0,'Données projet'!$E$14+1,1))</f>
        <v>253.0312006976271</v>
      </c>
      <c r="DU48" s="62">
        <f t="shared" si="44"/>
        <v>365.93937083714866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16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4.9629930469091788</v>
      </c>
      <c r="EB48" s="23">
        <f>EXP(-LN(2)/25)*EB47+(1-EXP(-LN(2)/25))/(LN(2)/25)*Calculateur!DW48*Calculateur!DY48*VLOOKUP('Données projet'!$B$14,Paramètres!$A$1:$I$89,3,0)*0.475*44/12</f>
        <v>6.3357014622866306</v>
      </c>
      <c r="EC48" s="23">
        <f>EXP(-LN(2)/2)*EC47+(1-EXP(-LN(2)/2))/(LN(2)/2)*DW48*DZ48*VLOOKUP('Données projet'!$B$14,Paramètres!$A$1:$I$89,3,0)*0.475*44/12</f>
        <v>9.6599396684531574E-2</v>
      </c>
      <c r="ED48" s="24">
        <f t="shared" si="18"/>
        <v>11.39529390588034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1.05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3.85</v>
      </c>
      <c r="H49" s="70">
        <f t="shared" si="1"/>
        <v>241.26666666666665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21.939999999999998</v>
      </c>
      <c r="N49" s="14">
        <f>IF('Données projet'!$A$36&gt;35,N48+M49-V48,IF(A49&lt;'Données projet'!$A$36,$K$205^A49,IF(A49='Données projet'!$A$36,'Données projet'!$B$36,N48+M49-V48)))</f>
        <v>438.01</v>
      </c>
      <c r="O49" s="14">
        <f>N49*VLOOKUP('Données projet'!$B$9,Paramètres!$A$1:$I$89,3,0)*VLOOKUP('Données projet'!$B$9,Paramètres!$A$1:$I$89,5,0)</f>
        <v>244.84759000000003</v>
      </c>
      <c r="P49" s="14">
        <f t="shared" si="33"/>
        <v>59.481296135283444</v>
      </c>
      <c r="Q49" s="22">
        <f t="shared" si="53"/>
        <v>530.03947668561875</v>
      </c>
      <c r="R49" s="62">
        <f t="shared" si="0"/>
        <v>814.76636743268455</v>
      </c>
      <c r="S49" s="62">
        <f ca="1">AVERAGE(OFFSET($R$3,0,0,'Données projet'!$E$9+1,1))-AVERAGE(OFFSET($H$3,0,0,'Données projet'!$E$9+1,1))</f>
        <v>393.3487617557011</v>
      </c>
      <c r="T49" s="62">
        <f t="shared" si="34"/>
        <v>360.09400083977084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3.861253892132146</v>
      </c>
      <c r="AA49" s="23">
        <f>EXP(-LN(2)/25)*AA48+(1-EXP(-LN(2)/25))/(LN(2)/25)*Calculateur!V49*Calculateur!X49*VLOOKUP('Données projet'!$B$9,Paramètres!$A$1:$I$89,3,0)*0.475*44/12</f>
        <v>5.9584852575688521</v>
      </c>
      <c r="AB49" s="23">
        <f>EXP(-LN(2)/2)*AB48+(1-EXP(-LN(2)/2))/(LN(2)/2)*V49*Y49*VLOOKUP('Données projet'!$B$9,Paramètres!$A$1:$I$89,3,0)*0.475*44/12</f>
        <v>5.5791332559852996E-2</v>
      </c>
      <c r="AC49" s="24">
        <f t="shared" si="3"/>
        <v>9.8755304822608512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190</v>
      </c>
      <c r="AJ49" s="14">
        <f>AI49*VLOOKUP('Données projet'!$B$10,Paramètres!$A$1:$I$89,3,0)*VLOOKUP('Données projet'!$B$10,Paramètres!$A$1:$I$89,5,0)</f>
        <v>139.30799999999999</v>
      </c>
      <c r="AK49" s="14">
        <f t="shared" si="35"/>
        <v>36.138432324006359</v>
      </c>
      <c r="AL49" s="22">
        <f t="shared" si="4"/>
        <v>305.5692029643111</v>
      </c>
      <c r="AM49" s="62">
        <f t="shared" si="5"/>
        <v>590.2960937113769</v>
      </c>
      <c r="AN49" s="62">
        <f ca="1">AVERAGE(OFFSET($AM$3,0,0,'Données projet'!$E$10+1,1))-AVERAGE(OFFSET($H$3,0,0,'Données projet'!$E$10+1,1))</f>
        <v>283.28499080043167</v>
      </c>
      <c r="AO49" s="62">
        <f t="shared" si="36"/>
        <v>278.56966286485783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1.4217143172401157</v>
      </c>
      <c r="AV49" s="23">
        <f>EXP(-LN(2)/25)*AV48+(1-EXP(-LN(2)/25))/(LN(2)/25)*Calculateur!AQ49*Calculateur!AS49*VLOOKUP('Données projet'!$B$10,Paramètres!$A$1:$I$89,3,0)*0.475*44/12</f>
        <v>5.5917139108757148</v>
      </c>
      <c r="AW49" s="23">
        <f>EXP(-LN(2)/2)*AW48+(1-EXP(-LN(2)/2))/(LN(2)/2)*AQ49*AT49*VLOOKUP('Données projet'!$B$10,Paramètres!$A$1:$I$89,3,0)*0.475*44/12</f>
        <v>5.0662592575146062E-2</v>
      </c>
      <c r="AX49" s="23">
        <f t="shared" si="6"/>
        <v>7.0640908206909767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190</v>
      </c>
      <c r="BE49" s="14">
        <f>BD49*VLOOKUP('Données projet'!$B$11,Paramètres!$A$1:$I$89,3,0)*VLOOKUP('Données projet'!$B$11,Paramètres!$A$1:$I$89,5,0)</f>
        <v>151.16400000000002</v>
      </c>
      <c r="BF49" s="14">
        <f t="shared" si="37"/>
        <v>38.84298967415998</v>
      </c>
      <c r="BG49" s="22">
        <f t="shared" si="7"/>
        <v>330.92884034916193</v>
      </c>
      <c r="BH49" s="62">
        <f t="shared" si="8"/>
        <v>615.65573109622767</v>
      </c>
      <c r="BI49" s="62">
        <f ca="1">AVERAGE(OFFSET($BH$3,0,0,'Données projet'!$E$11+1,1))-AVERAGE(OFFSET($H$3,0,0,'Données projet'!$E$11+1,1))</f>
        <v>303.91914071195419</v>
      </c>
      <c r="BJ49" s="62">
        <f t="shared" si="38"/>
        <v>298.30050362688769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1.6685269512329133</v>
      </c>
      <c r="BR49" s="23">
        <f>EXP(-LN(2)/2)*BR48+(1-EXP(-LN(2)/2))/(LN(2)/2)*BL49*BO49*VLOOKUP('Données projet'!$B$11,Paramètres!$A$1:$I$89,3,0)*0.475*44/12</f>
        <v>9.9427450029378001E-2</v>
      </c>
      <c r="BS49" s="24">
        <f t="shared" si="9"/>
        <v>1.7679544012622912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169.19760000000002</v>
      </c>
      <c r="CA49" s="14">
        <f t="shared" si="39"/>
        <v>42.910263223432885</v>
      </c>
      <c r="CB49" s="22">
        <f t="shared" si="10"/>
        <v>369.42119511414558</v>
      </c>
      <c r="CC49" s="62">
        <f t="shared" si="11"/>
        <v>654.14808586121126</v>
      </c>
      <c r="CD49" s="62">
        <f ca="1">AVERAGE(OFFSET($CC$3,0,0,'Données projet'!$E$12+1,1))-AVERAGE(OFFSET($H$3,0,0,'Données projet'!$E$12+1,1))</f>
        <v>446.15737983598251</v>
      </c>
      <c r="CE49" s="62">
        <f t="shared" si="40"/>
        <v>282.2299715529382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207.74999999999991</v>
      </c>
      <c r="CU49" s="18">
        <f>CT49*VLOOKUP('Données projet'!$B$13,Paramètres!$A$1:$I$89,3,0)*VLOOKUP('Données projet'!$B$13,Paramètres!$A$1:$I$89,5,0)</f>
        <v>162.04499999999993</v>
      </c>
      <c r="CV49" s="14">
        <f t="shared" si="41"/>
        <v>41.303429372463391</v>
      </c>
      <c r="CW49" s="22">
        <f t="shared" si="13"/>
        <v>354.16518115704025</v>
      </c>
      <c r="CX49" s="62">
        <f t="shared" si="14"/>
        <v>638.89207190410593</v>
      </c>
      <c r="CY49" s="62">
        <f ca="1">AVERAGE(OFFSET($CX$3,0,0,'Données projet'!$E$13+1,1))-AVERAGE(OFFSET($H$3,0,0,'Données projet'!$E$13+1,1))</f>
        <v>293.03320024876842</v>
      </c>
      <c r="CZ49" s="62">
        <f t="shared" si="42"/>
        <v>287.49994652707915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1.6014965137553679E-2</v>
      </c>
      <c r="DI49" s="24">
        <f t="shared" si="15"/>
        <v>1.6014965137553679E-2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4.2</v>
      </c>
      <c r="DO49" s="13">
        <f>IF('Données projet'!$A$166&gt;35,DO48+DN49-DW48,IF(A49&lt;'Données projet'!$A$166,$DL$205^A49,IF(A49='Données projet'!$A$166,'Données projet'!$B$166,DO48+DN49-DW48)))</f>
        <v>298.19999999999987</v>
      </c>
      <c r="DP49" s="18">
        <f>DO49*VLOOKUP('Données projet'!$B$14,Paramètres!$A$1:$I$89,3,0)*VLOOKUP('Données projet'!$B$14,Paramètres!$A$1:$I$89,5,0)</f>
        <v>162.81719999999993</v>
      </c>
      <c r="DQ49" s="14">
        <f t="shared" si="43"/>
        <v>41.477295799451866</v>
      </c>
      <c r="DR49" s="22">
        <f t="shared" si="16"/>
        <v>355.81291351737855</v>
      </c>
      <c r="DS49" s="62">
        <f t="shared" si="17"/>
        <v>640.53980426444423</v>
      </c>
      <c r="DT49" s="62">
        <f ca="1">AVERAGE(OFFSET($DS$3,0,0,'Données projet'!$E$14+1,1))-AVERAGE(OFFSET($H$3,0,0,'Données projet'!$E$14+1,1))</f>
        <v>253.0312006976271</v>
      </c>
      <c r="DU49" s="62">
        <f t="shared" si="44"/>
        <v>365.93937083714866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4.865671780386144</v>
      </c>
      <c r="EB49" s="23">
        <f>EXP(-LN(2)/25)*EB48+(1-EXP(-LN(2)/25))/(LN(2)/25)*Calculateur!DW49*Calculateur!DY49*VLOOKUP('Données projet'!$B$14,Paramètres!$A$1:$I$89,3,0)*0.475*44/12</f>
        <v>6.1624513726203434</v>
      </c>
      <c r="EC49" s="23">
        <f>EXP(-LN(2)/2)*EC48+(1-EXP(-LN(2)/2))/(LN(2)/2)*DW49*DZ49*VLOOKUP('Données projet'!$B$14,Paramètres!$A$1:$I$89,3,0)*0.475*44/12</f>
        <v>6.830608845416157E-2</v>
      </c>
      <c r="ED49" s="24">
        <f t="shared" si="18"/>
        <v>11.096429241460648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1.05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3.85</v>
      </c>
      <c r="H50" s="70">
        <f t="shared" si="1"/>
        <v>241.26666666666665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21.939999999999998</v>
      </c>
      <c r="N50" s="14">
        <f>IF('Données projet'!$A$36&gt;35,N49+M50-V49,IF(A50&lt;'Données projet'!$A$36,$K$205^A50,IF(A50='Données projet'!$A$36,'Données projet'!$B$36,N49+M50-V49)))</f>
        <v>459.95</v>
      </c>
      <c r="O50" s="14">
        <f>N50*VLOOKUP('Données projet'!$B$9,Paramètres!$A$1:$I$89,3,0)*VLOOKUP('Données projet'!$B$9,Paramètres!$A$1:$I$89,5,0)</f>
        <v>257.11205000000001</v>
      </c>
      <c r="P50" s="14">
        <f t="shared" si="33"/>
        <v>62.106384111300585</v>
      </c>
      <c r="Q50" s="22">
        <f t="shared" si="53"/>
        <v>555.97210607718182</v>
      </c>
      <c r="R50" s="62">
        <f t="shared" si="0"/>
        <v>840.84829936199617</v>
      </c>
      <c r="S50" s="62">
        <f ca="1">AVERAGE(OFFSET($R$3,0,0,'Données projet'!$E$9+1,1))-AVERAGE(OFFSET($H$3,0,0,'Données projet'!$E$9+1,1))</f>
        <v>393.3487617557011</v>
      </c>
      <c r="T50" s="62">
        <f t="shared" si="34"/>
        <v>360.09400083977084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3.785537058439759</v>
      </c>
      <c r="AA50" s="23">
        <f>EXP(-LN(2)/25)*AA49+(1-EXP(-LN(2)/25))/(LN(2)/25)*Calculateur!V50*Calculateur!X50*VLOOKUP('Données projet'!$B$9,Paramètres!$A$1:$I$89,3,0)*0.475*44/12</f>
        <v>5.7955501648575103</v>
      </c>
      <c r="AB50" s="23">
        <f>EXP(-LN(2)/2)*AB49+(1-EXP(-LN(2)/2))/(LN(2)/2)*V50*Y50*VLOOKUP('Données projet'!$B$9,Paramètres!$A$1:$I$89,3,0)*0.475*44/12</f>
        <v>3.9450429584505876E-2</v>
      </c>
      <c r="AC50" s="24">
        <f t="shared" si="3"/>
        <v>9.6205376528817741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197</v>
      </c>
      <c r="AJ50" s="14">
        <f>AI50*VLOOKUP('Données projet'!$B$10,Paramètres!$A$1:$I$89,3,0)*VLOOKUP('Données projet'!$B$10,Paramètres!$A$1:$I$89,5,0)</f>
        <v>144.44039999999998</v>
      </c>
      <c r="AK50" s="14">
        <f t="shared" si="35"/>
        <v>37.312382829927081</v>
      </c>
      <c r="AL50" s="22">
        <f t="shared" si="4"/>
        <v>316.5527634287896</v>
      </c>
      <c r="AM50" s="62">
        <f t="shared" si="5"/>
        <v>601.42895671360407</v>
      </c>
      <c r="AN50" s="62">
        <f ca="1">AVERAGE(OFFSET($AM$3,0,0,'Données projet'!$E$10+1,1))-AVERAGE(OFFSET($H$3,0,0,'Données projet'!$E$10+1,1))</f>
        <v>283.28499080043167</v>
      </c>
      <c r="AO50" s="62">
        <f t="shared" si="36"/>
        <v>278.56966286485783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1.3938353666391456</v>
      </c>
      <c r="AV50" s="23">
        <f>EXP(-LN(2)/25)*AV49+(1-EXP(-LN(2)/25))/(LN(2)/25)*Calculateur!AQ50*Calculateur!AS50*VLOOKUP('Données projet'!$B$10,Paramètres!$A$1:$I$89,3,0)*0.475*44/12</f>
        <v>5.4388081999273634</v>
      </c>
      <c r="AW50" s="23">
        <f>EXP(-LN(2)/2)*AW49+(1-EXP(-LN(2)/2))/(LN(2)/2)*AQ50*AT50*VLOOKUP('Données projet'!$B$10,Paramètres!$A$1:$I$89,3,0)*0.475*44/12</f>
        <v>3.5823862762377014E-2</v>
      </c>
      <c r="AX50" s="23">
        <f t="shared" si="6"/>
        <v>6.8684674293288861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197</v>
      </c>
      <c r="BE50" s="14">
        <f>BD50*VLOOKUP('Données projet'!$B$11,Paramètres!$A$1:$I$89,3,0)*VLOOKUP('Données projet'!$B$11,Paramètres!$A$1:$I$89,5,0)</f>
        <v>156.73320000000001</v>
      </c>
      <c r="BF50" s="14">
        <f t="shared" si="37"/>
        <v>40.104797241533682</v>
      </c>
      <c r="BG50" s="22">
        <f t="shared" si="7"/>
        <v>342.82617852900444</v>
      </c>
      <c r="BH50" s="62">
        <f t="shared" si="8"/>
        <v>627.7023718138189</v>
      </c>
      <c r="BI50" s="62">
        <f ca="1">AVERAGE(OFFSET($BH$3,0,0,'Données projet'!$E$11+1,1))-AVERAGE(OFFSET($H$3,0,0,'Données projet'!$E$11+1,1))</f>
        <v>303.91914071195419</v>
      </c>
      <c r="BJ50" s="62">
        <f t="shared" si="38"/>
        <v>298.30050362688769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1.6229009940074304</v>
      </c>
      <c r="BR50" s="23">
        <f>EXP(-LN(2)/2)*BR49+(1-EXP(-LN(2)/2))/(LN(2)/2)*BL50*BO50*VLOOKUP('Données projet'!$B$11,Paramètres!$A$1:$I$89,3,0)*0.475*44/12</f>
        <v>7.0305824151859778E-2</v>
      </c>
      <c r="BS50" s="24">
        <f t="shared" si="9"/>
        <v>1.6932068181592901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179.15040000000002</v>
      </c>
      <c r="CA50" s="14">
        <f t="shared" si="39"/>
        <v>45.133113803437304</v>
      </c>
      <c r="CB50" s="22">
        <f t="shared" si="10"/>
        <v>390.62711987431999</v>
      </c>
      <c r="CC50" s="62">
        <f t="shared" si="11"/>
        <v>675.50331315913445</v>
      </c>
      <c r="CD50" s="62">
        <f ca="1">AVERAGE(OFFSET($CC$3,0,0,'Données projet'!$E$12+1,1))-AVERAGE(OFFSET($H$3,0,0,'Données projet'!$E$12+1,1))</f>
        <v>446.15737983598251</v>
      </c>
      <c r="CE50" s="62">
        <f t="shared" si="40"/>
        <v>282.2299715529382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218.12499999999991</v>
      </c>
      <c r="CU50" s="18">
        <f>CT50*VLOOKUP('Données projet'!$B$13,Paramètres!$A$1:$I$89,3,0)*VLOOKUP('Données projet'!$B$13,Paramètres!$A$1:$I$89,5,0)</f>
        <v>170.13749999999993</v>
      </c>
      <c r="CV50" s="14">
        <f t="shared" si="41"/>
        <v>43.120817562072375</v>
      </c>
      <c r="CW50" s="22">
        <f t="shared" si="13"/>
        <v>371.42490308727588</v>
      </c>
      <c r="CX50" s="62">
        <f t="shared" si="14"/>
        <v>656.30109637209034</v>
      </c>
      <c r="CY50" s="62">
        <f ca="1">AVERAGE(OFFSET($CX$3,0,0,'Données projet'!$E$13+1,1))-AVERAGE(OFFSET($H$3,0,0,'Données projet'!$E$13+1,1))</f>
        <v>293.03320024876842</v>
      </c>
      <c r="CZ50" s="62">
        <f t="shared" si="42"/>
        <v>287.49994652707915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1.1324290449230357E-2</v>
      </c>
      <c r="DI50" s="24">
        <f t="shared" si="15"/>
        <v>1.1324290449230357E-2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4.2</v>
      </c>
      <c r="DO50" s="13">
        <f>IF('Données projet'!$A$166&gt;35,DO49+DN50-DW49,IF(A50&lt;'Données projet'!$A$166,$DL$205^A50,IF(A50='Données projet'!$A$166,'Données projet'!$B$166,DO49+DN50-DW49)))</f>
        <v>302.39999999999986</v>
      </c>
      <c r="DP50" s="18">
        <f>DO50*VLOOKUP('Données projet'!$B$14,Paramètres!$A$1:$I$89,3,0)*VLOOKUP('Données projet'!$B$14,Paramètres!$A$1:$I$89,5,0)</f>
        <v>165.11039999999991</v>
      </c>
      <c r="DQ50" s="14">
        <f t="shared" si="43"/>
        <v>41.993062739333446</v>
      </c>
      <c r="DR50" s="22">
        <f t="shared" si="16"/>
        <v>360.70519760433893</v>
      </c>
      <c r="DS50" s="62">
        <f t="shared" si="17"/>
        <v>645.58139088915334</v>
      </c>
      <c r="DT50" s="62">
        <f ca="1">AVERAGE(OFFSET($DS$3,0,0,'Données projet'!$E$14+1,1))-AVERAGE(OFFSET($H$3,0,0,'Données projet'!$E$14+1,1))</f>
        <v>253.0312006976271</v>
      </c>
      <c r="DU50" s="62">
        <f t="shared" si="44"/>
        <v>365.93937083714866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4.7702589245395153</v>
      </c>
      <c r="EB50" s="23">
        <f>EXP(-LN(2)/25)*EB49+(1-EXP(-LN(2)/25))/(LN(2)/25)*Calculateur!DW50*Calculateur!DY50*VLOOKUP('Données projet'!$B$14,Paramètres!$A$1:$I$89,3,0)*0.475*44/12</f>
        <v>5.993938815766807</v>
      </c>
      <c r="EC50" s="23">
        <f>EXP(-LN(2)/2)*EC49+(1-EXP(-LN(2)/2))/(LN(2)/2)*DW50*DZ50*VLOOKUP('Données projet'!$B$14,Paramètres!$A$1:$I$89,3,0)*0.475*44/12</f>
        <v>4.8299698342265787E-2</v>
      </c>
      <c r="ED50" s="24">
        <f t="shared" si="18"/>
        <v>10.812497438648588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1.05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3.85</v>
      </c>
      <c r="H51" s="70">
        <f t="shared" si="1"/>
        <v>241.26666666666665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21.939999999999998</v>
      </c>
      <c r="N51" s="14">
        <f>IF('Données projet'!$A$36&gt;35,N50+M51-V50,IF(A51&lt;'Données projet'!$A$36,$K$205^A51,IF(A51='Données projet'!$A$36,'Données projet'!$B$36,N50+M51-V50)))</f>
        <v>481.89</v>
      </c>
      <c r="O51" s="14">
        <f>N51*VLOOKUP('Données projet'!$B$9,Paramètres!$A$1:$I$89,3,0)*VLOOKUP('Données projet'!$B$9,Paramètres!$A$1:$I$89,5,0)</f>
        <v>269.37651</v>
      </c>
      <c r="P51" s="14">
        <f t="shared" si="33"/>
        <v>64.716931175288423</v>
      </c>
      <c r="Q51" s="22">
        <f t="shared" si="53"/>
        <v>581.87941004696063</v>
      </c>
      <c r="R51" s="62">
        <f t="shared" si="0"/>
        <v>866.90231580428417</v>
      </c>
      <c r="S51" s="62">
        <f ca="1">AVERAGE(OFFSET($R$3,0,0,'Données projet'!$E$9+1,1))-AVERAGE(OFFSET($H$3,0,0,'Données projet'!$E$9+1,1))</f>
        <v>393.3487617557011</v>
      </c>
      <c r="T51" s="62">
        <f t="shared" si="34"/>
        <v>360.09400083977084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3.7113049856733711</v>
      </c>
      <c r="AA51" s="23">
        <f>EXP(-LN(2)/25)*AA50+(1-EXP(-LN(2)/25))/(LN(2)/25)*Calculateur!V51*Calculateur!X51*VLOOKUP('Données projet'!$B$9,Paramètres!$A$1:$I$89,3,0)*0.475*44/12</f>
        <v>5.6370705408247446</v>
      </c>
      <c r="AB51" s="23">
        <f>EXP(-LN(2)/2)*AB50+(1-EXP(-LN(2)/2))/(LN(2)/2)*V51*Y51*VLOOKUP('Données projet'!$B$9,Paramètres!$A$1:$I$89,3,0)*0.475*44/12</f>
        <v>2.7895666279926498E-2</v>
      </c>
      <c r="AC51" s="24">
        <f t="shared" si="3"/>
        <v>9.3762711927780416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204</v>
      </c>
      <c r="AJ51" s="14">
        <f>AI51*VLOOKUP('Données projet'!$B$10,Paramètres!$A$1:$I$89,3,0)*VLOOKUP('Données projet'!$B$10,Paramètres!$A$1:$I$89,5,0)</f>
        <v>149.5728</v>
      </c>
      <c r="AK51" s="14">
        <f t="shared" si="35"/>
        <v>38.481486779011689</v>
      </c>
      <c r="AL51" s="22">
        <f t="shared" si="4"/>
        <v>327.52788280677868</v>
      </c>
      <c r="AM51" s="62">
        <f t="shared" si="5"/>
        <v>612.55078856410228</v>
      </c>
      <c r="AN51" s="62">
        <f ca="1">AVERAGE(OFFSET($AM$3,0,0,'Données projet'!$E$10+1,1))-AVERAGE(OFFSET($H$3,0,0,'Données projet'!$E$10+1,1))</f>
        <v>283.28499080043167</v>
      </c>
      <c r="AO51" s="62">
        <f t="shared" si="36"/>
        <v>278.56966286485783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1.3665031052549796</v>
      </c>
      <c r="AV51" s="23">
        <f>EXP(-LN(2)/25)*AV50+(1-EXP(-LN(2)/25))/(LN(2)/25)*Calculateur!AQ51*Calculateur!AS51*VLOOKUP('Données projet'!$B$10,Paramètres!$A$1:$I$89,3,0)*0.475*44/12</f>
        <v>5.2900837036858572</v>
      </c>
      <c r="AW51" s="23">
        <f>EXP(-LN(2)/2)*AW50+(1-EXP(-LN(2)/2))/(LN(2)/2)*AQ51*AT51*VLOOKUP('Données projet'!$B$10,Paramètres!$A$1:$I$89,3,0)*0.475*44/12</f>
        <v>2.5331296287573031E-2</v>
      </c>
      <c r="AX51" s="23">
        <f t="shared" si="6"/>
        <v>6.6819181052284096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204</v>
      </c>
      <c r="BE51" s="14">
        <f>BD51*VLOOKUP('Données projet'!$B$11,Paramètres!$A$1:$I$89,3,0)*VLOOKUP('Données projet'!$B$11,Paramètres!$A$1:$I$89,5,0)</f>
        <v>162.30240000000001</v>
      </c>
      <c r="BF51" s="14">
        <f t="shared" si="37"/>
        <v>41.361395541514355</v>
      </c>
      <c r="BG51" s="22">
        <f t="shared" si="7"/>
        <v>354.71444390147082</v>
      </c>
      <c r="BH51" s="62">
        <f t="shared" si="8"/>
        <v>639.7373496587943</v>
      </c>
      <c r="BI51" s="62">
        <f ca="1">AVERAGE(OFFSET($BH$3,0,0,'Données projet'!$E$11+1,1))-AVERAGE(OFFSET($H$3,0,0,'Données projet'!$E$11+1,1))</f>
        <v>303.91914071195419</v>
      </c>
      <c r="BJ51" s="62">
        <f t="shared" si="38"/>
        <v>298.30050362688769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1.5785226809816431</v>
      </c>
      <c r="BR51" s="23">
        <f>EXP(-LN(2)/2)*BR50+(1-EXP(-LN(2)/2))/(LN(2)/2)*BL51*BO51*VLOOKUP('Données projet'!$B$11,Paramètres!$A$1:$I$89,3,0)*0.475*44/12</f>
        <v>4.9713725014689E-2</v>
      </c>
      <c r="BS51" s="24">
        <f t="shared" si="9"/>
        <v>1.6282364059963321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189.10320000000002</v>
      </c>
      <c r="CA51" s="14">
        <f t="shared" si="39"/>
        <v>47.34162854278712</v>
      </c>
      <c r="CB51" s="22">
        <f t="shared" si="10"/>
        <v>411.80807637868764</v>
      </c>
      <c r="CC51" s="62">
        <f t="shared" si="11"/>
        <v>696.83098213601124</v>
      </c>
      <c r="CD51" s="62">
        <f ca="1">AVERAGE(OFFSET($CC$3,0,0,'Données projet'!$E$12+1,1))-AVERAGE(OFFSET($H$3,0,0,'Données projet'!$E$12+1,1))</f>
        <v>446.15737983598251</v>
      </c>
      <c r="CE51" s="62">
        <f t="shared" si="40"/>
        <v>282.2299715529382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228.49999999999991</v>
      </c>
      <c r="CU51" s="18">
        <f>CT51*VLOOKUP('Données projet'!$B$13,Paramètres!$A$1:$I$89,3,0)*VLOOKUP('Données projet'!$B$13,Paramètres!$A$1:$I$89,5,0)</f>
        <v>178.22999999999993</v>
      </c>
      <c r="CV51" s="14">
        <f t="shared" si="41"/>
        <v>44.928167580487852</v>
      </c>
      <c r="CW51" s="22">
        <f t="shared" si="13"/>
        <v>388.66714186934951</v>
      </c>
      <c r="CX51" s="62">
        <f t="shared" si="14"/>
        <v>673.69004762667305</v>
      </c>
      <c r="CY51" s="62">
        <f ca="1">AVERAGE(OFFSET($CX$3,0,0,'Données projet'!$E$13+1,1))-AVERAGE(OFFSET($H$3,0,0,'Données projet'!$E$13+1,1))</f>
        <v>293.03320024876842</v>
      </c>
      <c r="CZ51" s="62">
        <f t="shared" si="42"/>
        <v>287.49994652707915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8.0074825687768397E-3</v>
      </c>
      <c r="DI51" s="24">
        <f t="shared" si="15"/>
        <v>8.0074825687768397E-3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4.2</v>
      </c>
      <c r="DO51" s="13">
        <f>IF('Données projet'!$A$166&gt;35,DO50+DN51-DW50,IF(A51&lt;'Données projet'!$A$166,$DL$205^A51,IF(A51='Données projet'!$A$166,'Données projet'!$B$166,DO50+DN51-DW50)))</f>
        <v>306.59999999999985</v>
      </c>
      <c r="DP51" s="18">
        <f>DO51*VLOOKUP('Données projet'!$B$14,Paramètres!$A$1:$I$89,3,0)*VLOOKUP('Données projet'!$B$14,Paramètres!$A$1:$I$89,5,0)</f>
        <v>167.40359999999993</v>
      </c>
      <c r="DQ51" s="14">
        <f t="shared" si="43"/>
        <v>42.507996501315304</v>
      </c>
      <c r="DR51" s="22">
        <f t="shared" si="16"/>
        <v>365.59603057312398</v>
      </c>
      <c r="DS51" s="62">
        <f t="shared" si="17"/>
        <v>650.61893633044747</v>
      </c>
      <c r="DT51" s="62">
        <f ca="1">AVERAGE(OFFSET($DS$3,0,0,'Données projet'!$E$14+1,1))-AVERAGE(OFFSET($H$3,0,0,'Données projet'!$E$14+1,1))</f>
        <v>253.0312006976271</v>
      </c>
      <c r="DU51" s="62">
        <f t="shared" si="44"/>
        <v>365.93937083714866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4.6767170565999434</v>
      </c>
      <c r="EB51" s="23">
        <f>EXP(-LN(2)/25)*EB50+(1-EXP(-LN(2)/25))/(LN(2)/25)*Calculateur!DW51*Calculateur!DY51*VLOOKUP('Données projet'!$B$14,Paramètres!$A$1:$I$89,3,0)*0.475*44/12</f>
        <v>5.8300342436421211</v>
      </c>
      <c r="EC51" s="23">
        <f>EXP(-LN(2)/2)*EC50+(1-EXP(-LN(2)/2))/(LN(2)/2)*DW51*DZ51*VLOOKUP('Données projet'!$B$14,Paramètres!$A$1:$I$89,3,0)*0.475*44/12</f>
        <v>3.4153044227080785E-2</v>
      </c>
      <c r="ED51" s="24">
        <f t="shared" si="18"/>
        <v>10.540904344469146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1.05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3.85</v>
      </c>
      <c r="H52" s="70">
        <f t="shared" si="1"/>
        <v>241.26666666666665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503.83</v>
      </c>
      <c r="L52" s="13">
        <f>VLOOKUP(A52,'Données projet'!$A$35:$I$55,9,0)</f>
        <v>21.939999999999998</v>
      </c>
      <c r="M52" s="13">
        <f t="array" ref="M52">INDEX(L:L,MIN(IF(ISNUMBER(L52:L248),ROW(L52:L248),"")))</f>
        <v>21.939999999999998</v>
      </c>
      <c r="N52" s="14">
        <f>IF('Données projet'!$A$36&gt;35,N51+M52-V51,IF(A52&lt;'Données projet'!$A$36,$K$205^A52,IF(A52='Données projet'!$A$36,'Données projet'!$B$36,N51+M52-V51)))</f>
        <v>503.83</v>
      </c>
      <c r="O52" s="14">
        <f>N52*VLOOKUP('Données projet'!$B$9,Paramètres!$A$1:$I$89,3,0)*VLOOKUP('Données projet'!$B$9,Paramètres!$A$1:$I$89,5,0)</f>
        <v>281.64096999999998</v>
      </c>
      <c r="P52" s="14">
        <f t="shared" si="33"/>
        <v>67.313674987907362</v>
      </c>
      <c r="Q52" s="22">
        <f t="shared" si="53"/>
        <v>607.76267335393857</v>
      </c>
      <c r="R52" s="62">
        <f t="shared" si="0"/>
        <v>892.92974645037316</v>
      </c>
      <c r="S52" s="62">
        <f ca="1">AVERAGE(OFFSET($R$3,0,0,'Données projet'!$E$9+1,1))-AVERAGE(OFFSET($H$3,0,0,'Données projet'!$E$9+1,1))</f>
        <v>393.3487617557011</v>
      </c>
      <c r="T52" s="62">
        <f t="shared" si="34"/>
        <v>360.09400083977084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112.61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3.6385285585768385</v>
      </c>
      <c r="AA52" s="23">
        <f>EXP(-LN(2)/25)*AA51+(1-EXP(-LN(2)/25))/(LN(2)/25)*Calculateur!V52*Calculateur!X52*VLOOKUP('Données projet'!$B$9,Paramètres!$A$1:$I$89,3,0)*0.475*44/12</f>
        <v>5.4829245504452357</v>
      </c>
      <c r="AB52" s="23">
        <f>EXP(-LN(2)/2)*AB51+(1-EXP(-LN(2)/2))/(LN(2)/2)*V52*Y52*VLOOKUP('Données projet'!$B$9,Paramètres!$A$1:$I$89,3,0)*0.475*44/12</f>
        <v>1.9725214792252938E-2</v>
      </c>
      <c r="AC52" s="24">
        <f t="shared" si="3"/>
        <v>9.1411783238143265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211</v>
      </c>
      <c r="AJ52" s="14">
        <f>AI52*VLOOKUP('Données projet'!$B$10,Paramètres!$A$1:$I$89,3,0)*VLOOKUP('Données projet'!$B$10,Paramètres!$A$1:$I$89,5,0)</f>
        <v>154.70519999999999</v>
      </c>
      <c r="AK52" s="14">
        <f t="shared" si="35"/>
        <v>39.645929536036533</v>
      </c>
      <c r="AL52" s="22">
        <f t="shared" si="4"/>
        <v>338.49488394193025</v>
      </c>
      <c r="AM52" s="62">
        <f t="shared" si="5"/>
        <v>623.6619570383649</v>
      </c>
      <c r="AN52" s="62">
        <f ca="1">AVERAGE(OFFSET($AM$3,0,0,'Données projet'!$E$10+1,1))-AVERAGE(OFFSET($H$3,0,0,'Données projet'!$E$10+1,1))</f>
        <v>283.28499080043167</v>
      </c>
      <c r="AO52" s="62">
        <f t="shared" si="36"/>
        <v>278.56966286485783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1.3397068128455238</v>
      </c>
      <c r="AV52" s="23">
        <f>EXP(-LN(2)/25)*AV51+(1-EXP(-LN(2)/25))/(LN(2)/25)*Calculateur!AQ52*Calculateur!AS52*VLOOKUP('Données projet'!$B$10,Paramètres!$A$1:$I$89,3,0)*0.475*44/12</f>
        <v>5.1454260866151564</v>
      </c>
      <c r="AW52" s="23">
        <f>EXP(-LN(2)/2)*AW51+(1-EXP(-LN(2)/2))/(LN(2)/2)*AQ52*AT52*VLOOKUP('Données projet'!$B$10,Paramètres!$A$1:$I$89,3,0)*0.475*44/12</f>
        <v>1.7911931381188507E-2</v>
      </c>
      <c r="AX52" s="23">
        <f t="shared" si="6"/>
        <v>6.5030448308418691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211</v>
      </c>
      <c r="BE52" s="14">
        <f>BD52*VLOOKUP('Données projet'!$B$11,Paramètres!$A$1:$I$89,3,0)*VLOOKUP('Données projet'!$B$11,Paramètres!$A$1:$I$89,5,0)</f>
        <v>167.8716</v>
      </c>
      <c r="BF52" s="14">
        <f t="shared" si="37"/>
        <v>42.612983811358006</v>
      </c>
      <c r="BG52" s="22">
        <f t="shared" si="7"/>
        <v>366.59398347144844</v>
      </c>
      <c r="BH52" s="62">
        <f t="shared" si="8"/>
        <v>651.76105656788309</v>
      </c>
      <c r="BI52" s="62">
        <f ca="1">AVERAGE(OFFSET($BH$3,0,0,'Données projet'!$E$11+1,1))-AVERAGE(OFFSET($H$3,0,0,'Données projet'!$E$11+1,1))</f>
        <v>303.91914071195419</v>
      </c>
      <c r="BJ52" s="62">
        <f t="shared" si="38"/>
        <v>298.30050362688769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1.5353578952592999</v>
      </c>
      <c r="BR52" s="23">
        <f>EXP(-LN(2)/2)*BR51+(1-EXP(-LN(2)/2))/(LN(2)/2)*BL52*BO52*VLOOKUP('Données projet'!$B$11,Paramètres!$A$1:$I$89,3,0)*0.475*44/12</f>
        <v>3.5152912075929889E-2</v>
      </c>
      <c r="BS52" s="24">
        <f t="shared" si="9"/>
        <v>1.5705108073352299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199.05600000000001</v>
      </c>
      <c r="CA52" s="14">
        <f t="shared" si="39"/>
        <v>49.536648006253934</v>
      </c>
      <c r="CB52" s="22">
        <f t="shared" si="10"/>
        <v>432.96552861089231</v>
      </c>
      <c r="CC52" s="62">
        <f t="shared" si="11"/>
        <v>718.13260170732701</v>
      </c>
      <c r="CD52" s="62">
        <f ca="1">AVERAGE(OFFSET($CC$3,0,0,'Données projet'!$E$12+1,1))-AVERAGE(OFFSET($H$3,0,0,'Données projet'!$E$12+1,1))</f>
        <v>446.15737983598251</v>
      </c>
      <c r="CE52" s="62">
        <f t="shared" si="40"/>
        <v>282.2299715529382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238.87499999999991</v>
      </c>
      <c r="CU52" s="18">
        <f>CT52*VLOOKUP('Données projet'!$B$13,Paramètres!$A$1:$I$89,3,0)*VLOOKUP('Données projet'!$B$13,Paramètres!$A$1:$I$89,5,0)</f>
        <v>186.32249999999993</v>
      </c>
      <c r="CV52" s="14">
        <f t="shared" si="41"/>
        <v>46.725987276254116</v>
      </c>
      <c r="CW52" s="22">
        <f t="shared" si="13"/>
        <v>405.8927820061424</v>
      </c>
      <c r="CX52" s="62">
        <f t="shared" si="14"/>
        <v>691.0598551025771</v>
      </c>
      <c r="CY52" s="62">
        <f ca="1">AVERAGE(OFFSET($CX$3,0,0,'Données projet'!$E$13+1,1))-AVERAGE(OFFSET($H$3,0,0,'Données projet'!$E$13+1,1))</f>
        <v>293.03320024876842</v>
      </c>
      <c r="CZ52" s="62">
        <f t="shared" si="42"/>
        <v>287.49994652707915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5.6621452246151784E-3</v>
      </c>
      <c r="DI52" s="24">
        <f t="shared" si="15"/>
        <v>5.6621452246151784E-3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4.2</v>
      </c>
      <c r="DO52" s="13">
        <f>IF('Données projet'!$A$166&gt;35,DO51+DN52-DW51,IF(A52&lt;'Données projet'!$A$166,$DL$205^A52,IF(A52='Données projet'!$A$166,'Données projet'!$B$166,DO51+DN52-DW51)))</f>
        <v>310.79999999999984</v>
      </c>
      <c r="DP52" s="18">
        <f>DO52*VLOOKUP('Données projet'!$B$14,Paramètres!$A$1:$I$89,3,0)*VLOOKUP('Données projet'!$B$14,Paramètres!$A$1:$I$89,5,0)</f>
        <v>169.69679999999991</v>
      </c>
      <c r="DQ52" s="14">
        <f t="shared" si="43"/>
        <v>43.022109817960782</v>
      </c>
      <c r="DR52" s="22">
        <f t="shared" si="16"/>
        <v>370.48543459961485</v>
      </c>
      <c r="DS52" s="62">
        <f t="shared" si="17"/>
        <v>655.6525076960495</v>
      </c>
      <c r="DT52" s="62">
        <f ca="1">AVERAGE(OFFSET($DS$3,0,0,'Données projet'!$E$14+1,1))-AVERAGE(OFFSET($H$3,0,0,'Données projet'!$E$14+1,1))</f>
        <v>253.0312006976271</v>
      </c>
      <c r="DU52" s="62">
        <f t="shared" si="44"/>
        <v>365.93937083714866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4.5850094876357606</v>
      </c>
      <c r="EB52" s="23">
        <f>EXP(-LN(2)/25)*EB51+(1-EXP(-LN(2)/25))/(LN(2)/25)*Calculateur!DW52*Calculateur!DY52*VLOOKUP('Données projet'!$B$14,Paramètres!$A$1:$I$89,3,0)*0.475*44/12</f>
        <v>5.6706116506615514</v>
      </c>
      <c r="EC52" s="23">
        <f>EXP(-LN(2)/2)*EC51+(1-EXP(-LN(2)/2))/(LN(2)/2)*DW52*DZ52*VLOOKUP('Données projet'!$B$14,Paramètres!$A$1:$I$89,3,0)*0.475*44/12</f>
        <v>2.4149849171132894E-2</v>
      </c>
      <c r="ED52" s="24">
        <f t="shared" si="18"/>
        <v>10.279770987468444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1.05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3.85</v>
      </c>
      <c r="H53" s="70">
        <f t="shared" si="1"/>
        <v>241.26666666666665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20.324285714285718</v>
      </c>
      <c r="N53" s="14">
        <f>IF('Données projet'!$A$36&gt;35,N52+M53-V52,IF(A53&lt;'Données projet'!$A$36,$K$205^A53,IF(A53='Données projet'!$A$36,'Données projet'!$B$36,N52+M53-V52)))</f>
        <v>411.54428571428571</v>
      </c>
      <c r="O53" s="14">
        <f>N53*VLOOKUP('Données projet'!$B$9,Paramètres!$A$1:$I$89,3,0)*VLOOKUP('Données projet'!$B$9,Paramètres!$A$1:$I$89,5,0)</f>
        <v>230.05325571428571</v>
      </c>
      <c r="P53" s="14">
        <f t="shared" si="33"/>
        <v>56.294196506523747</v>
      </c>
      <c r="Q53" s="22">
        <f t="shared" si="53"/>
        <v>498.72181261790985</v>
      </c>
      <c r="R53" s="62">
        <f t="shared" si="0"/>
        <v>784.03055207243187</v>
      </c>
      <c r="S53" s="62">
        <f ca="1">AVERAGE(OFFSET($R$3,0,0,'Données projet'!$E$9+1,1))-AVERAGE(OFFSET($H$3,0,0,'Données projet'!$E$9+1,1))</f>
        <v>393.3487617557011</v>
      </c>
      <c r="T53" s="62">
        <f t="shared" si="34"/>
        <v>360.09400083977084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3.5671792328264313</v>
      </c>
      <c r="AA53" s="23">
        <f>EXP(-LN(2)/25)*AA52+(1-EXP(-LN(2)/25))/(LN(2)/25)*Calculateur!V53*Calculateur!X53*VLOOKUP('Données projet'!$B$9,Paramètres!$A$1:$I$89,3,0)*0.475*44/12</f>
        <v>5.3329936902788404</v>
      </c>
      <c r="AB53" s="23">
        <f>EXP(-LN(2)/2)*AB52+(1-EXP(-LN(2)/2))/(LN(2)/2)*V53*Y53*VLOOKUP('Données projet'!$B$9,Paramètres!$A$1:$I$89,3,0)*0.475*44/12</f>
        <v>1.3947833139963249E-2</v>
      </c>
      <c r="AC53" s="24">
        <f t="shared" si="3"/>
        <v>8.9141207562452358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218</v>
      </c>
      <c r="AJ53" s="14">
        <f>AI53*VLOOKUP('Données projet'!$B$10,Paramètres!$A$1:$I$89,3,0)*VLOOKUP('Données projet'!$B$10,Paramètres!$A$1:$I$89,5,0)</f>
        <v>159.83760000000001</v>
      </c>
      <c r="AK53" s="14">
        <f t="shared" si="35"/>
        <v>40.805883468734919</v>
      </c>
      <c r="AL53" s="22">
        <f t="shared" si="4"/>
        <v>349.45406704138003</v>
      </c>
      <c r="AM53" s="62">
        <f t="shared" si="5"/>
        <v>634.76280649590205</v>
      </c>
      <c r="AN53" s="62">
        <f ca="1">AVERAGE(OFFSET($AM$3,0,0,'Données projet'!$E$10+1,1))-AVERAGE(OFFSET($H$3,0,0,'Données projet'!$E$10+1,1))</f>
        <v>283.28499080043167</v>
      </c>
      <c r="AO53" s="62">
        <f t="shared" si="36"/>
        <v>278.56966286485783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17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1.313435979386093</v>
      </c>
      <c r="AV53" s="23">
        <f>EXP(-LN(2)/25)*AV52+(1-EXP(-LN(2)/25))/(LN(2)/25)*Calculateur!AQ53*Calculateur!AS53*VLOOKUP('Données projet'!$B$10,Paramètres!$A$1:$I$89,3,0)*0.475*44/12</f>
        <v>5.0047241396904667</v>
      </c>
      <c r="AW53" s="23">
        <f>EXP(-LN(2)/2)*AW52+(1-EXP(-LN(2)/2))/(LN(2)/2)*AQ53*AT53*VLOOKUP('Données projet'!$B$10,Paramètres!$A$1:$I$89,3,0)*0.475*44/12</f>
        <v>1.2665648143786516E-2</v>
      </c>
      <c r="AX53" s="23">
        <f t="shared" si="6"/>
        <v>6.3308257672203467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218</v>
      </c>
      <c r="BE53" s="14">
        <f>BD53*VLOOKUP('Données projet'!$B$11,Paramètres!$A$1:$I$89,3,0)*VLOOKUP('Données projet'!$B$11,Paramètres!$A$1:$I$89,5,0)</f>
        <v>173.44080000000002</v>
      </c>
      <c r="BF53" s="14">
        <f t="shared" si="37"/>
        <v>43.859747318594479</v>
      </c>
      <c r="BG53" s="22">
        <f t="shared" si="7"/>
        <v>378.46511991321876</v>
      </c>
      <c r="BH53" s="62">
        <f t="shared" si="8"/>
        <v>663.77385936774078</v>
      </c>
      <c r="BI53" s="62">
        <f ca="1">AVERAGE(OFFSET($BH$3,0,0,'Données projet'!$E$11+1,1))-AVERAGE(OFFSET($H$3,0,0,'Données projet'!$E$11+1,1))</f>
        <v>303.91914071195419</v>
      </c>
      <c r="BJ53" s="62">
        <f t="shared" si="38"/>
        <v>298.30050362688769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1.4933734528724718</v>
      </c>
      <c r="BR53" s="23">
        <f>EXP(-LN(2)/2)*BR52+(1-EXP(-LN(2)/2))/(LN(2)/2)*BL53*BO53*VLOOKUP('Données projet'!$B$11,Paramètres!$A$1:$I$89,3,0)*0.475*44/12</f>
        <v>2.48568625073445E-2</v>
      </c>
      <c r="BS53" s="24">
        <f t="shared" si="9"/>
        <v>1.5182303153798162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209.00880000000004</v>
      </c>
      <c r="CA53" s="14">
        <f t="shared" si="39"/>
        <v>51.718923953824252</v>
      </c>
      <c r="CB53" s="22">
        <f t="shared" si="10"/>
        <v>454.10078588624395</v>
      </c>
      <c r="CC53" s="62">
        <f t="shared" si="11"/>
        <v>739.40952534076598</v>
      </c>
      <c r="CD53" s="62">
        <f ca="1">AVERAGE(OFFSET($CC$3,0,0,'Données projet'!$E$12+1,1))-AVERAGE(OFFSET($H$3,0,0,'Données projet'!$E$12+1,1))</f>
        <v>446.15737983598251</v>
      </c>
      <c r="CE53" s="62">
        <f t="shared" si="40"/>
        <v>282.2299715529382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249.24999999999991</v>
      </c>
      <c r="CU53" s="18">
        <f>CT53*VLOOKUP('Données projet'!$B$13,Paramètres!$A$1:$I$89,3,0)*VLOOKUP('Données projet'!$B$13,Paramètres!$A$1:$I$89,5,0)</f>
        <v>194.41499999999994</v>
      </c>
      <c r="CV53" s="14">
        <f t="shared" si="41"/>
        <v>48.514737888684927</v>
      </c>
      <c r="CW53" s="22">
        <f t="shared" si="13"/>
        <v>423.10262682279273</v>
      </c>
      <c r="CX53" s="62">
        <f t="shared" si="14"/>
        <v>708.41136627731476</v>
      </c>
      <c r="CY53" s="62">
        <f ca="1">AVERAGE(OFFSET($CX$3,0,0,'Données projet'!$E$13+1,1))-AVERAGE(OFFSET($H$3,0,0,'Données projet'!$E$13+1,1))</f>
        <v>293.03320024876842</v>
      </c>
      <c r="CZ53" s="62">
        <f t="shared" si="42"/>
        <v>287.49994652707915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4.0037412843884198E-3</v>
      </c>
      <c r="DI53" s="24">
        <f t="shared" si="15"/>
        <v>4.0037412843884198E-3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315</v>
      </c>
      <c r="DM53" s="13">
        <f>VLOOKUP(A53,'Données projet'!$A$165:$I$185,9,0)</f>
        <v>4.2</v>
      </c>
      <c r="DN53" s="13">
        <f t="array" ref="DN53">INDEX(DM:DM,MIN(IF(ISNUMBER(DM53:DM249),ROW(DM53:DM249),"")))</f>
        <v>4.2</v>
      </c>
      <c r="DO53" s="13">
        <f>IF('Données projet'!$A$166&gt;35,DO52+DN53-DW52,IF(A53&lt;'Données projet'!$A$166,$DL$205^A53,IF(A53='Données projet'!$A$166,'Données projet'!$B$166,DO52+DN53-DW52)))</f>
        <v>314.99999999999983</v>
      </c>
      <c r="DP53" s="18">
        <f>DO53*VLOOKUP('Données projet'!$B$14,Paramètres!$A$1:$I$89,3,0)*VLOOKUP('Données projet'!$B$14,Paramètres!$A$1:$I$89,5,0)</f>
        <v>171.98999999999992</v>
      </c>
      <c r="DQ53" s="14">
        <f t="shared" si="43"/>
        <v>43.535415057935047</v>
      </c>
      <c r="DR53" s="22">
        <f t="shared" si="16"/>
        <v>375.3734312259034</v>
      </c>
      <c r="DS53" s="62">
        <f t="shared" si="17"/>
        <v>660.68217068042543</v>
      </c>
      <c r="DT53" s="62">
        <f ca="1">AVERAGE(OFFSET($DS$3,0,0,'Données projet'!$E$14+1,1))-AVERAGE(OFFSET($H$3,0,0,'Données projet'!$E$14+1,1))</f>
        <v>253.0312006976271</v>
      </c>
      <c r="DU53" s="62">
        <f t="shared" si="44"/>
        <v>365.93937083714866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315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4.4951002481628715</v>
      </c>
      <c r="EB53" s="23">
        <f>EXP(-LN(2)/25)*EB52+(1-EXP(-LN(2)/25))/(LN(2)/25)*Calculateur!DW53*Calculateur!DY53*VLOOKUP('Données projet'!$B$14,Paramètres!$A$1:$I$89,3,0)*0.475*44/12</f>
        <v>5.5155484768697045</v>
      </c>
      <c r="EC53" s="23">
        <f>EXP(-LN(2)/2)*EC52+(1-EXP(-LN(2)/2))/(LN(2)/2)*DW53*DZ53*VLOOKUP('Données projet'!$B$14,Paramètres!$A$1:$I$89,3,0)*0.475*44/12</f>
        <v>1.7076522113540393E-2</v>
      </c>
      <c r="ED53" s="24">
        <f t="shared" si="18"/>
        <v>10.027725247146117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1.05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3.85</v>
      </c>
      <c r="H54" s="70">
        <f t="shared" si="1"/>
        <v>241.26666666666665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20.324285714285718</v>
      </c>
      <c r="N54" s="14">
        <f>IF('Données projet'!$A$36&gt;35,N53+M54-V53,IF(A54&lt;'Données projet'!$A$36,$K$205^A54,IF(A54='Données projet'!$A$36,'Données projet'!$B$36,N53+M54-V53)))</f>
        <v>431.86857142857144</v>
      </c>
      <c r="O54" s="14">
        <f>N54*VLOOKUP('Données projet'!$B$9,Paramètres!$A$1:$I$89,3,0)*VLOOKUP('Données projet'!$B$9,Paramètres!$A$1:$I$89,5,0)</f>
        <v>241.41453142857142</v>
      </c>
      <c r="P54" s="14">
        <f t="shared" si="33"/>
        <v>58.743769641045859</v>
      </c>
      <c r="Q54" s="22">
        <f t="shared" si="53"/>
        <v>522.77570769625004</v>
      </c>
      <c r="R54" s="62">
        <f t="shared" si="0"/>
        <v>808.22365591426524</v>
      </c>
      <c r="S54" s="62">
        <f ca="1">AVERAGE(OFFSET($R$3,0,0,'Données projet'!$E$9+1,1))-AVERAGE(OFFSET($H$3,0,0,'Données projet'!$E$9+1,1))</f>
        <v>393.3487617557011</v>
      </c>
      <c r="T54" s="62">
        <f t="shared" si="34"/>
        <v>360.09400083977084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3.4972290238351982</v>
      </c>
      <c r="AA54" s="23">
        <f>EXP(-LN(2)/25)*AA53+(1-EXP(-LN(2)/25))/(LN(2)/25)*Calculateur!V54*Calculateur!X54*VLOOKUP('Données projet'!$B$9,Paramètres!$A$1:$I$89,3,0)*0.475*44/12</f>
        <v>5.1871626973682163</v>
      </c>
      <c r="AB54" s="23">
        <f>EXP(-LN(2)/2)*AB53+(1-EXP(-LN(2)/2))/(LN(2)/2)*V54*Y54*VLOOKUP('Données projet'!$B$9,Paramètres!$A$1:$I$89,3,0)*0.475*44/12</f>
        <v>9.8626073961264691E-3</v>
      </c>
      <c r="AC54" s="24">
        <f t="shared" si="3"/>
        <v>8.6942543285995413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207.2</v>
      </c>
      <c r="AJ54" s="14">
        <f>AI54*VLOOKUP('Données projet'!$B$10,Paramètres!$A$1:$I$89,3,0)*VLOOKUP('Données projet'!$B$10,Paramètres!$A$1:$I$89,5,0)</f>
        <v>151.91904</v>
      </c>
      <c r="AK54" s="14">
        <f t="shared" si="35"/>
        <v>39.014371161543409</v>
      </c>
      <c r="AL54" s="22">
        <f t="shared" si="4"/>
        <v>332.54235777302142</v>
      </c>
      <c r="AM54" s="62">
        <f t="shared" si="5"/>
        <v>617.99030599103662</v>
      </c>
      <c r="AN54" s="62">
        <f ca="1">AVERAGE(OFFSET($AM$3,0,0,'Données projet'!$E$10+1,1))-AVERAGE(OFFSET($H$3,0,0,'Données projet'!$E$10+1,1))</f>
        <v>283.28499080043167</v>
      </c>
      <c r="AO54" s="62">
        <f t="shared" si="36"/>
        <v>278.56966286485783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1.2876803009471753</v>
      </c>
      <c r="AV54" s="23">
        <f>EXP(-LN(2)/25)*AV53+(1-EXP(-LN(2)/25))/(LN(2)/25)*Calculateur!AQ54*Calculateur!AS54*VLOOKUP('Données projet'!$B$10,Paramètres!$A$1:$I$89,3,0)*0.475*44/12</f>
        <v>4.8678696949036269</v>
      </c>
      <c r="AW54" s="23">
        <f>EXP(-LN(2)/2)*AW53+(1-EXP(-LN(2)/2))/(LN(2)/2)*AQ54*AT54*VLOOKUP('Données projet'!$B$10,Paramètres!$A$1:$I$89,3,0)*0.475*44/12</f>
        <v>8.9559656905942534E-3</v>
      </c>
      <c r="AX54" s="23">
        <f t="shared" si="6"/>
        <v>6.1645059615413969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6.2</v>
      </c>
      <c r="BD54" s="13">
        <f>IF('Données projet'!$A$88&gt;35,BD53+BC54-BL53,IF(A54&lt;'Données projet'!$A$88,$BA$205^A54,IF(A54='Données projet'!$A$88,'Données projet'!$B$88,BD53+BC54-BL53)))</f>
        <v>207.2</v>
      </c>
      <c r="BE54" s="14">
        <f>BD54*VLOOKUP('Données projet'!$B$11,Paramètres!$A$1:$I$89,3,0)*VLOOKUP('Données projet'!$B$11,Paramètres!$A$1:$I$89,5,0)</f>
        <v>164.84832</v>
      </c>
      <c r="BF54" s="14">
        <f t="shared" si="37"/>
        <v>41.934160358278433</v>
      </c>
      <c r="BG54" s="22">
        <f t="shared" si="7"/>
        <v>360.14615329066828</v>
      </c>
      <c r="BH54" s="62">
        <f t="shared" si="8"/>
        <v>645.59410150868348</v>
      </c>
      <c r="BI54" s="62">
        <f ca="1">AVERAGE(OFFSET($BH$3,0,0,'Données projet'!$E$11+1,1))-AVERAGE(OFFSET($H$3,0,0,'Données projet'!$E$11+1,1))</f>
        <v>303.91914071195419</v>
      </c>
      <c r="BJ54" s="62">
        <f t="shared" si="38"/>
        <v>298.30050362688769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1.4525370772705772</v>
      </c>
      <c r="BR54" s="23">
        <f>EXP(-LN(2)/2)*BR53+(1-EXP(-LN(2)/2))/(LN(2)/2)*BL54*BO54*VLOOKUP('Données projet'!$B$11,Paramètres!$A$1:$I$89,3,0)*0.475*44/12</f>
        <v>1.7576456037964944E-2</v>
      </c>
      <c r="BS54" s="24">
        <f t="shared" si="9"/>
        <v>1.4701135333085422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192.90336000000002</v>
      </c>
      <c r="CA54" s="14">
        <f t="shared" si="39"/>
        <v>48.181276881765257</v>
      </c>
      <c r="CB54" s="22">
        <f t="shared" si="10"/>
        <v>419.88907590240791</v>
      </c>
      <c r="CC54" s="62">
        <f t="shared" si="11"/>
        <v>705.33702412042305</v>
      </c>
      <c r="CD54" s="62">
        <f ca="1">AVERAGE(OFFSET($CC$3,0,0,'Données projet'!$E$12+1,1))-AVERAGE(OFFSET($H$3,0,0,'Données projet'!$E$12+1,1))</f>
        <v>446.15737983598251</v>
      </c>
      <c r="CE54" s="62">
        <f t="shared" si="40"/>
        <v>282.2299715529382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259.62499999999989</v>
      </c>
      <c r="CU54" s="18">
        <f>CT54*VLOOKUP('Données projet'!$B$13,Paramètres!$A$1:$I$89,3,0)*VLOOKUP('Données projet'!$B$13,Paramètres!$A$1:$I$89,5,0)</f>
        <v>202.50749999999991</v>
      </c>
      <c r="CV54" s="14">
        <f t="shared" si="41"/>
        <v>50.294840086606349</v>
      </c>
      <c r="CW54" s="22">
        <f t="shared" si="13"/>
        <v>440.29740898417253</v>
      </c>
      <c r="CX54" s="62">
        <f t="shared" si="14"/>
        <v>725.74535720218773</v>
      </c>
      <c r="CY54" s="62">
        <f ca="1">AVERAGE(OFFSET($CX$3,0,0,'Données projet'!$E$13+1,1))-AVERAGE(OFFSET($H$3,0,0,'Données projet'!$E$13+1,1))</f>
        <v>293.03320024876842</v>
      </c>
      <c r="CZ54" s="62">
        <f t="shared" si="42"/>
        <v>287.49994652707915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2.8310726123075892E-3</v>
      </c>
      <c r="DI54" s="24">
        <f t="shared" si="15"/>
        <v>2.8310726123075892E-3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-1.7053025658242404E-13</v>
      </c>
      <c r="DP54" s="18">
        <f>DO54*VLOOKUP('Données projet'!$B$14,Paramètres!$A$1:$I$89,3,0)*VLOOKUP('Données projet'!$B$14,Paramètres!$A$1:$I$89,5,0)</f>
        <v>-9.3109520094003535E-14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253.0312006976271</v>
      </c>
      <c r="DU54" s="62">
        <f t="shared" si="44"/>
        <v>365.93937083714866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4.4069540740368245</v>
      </c>
      <c r="EB54" s="23">
        <f>EXP(-LN(2)/25)*EB53+(1-EXP(-LN(2)/25))/(LN(2)/25)*Calculateur!DW54*Calculateur!DY54*VLOOKUP('Données projet'!$B$14,Paramètres!$A$1:$I$89,3,0)*0.475*44/12</f>
        <v>5.3647255137196144</v>
      </c>
      <c r="EC54" s="23">
        <f>EXP(-LN(2)/2)*EC53+(1-EXP(-LN(2)/2))/(LN(2)/2)*DW54*DZ54*VLOOKUP('Données projet'!$B$14,Paramètres!$A$1:$I$89,3,0)*0.475*44/12</f>
        <v>1.2074924585566447E-2</v>
      </c>
      <c r="ED54" s="24">
        <f t="shared" si="18"/>
        <v>9.7837545123420036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1.05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3.85</v>
      </c>
      <c r="H55" s="70">
        <f t="shared" si="1"/>
        <v>241.26666666666665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20.324285714285718</v>
      </c>
      <c r="N55" s="14">
        <f>IF('Données projet'!$A$36&gt;35,N54+M55-V54,IF(A55&lt;'Données projet'!$A$36,$K$205^A55,IF(A55='Données projet'!$A$36,'Données projet'!$B$36,N54+M55-V54)))</f>
        <v>452.19285714285718</v>
      </c>
      <c r="O55" s="14">
        <f>N55*VLOOKUP('Données projet'!$B$9,Paramètres!$A$1:$I$89,3,0)*VLOOKUP('Données projet'!$B$9,Paramètres!$A$1:$I$89,5,0)</f>
        <v>252.77580714285716</v>
      </c>
      <c r="P55" s="14">
        <f t="shared" si="33"/>
        <v>61.179955647848509</v>
      </c>
      <c r="Q55" s="22">
        <f t="shared" si="53"/>
        <v>546.80628686047896</v>
      </c>
      <c r="R55" s="62">
        <f t="shared" si="0"/>
        <v>832.39102888116486</v>
      </c>
      <c r="S55" s="62">
        <f ca="1">AVERAGE(OFFSET($R$3,0,0,'Données projet'!$E$9+1,1))-AVERAGE(OFFSET($H$3,0,0,'Données projet'!$E$9+1,1))</f>
        <v>393.3487617557011</v>
      </c>
      <c r="T55" s="62">
        <f t="shared" si="34"/>
        <v>360.09400083977084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3.4286504957768686</v>
      </c>
      <c r="AA55" s="23">
        <f>EXP(-LN(2)/25)*AA54+(1-EXP(-LN(2)/25))/(LN(2)/25)*Calculateur!V55*Calculateur!X55*VLOOKUP('Données projet'!$B$9,Paramètres!$A$1:$I$89,3,0)*0.475*44/12</f>
        <v>5.0453194606276517</v>
      </c>
      <c r="AB55" s="23">
        <f>EXP(-LN(2)/2)*AB54+(1-EXP(-LN(2)/2))/(LN(2)/2)*V55*Y55*VLOOKUP('Données projet'!$B$9,Paramètres!$A$1:$I$89,3,0)*0.475*44/12</f>
        <v>6.9739165699816245E-3</v>
      </c>
      <c r="AC55" s="24">
        <f t="shared" si="3"/>
        <v>8.4809438729745015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213.39999999999998</v>
      </c>
      <c r="AJ55" s="14">
        <f>AI55*VLOOKUP('Données projet'!$B$10,Paramètres!$A$1:$I$89,3,0)*VLOOKUP('Données projet'!$B$10,Paramètres!$A$1:$I$89,5,0)</f>
        <v>156.46487999999999</v>
      </c>
      <c r="AK55" s="14">
        <f t="shared" si="35"/>
        <v>40.04412537254489</v>
      </c>
      <c r="AL55" s="22">
        <f t="shared" si="4"/>
        <v>342.25318435718231</v>
      </c>
      <c r="AM55" s="62">
        <f t="shared" si="5"/>
        <v>627.83792637786814</v>
      </c>
      <c r="AN55" s="62">
        <f ca="1">AVERAGE(OFFSET($AM$3,0,0,'Données projet'!$E$10+1,1))-AVERAGE(OFFSET($H$3,0,0,'Données projet'!$E$10+1,1))</f>
        <v>283.28499080043167</v>
      </c>
      <c r="AO55" s="62">
        <f t="shared" si="36"/>
        <v>278.56966286485783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1.2624296756530322</v>
      </c>
      <c r="AV55" s="23">
        <f>EXP(-LN(2)/25)*AV54+(1-EXP(-LN(2)/25))/(LN(2)/25)*Calculateur!AQ55*Calculateur!AS55*VLOOKUP('Données projet'!$B$10,Paramètres!$A$1:$I$89,3,0)*0.475*44/12</f>
        <v>4.7347575421063457</v>
      </c>
      <c r="AW55" s="23">
        <f>EXP(-LN(2)/2)*AW54+(1-EXP(-LN(2)/2))/(LN(2)/2)*AQ55*AT55*VLOOKUP('Données projet'!$B$10,Paramètres!$A$1:$I$89,3,0)*0.475*44/12</f>
        <v>6.3328240718932578E-3</v>
      </c>
      <c r="AX55" s="23">
        <f t="shared" si="6"/>
        <v>6.0035200418312709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6.2</v>
      </c>
      <c r="BD55" s="13">
        <f>IF('Données projet'!$A$88&gt;35,BD54+BC55-BL54,IF(A55&lt;'Données projet'!$A$88,$BA$205^A55,IF(A55='Données projet'!$A$88,'Données projet'!$B$88,BD54+BC55-BL54)))</f>
        <v>213.39999999999998</v>
      </c>
      <c r="BE55" s="14">
        <f>BD55*VLOOKUP('Données projet'!$B$11,Paramètres!$A$1:$I$89,3,0)*VLOOKUP('Données projet'!$B$11,Paramètres!$A$1:$I$89,5,0)</f>
        <v>169.78103999999999</v>
      </c>
      <c r="BF55" s="14">
        <f t="shared" si="37"/>
        <v>43.040980151296445</v>
      </c>
      <c r="BG55" s="22">
        <f t="shared" si="7"/>
        <v>370.6650184301746</v>
      </c>
      <c r="BH55" s="62">
        <f t="shared" si="8"/>
        <v>656.24976045086044</v>
      </c>
      <c r="BI55" s="62">
        <f ca="1">AVERAGE(OFFSET($BH$3,0,0,'Données projet'!$E$11+1,1))-AVERAGE(OFFSET($H$3,0,0,'Données projet'!$E$11+1,1))</f>
        <v>303.91914071195419</v>
      </c>
      <c r="BJ55" s="62">
        <f t="shared" si="38"/>
        <v>298.30050362688769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1.4128173745070083</v>
      </c>
      <c r="BR55" s="23">
        <f>EXP(-LN(2)/2)*BR54+(1-EXP(-LN(2)/2))/(LN(2)/2)*BL55*BO55*VLOOKUP('Données projet'!$B$11,Paramètres!$A$1:$I$89,3,0)*0.475*44/12</f>
        <v>1.242843125367225E-2</v>
      </c>
      <c r="BS55" s="24">
        <f t="shared" si="9"/>
        <v>1.4252458057606805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202.13232000000002</v>
      </c>
      <c r="CA55" s="14">
        <f t="shared" si="39"/>
        <v>50.212497488959627</v>
      </c>
      <c r="CB55" s="22">
        <f t="shared" si="10"/>
        <v>439.50055712660469</v>
      </c>
      <c r="CC55" s="62">
        <f t="shared" si="11"/>
        <v>725.08529914729047</v>
      </c>
      <c r="CD55" s="62">
        <f ca="1">AVERAGE(OFFSET($CC$3,0,0,'Données projet'!$E$12+1,1))-AVERAGE(OFFSET($H$3,0,0,'Données projet'!$E$12+1,1))</f>
        <v>446.15737983598251</v>
      </c>
      <c r="CE55" s="62">
        <f t="shared" si="40"/>
        <v>282.2299715529382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269.99999999999989</v>
      </c>
      <c r="CU55" s="18">
        <f>CT55*VLOOKUP('Données projet'!$B$13,Paramètres!$A$1:$I$89,3,0)*VLOOKUP('Données projet'!$B$13,Paramètres!$A$1:$I$89,5,0)</f>
        <v>210.59999999999991</v>
      </c>
      <c r="CV55" s="14">
        <f t="shared" si="41"/>
        <v>52.066679014659961</v>
      </c>
      <c r="CW55" s="22">
        <f t="shared" si="13"/>
        <v>457.47779928386586</v>
      </c>
      <c r="CX55" s="62">
        <f t="shared" si="14"/>
        <v>743.0625413045517</v>
      </c>
      <c r="CY55" s="62">
        <f ca="1">AVERAGE(OFFSET($CX$3,0,0,'Données projet'!$E$13+1,1))-AVERAGE(OFFSET($H$3,0,0,'Données projet'!$E$13+1,1))</f>
        <v>293.03320024876842</v>
      </c>
      <c r="CZ55" s="62">
        <f t="shared" si="42"/>
        <v>287.49994652707915</v>
      </c>
      <c r="DA55" s="16">
        <f>IF(ISNA(VLOOKUP(A55,'Données projet'!$A$139:$I$159,3,0)),0,VLOOKUP(A55,'Données projet'!$A$139:$I$159,3,0))</f>
        <v>7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2.0018706421942099E-3</v>
      </c>
      <c r="DI55" s="24">
        <f t="shared" si="15"/>
        <v>2.0018706421942099E-3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-1.7053025658242404E-13</v>
      </c>
      <c r="DP55" s="18">
        <f>DO55*VLOOKUP('Données projet'!$B$14,Paramètres!$A$1:$I$89,3,0)*VLOOKUP('Données projet'!$B$14,Paramètres!$A$1:$I$89,5,0)</f>
        <v>-9.3109520094003535E-14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253.0312006976271</v>
      </c>
      <c r="DU55" s="62">
        <f t="shared" si="44"/>
        <v>365.93937083714866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4.3205363926215314</v>
      </c>
      <c r="EB55" s="23">
        <f>EXP(-LN(2)/25)*EB54+(1-EXP(-LN(2)/25))/(LN(2)/25)*Calculateur!DW55*Calculateur!DY55*VLOOKUP('Données projet'!$B$14,Paramètres!$A$1:$I$89,3,0)*0.475*44/12</f>
        <v>5.218026812428298</v>
      </c>
      <c r="EC55" s="23">
        <f>EXP(-LN(2)/2)*EC54+(1-EXP(-LN(2)/2))/(LN(2)/2)*DW55*DZ55*VLOOKUP('Données projet'!$B$14,Paramètres!$A$1:$I$89,3,0)*0.475*44/12</f>
        <v>8.5382610567701963E-3</v>
      </c>
      <c r="ED55" s="24">
        <f t="shared" si="18"/>
        <v>9.5471014661066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1.05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3.85</v>
      </c>
      <c r="H56" s="70">
        <f t="shared" si="1"/>
        <v>241.26666666666665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20.324285714285718</v>
      </c>
      <c r="N56" s="14">
        <f>IF('Données projet'!$A$36&gt;35,N55+M56-V55,IF(A56&lt;'Données projet'!$A$36,$K$205^A56,IF(A56='Données projet'!$A$36,'Données projet'!$B$36,N55+M56-V55)))</f>
        <v>472.51714285714291</v>
      </c>
      <c r="O56" s="14">
        <f>N56*VLOOKUP('Données projet'!$B$9,Paramètres!$A$1:$I$89,3,0)*VLOOKUP('Données projet'!$B$9,Paramètres!$A$1:$I$89,5,0)</f>
        <v>264.1370828571429</v>
      </c>
      <c r="P56" s="14">
        <f t="shared" si="33"/>
        <v>63.60342497029243</v>
      </c>
      <c r="Q56" s="22">
        <f t="shared" si="53"/>
        <v>570.81471779944991</v>
      </c>
      <c r="R56" s="62">
        <f t="shared" si="0"/>
        <v>856.53388055615528</v>
      </c>
      <c r="S56" s="62">
        <f ca="1">AVERAGE(OFFSET($R$3,0,0,'Données projet'!$E$9+1,1))-AVERAGE(OFFSET($H$3,0,0,'Données projet'!$E$9+1,1))</f>
        <v>393.3487617557011</v>
      </c>
      <c r="T56" s="62">
        <f t="shared" si="34"/>
        <v>360.09400083977084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3.3614167508249908</v>
      </c>
      <c r="AA56" s="23">
        <f>EXP(-LN(2)/25)*AA55+(1-EXP(-LN(2)/25))/(LN(2)/25)*Calculateur!V56*Calculateur!X56*VLOOKUP('Données projet'!$B$9,Paramètres!$A$1:$I$89,3,0)*0.475*44/12</f>
        <v>4.9073549346549692</v>
      </c>
      <c r="AB56" s="23">
        <f>EXP(-LN(2)/2)*AB55+(1-EXP(-LN(2)/2))/(LN(2)/2)*V56*Y56*VLOOKUP('Données projet'!$B$9,Paramètres!$A$1:$I$89,3,0)*0.475*44/12</f>
        <v>4.9313036980632345E-3</v>
      </c>
      <c r="AC56" s="24">
        <f t="shared" si="3"/>
        <v>8.2737029891780232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219.59999999999997</v>
      </c>
      <c r="AJ56" s="14">
        <f>AI56*VLOOKUP('Données projet'!$B$10,Paramètres!$A$1:$I$89,3,0)*VLOOKUP('Données projet'!$B$10,Paramètres!$A$1:$I$89,5,0)</f>
        <v>161.01071999999996</v>
      </c>
      <c r="AK56" s="14">
        <f t="shared" si="35"/>
        <v>41.070402507024518</v>
      </c>
      <c r="AL56" s="22">
        <f t="shared" si="4"/>
        <v>351.95795503306755</v>
      </c>
      <c r="AM56" s="62">
        <f t="shared" si="5"/>
        <v>637.67711778977286</v>
      </c>
      <c r="AN56" s="62">
        <f ca="1">AVERAGE(OFFSET($AM$3,0,0,'Données projet'!$E$10+1,1))-AVERAGE(OFFSET($H$3,0,0,'Données projet'!$E$10+1,1))</f>
        <v>283.28499080043167</v>
      </c>
      <c r="AO56" s="62">
        <f t="shared" si="36"/>
        <v>278.56966286485783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1.2376741997195466</v>
      </c>
      <c r="AV56" s="23">
        <f>EXP(-LN(2)/25)*AV55+(1-EXP(-LN(2)/25))/(LN(2)/25)*Calculateur!AQ56*Calculateur!AS56*VLOOKUP('Données projet'!$B$10,Paramètres!$A$1:$I$89,3,0)*0.475*44/12</f>
        <v>4.6052853481273699</v>
      </c>
      <c r="AW56" s="23">
        <f>EXP(-LN(2)/2)*AW55+(1-EXP(-LN(2)/2))/(LN(2)/2)*AQ56*AT56*VLOOKUP('Données projet'!$B$10,Paramètres!$A$1:$I$89,3,0)*0.475*44/12</f>
        <v>4.4779828452971267E-3</v>
      </c>
      <c r="AX56" s="23">
        <f t="shared" si="6"/>
        <v>5.8474375306922139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6.2</v>
      </c>
      <c r="BD56" s="13">
        <f>IF('Données projet'!$A$88&gt;35,BD55+BC56-BL55,IF(A56&lt;'Données projet'!$A$88,$BA$205^A56,IF(A56='Données projet'!$A$88,'Données projet'!$B$88,BD55+BC56-BL55)))</f>
        <v>219.59999999999997</v>
      </c>
      <c r="BE56" s="14">
        <f>BD56*VLOOKUP('Données projet'!$B$11,Paramètres!$A$1:$I$89,3,0)*VLOOKUP('Données projet'!$B$11,Paramètres!$A$1:$I$89,5,0)</f>
        <v>174.71375999999998</v>
      </c>
      <c r="BF56" s="14">
        <f t="shared" si="37"/>
        <v>44.144062647515817</v>
      </c>
      <c r="BG56" s="22">
        <f t="shared" si="7"/>
        <v>381.17737444442332</v>
      </c>
      <c r="BH56" s="62">
        <f t="shared" si="8"/>
        <v>666.89653720112869</v>
      </c>
      <c r="BI56" s="62">
        <f ca="1">AVERAGE(OFFSET($BH$3,0,0,'Données projet'!$E$11+1,1))-AVERAGE(OFFSET($H$3,0,0,'Données projet'!$E$11+1,1))</f>
        <v>303.91914071195419</v>
      </c>
      <c r="BJ56" s="62">
        <f t="shared" si="38"/>
        <v>298.30050362688769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1.3741838091042775</v>
      </c>
      <c r="BR56" s="23">
        <f>EXP(-LN(2)/2)*BR55+(1-EXP(-LN(2)/2))/(LN(2)/2)*BL56*BO56*VLOOKUP('Données projet'!$B$11,Paramètres!$A$1:$I$89,3,0)*0.475*44/12</f>
        <v>8.7882280189824722E-3</v>
      </c>
      <c r="BS56" s="24">
        <f t="shared" si="9"/>
        <v>1.3829720371232599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211.36127999999999</v>
      </c>
      <c r="CA56" s="14">
        <f t="shared" si="39"/>
        <v>52.232947669705631</v>
      </c>
      <c r="CB56" s="22">
        <f t="shared" si="10"/>
        <v>459.09327985807062</v>
      </c>
      <c r="CC56" s="62">
        <f t="shared" si="11"/>
        <v>744.81244261477593</v>
      </c>
      <c r="CD56" s="62">
        <f ca="1">AVERAGE(OFFSET($CC$3,0,0,'Données projet'!$E$12+1,1))-AVERAGE(OFFSET($H$3,0,0,'Données projet'!$E$12+1,1))</f>
        <v>446.15737983598251</v>
      </c>
      <c r="CE56" s="62">
        <f t="shared" si="40"/>
        <v>282.2299715529382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231.37499999999989</v>
      </c>
      <c r="CU56" s="18">
        <f>CT56*VLOOKUP('Données projet'!$B$13,Paramètres!$A$1:$I$89,3,0)*VLOOKUP('Données projet'!$B$13,Paramètres!$A$1:$I$89,5,0)</f>
        <v>180.47249999999991</v>
      </c>
      <c r="CV56" s="14">
        <f t="shared" si="41"/>
        <v>45.427292666837829</v>
      </c>
      <c r="CW56" s="22">
        <f t="shared" si="13"/>
        <v>393.44213889474241</v>
      </c>
      <c r="CX56" s="62">
        <f t="shared" si="14"/>
        <v>679.16130165144773</v>
      </c>
      <c r="CY56" s="62">
        <f ca="1">AVERAGE(OFFSET($CX$3,0,0,'Données projet'!$E$13+1,1))-AVERAGE(OFFSET($H$3,0,0,'Données projet'!$E$13+1,1))</f>
        <v>293.03320024876842</v>
      </c>
      <c r="CZ56" s="62">
        <f t="shared" si="42"/>
        <v>287.49994652707915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1.4155363061537946E-3</v>
      </c>
      <c r="DI56" s="24">
        <f t="shared" si="15"/>
        <v>1.4155363061537946E-3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-1.7053025658242404E-13</v>
      </c>
      <c r="DP56" s="18">
        <f>DO56*VLOOKUP('Données projet'!$B$14,Paramètres!$A$1:$I$89,3,0)*VLOOKUP('Données projet'!$B$14,Paramètres!$A$1:$I$89,5,0)</f>
        <v>-9.3109520094003535E-14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253.0312006976271</v>
      </c>
      <c r="DU56" s="62">
        <f t="shared" si="44"/>
        <v>365.93937083714866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4.2358133092292114</v>
      </c>
      <c r="EB56" s="23">
        <f>EXP(-LN(2)/25)*EB55+(1-EXP(-LN(2)/25))/(LN(2)/25)*Calculateur!DW56*Calculateur!DY56*VLOOKUP('Données projet'!$B$14,Paramètres!$A$1:$I$89,3,0)*0.475*44/12</f>
        <v>5.0753395948383417</v>
      </c>
      <c r="EC56" s="23">
        <f>EXP(-LN(2)/2)*EC55+(1-EXP(-LN(2)/2))/(LN(2)/2)*DW56*DZ56*VLOOKUP('Données projet'!$B$14,Paramètres!$A$1:$I$89,3,0)*0.475*44/12</f>
        <v>6.0374622927832234E-3</v>
      </c>
      <c r="ED56" s="24">
        <f t="shared" si="18"/>
        <v>9.3171903663603359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1.05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3.85</v>
      </c>
      <c r="H57" s="70">
        <f t="shared" si="1"/>
        <v>241.26666666666665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20.324285714285718</v>
      </c>
      <c r="N57" s="14">
        <f>IF('Données projet'!$A$36&gt;35,N56+M57-V56,IF(A57&lt;'Données projet'!$A$36,$K$205^A57,IF(A57='Données projet'!$A$36,'Données projet'!$B$36,N56+M57-V56)))</f>
        <v>492.84142857142865</v>
      </c>
      <c r="O57" s="14">
        <f>N57*VLOOKUP('Données projet'!$B$9,Paramètres!$A$1:$I$89,3,0)*VLOOKUP('Données projet'!$B$9,Paramètres!$A$1:$I$89,5,0)</f>
        <v>275.49835857142858</v>
      </c>
      <c r="P57" s="14">
        <f t="shared" si="33"/>
        <v>66.0147871145425</v>
      </c>
      <c r="Q57" s="22">
        <f t="shared" si="53"/>
        <v>594.80206206973287</v>
      </c>
      <c r="R57" s="62">
        <f t="shared" si="0"/>
        <v>880.65331366320743</v>
      </c>
      <c r="S57" s="62">
        <f ca="1">AVERAGE(OFFSET($R$3,0,0,'Données projet'!$E$9+1,1))-AVERAGE(OFFSET($H$3,0,0,'Données projet'!$E$9+1,1))</f>
        <v>393.3487617557011</v>
      </c>
      <c r="T57" s="62">
        <f t="shared" si="34"/>
        <v>360.09400083977084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3.295501418603084</v>
      </c>
      <c r="AA57" s="23">
        <f>EXP(-LN(2)/25)*AA56+(1-EXP(-LN(2)/25))/(LN(2)/25)*Calculateur!V57*Calculateur!X57*VLOOKUP('Données projet'!$B$9,Paramètres!$A$1:$I$89,3,0)*0.475*44/12</f>
        <v>4.7731630559002491</v>
      </c>
      <c r="AB57" s="23">
        <f>EXP(-LN(2)/2)*AB56+(1-EXP(-LN(2)/2))/(LN(2)/2)*V57*Y57*VLOOKUP('Données projet'!$B$9,Paramètres!$A$1:$I$89,3,0)*0.475*44/12</f>
        <v>3.4869582849908123E-3</v>
      </c>
      <c r="AC57" s="24">
        <f t="shared" si="3"/>
        <v>8.0721514327883241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225.79999999999995</v>
      </c>
      <c r="AJ57" s="14">
        <f>AI57*VLOOKUP('Données projet'!$B$10,Paramètres!$A$1:$I$89,3,0)*VLOOKUP('Données projet'!$B$10,Paramètres!$A$1:$I$89,5,0)</f>
        <v>165.55655999999996</v>
      </c>
      <c r="AK57" s="14">
        <f t="shared" si="35"/>
        <v>42.093312010233895</v>
      </c>
      <c r="AL57" s="22">
        <f t="shared" si="4"/>
        <v>361.65686041782391</v>
      </c>
      <c r="AM57" s="62">
        <f t="shared" si="5"/>
        <v>647.50811201129852</v>
      </c>
      <c r="AN57" s="62">
        <f ca="1">AVERAGE(OFFSET($AM$3,0,0,'Données projet'!$E$10+1,1))-AVERAGE(OFFSET($H$3,0,0,'Données projet'!$E$10+1,1))</f>
        <v>283.28499080043167</v>
      </c>
      <c r="AO57" s="62">
        <f t="shared" si="36"/>
        <v>278.56966286485783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1.2134041635697672</v>
      </c>
      <c r="AV57" s="23">
        <f>EXP(-LN(2)/25)*AV56+(1-EXP(-LN(2)/25))/(LN(2)/25)*Calculateur!AQ57*Calculateur!AS57*VLOOKUP('Données projet'!$B$10,Paramètres!$A$1:$I$89,3,0)*0.475*44/12</f>
        <v>4.4793535781013958</v>
      </c>
      <c r="AW57" s="23">
        <f>EXP(-LN(2)/2)*AW56+(1-EXP(-LN(2)/2))/(LN(2)/2)*AQ57*AT57*VLOOKUP('Données projet'!$B$10,Paramètres!$A$1:$I$89,3,0)*0.475*44/12</f>
        <v>3.1664120359466289E-3</v>
      </c>
      <c r="AX57" s="23">
        <f t="shared" si="6"/>
        <v>5.6959241537071099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6.2</v>
      </c>
      <c r="BD57" s="13">
        <f>IF('Données projet'!$A$88&gt;35,BD56+BC57-BL56,IF(A57&lt;'Données projet'!$A$88,$BA$205^A57,IF(A57='Données projet'!$A$88,'Données projet'!$B$88,BD56+BC57-BL56)))</f>
        <v>225.79999999999995</v>
      </c>
      <c r="BE57" s="14">
        <f>BD57*VLOOKUP('Données projet'!$B$11,Paramètres!$A$1:$I$89,3,0)*VLOOKUP('Données projet'!$B$11,Paramètres!$A$1:$I$89,5,0)</f>
        <v>179.64647999999997</v>
      </c>
      <c r="BF57" s="14">
        <f t="shared" si="37"/>
        <v>45.24352548294069</v>
      </c>
      <c r="BG57" s="22">
        <f t="shared" si="7"/>
        <v>391.68342621612163</v>
      </c>
      <c r="BH57" s="62">
        <f t="shared" si="8"/>
        <v>677.53467780959625</v>
      </c>
      <c r="BI57" s="62">
        <f ca="1">AVERAGE(OFFSET($BH$3,0,0,'Données projet'!$E$11+1,1))-AVERAGE(OFFSET($H$3,0,0,'Données projet'!$E$11+1,1))</f>
        <v>303.91914071195419</v>
      </c>
      <c r="BJ57" s="62">
        <f t="shared" si="38"/>
        <v>298.30050362688769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1.3366066805791352</v>
      </c>
      <c r="BR57" s="23">
        <f>EXP(-LN(2)/2)*BR56+(1-EXP(-LN(2)/2))/(LN(2)/2)*BL57*BO57*VLOOKUP('Données projet'!$B$11,Paramètres!$A$1:$I$89,3,0)*0.475*44/12</f>
        <v>6.214215626836125E-3</v>
      </c>
      <c r="BS57" s="24">
        <f t="shared" si="9"/>
        <v>1.3428208962059713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220.59023999999997</v>
      </c>
      <c r="CA57" s="14">
        <f t="shared" si="39"/>
        <v>54.24315145708789</v>
      </c>
      <c r="CB57" s="22">
        <f t="shared" si="10"/>
        <v>478.66815678776129</v>
      </c>
      <c r="CC57" s="62">
        <f t="shared" si="11"/>
        <v>764.51940838123596</v>
      </c>
      <c r="CD57" s="62">
        <f ca="1">AVERAGE(OFFSET($CC$3,0,0,'Données projet'!$E$12+1,1))-AVERAGE(OFFSET($H$3,0,0,'Données projet'!$E$12+1,1))</f>
        <v>446.15737983598251</v>
      </c>
      <c r="CE57" s="62">
        <f t="shared" si="40"/>
        <v>282.2299715529382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240.74999999999989</v>
      </c>
      <c r="CU57" s="18">
        <f>CT57*VLOOKUP('Données projet'!$B$13,Paramètres!$A$1:$I$89,3,0)*VLOOKUP('Données projet'!$B$13,Paramètres!$A$1:$I$89,5,0)</f>
        <v>187.78499999999991</v>
      </c>
      <c r="CV57" s="14">
        <f t="shared" si="41"/>
        <v>47.049914090154054</v>
      </c>
      <c r="CW57" s="22">
        <f t="shared" si="13"/>
        <v>409.0041420403515</v>
      </c>
      <c r="CX57" s="62">
        <f t="shared" si="14"/>
        <v>694.85539363382611</v>
      </c>
      <c r="CY57" s="62">
        <f ca="1">AVERAGE(OFFSET($CX$3,0,0,'Données projet'!$E$13+1,1))-AVERAGE(OFFSET($H$3,0,0,'Données projet'!$E$13+1,1))</f>
        <v>293.03320024876842</v>
      </c>
      <c r="CZ57" s="62">
        <f t="shared" si="42"/>
        <v>287.49994652707915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1.000935321097105E-3</v>
      </c>
      <c r="DI57" s="24">
        <f t="shared" si="15"/>
        <v>1.000935321097105E-3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-1.7053025658242404E-13</v>
      </c>
      <c r="DP57" s="18">
        <f>DO57*VLOOKUP('Données projet'!$B$14,Paramètres!$A$1:$I$89,3,0)*VLOOKUP('Données projet'!$B$14,Paramètres!$A$1:$I$89,5,0)</f>
        <v>-9.3109520094003535E-14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253.0312006976271</v>
      </c>
      <c r="DU57" s="62">
        <f t="shared" si="44"/>
        <v>365.93937083714866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4.1527515938262365</v>
      </c>
      <c r="EB57" s="23">
        <f>EXP(-LN(2)/25)*EB56+(1-EXP(-LN(2)/25))/(LN(2)/25)*Calculateur!DW57*Calculateur!DY57*VLOOKUP('Données projet'!$B$14,Paramètres!$A$1:$I$89,3,0)*0.475*44/12</f>
        <v>4.9365541667169781</v>
      </c>
      <c r="EC57" s="23">
        <f>EXP(-LN(2)/2)*EC56+(1-EXP(-LN(2)/2))/(LN(2)/2)*DW57*DZ57*VLOOKUP('Données projet'!$B$14,Paramètres!$A$1:$I$89,3,0)*0.475*44/12</f>
        <v>4.2691305283850981E-3</v>
      </c>
      <c r="ED57" s="24">
        <f t="shared" si="18"/>
        <v>9.0935748910716008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1.05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3.85</v>
      </c>
      <c r="H58" s="70">
        <f t="shared" si="1"/>
        <v>241.26666666666665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20.324285714285718</v>
      </c>
      <c r="N58" s="14">
        <f>IF('Données projet'!$A$36&gt;35,N57+M58-V57,IF(A58&lt;'Données projet'!$A$36,$K$205^A58,IF(A58='Données projet'!$A$36,'Données projet'!$B$36,N57+M58-V57)))</f>
        <v>513.16571428571433</v>
      </c>
      <c r="O58" s="14">
        <f>N58*VLOOKUP('Données projet'!$B$9,Paramètres!$A$1:$I$89,3,0)*VLOOKUP('Données projet'!$B$9,Paramètres!$A$1:$I$89,5,0)</f>
        <v>286.85963428571432</v>
      </c>
      <c r="P58" s="14">
        <f t="shared" si="33"/>
        <v>68.414598471463037</v>
      </c>
      <c r="Q58" s="22">
        <f t="shared" si="53"/>
        <v>618.76928871875054</v>
      </c>
      <c r="R58" s="62">
        <f t="shared" si="0"/>
        <v>904.75033770298285</v>
      </c>
      <c r="S58" s="62">
        <f ca="1">AVERAGE(OFFSET($R$3,0,0,'Données projet'!$E$9+1,1))-AVERAGE(OFFSET($H$3,0,0,'Données projet'!$E$9+1,1))</f>
        <v>393.3487617557011</v>
      </c>
      <c r="T58" s="62">
        <f t="shared" si="34"/>
        <v>360.09400083977084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3.2308786458416661</v>
      </c>
      <c r="AA58" s="23">
        <f>EXP(-LN(2)/25)*AA57+(1-EXP(-LN(2)/25))/(LN(2)/25)*Calculateur!V58*Calculateur!X58*VLOOKUP('Données projet'!$B$9,Paramètres!$A$1:$I$89,3,0)*0.475*44/12</f>
        <v>4.6426406611269213</v>
      </c>
      <c r="AB58" s="23">
        <f>EXP(-LN(2)/2)*AB57+(1-EXP(-LN(2)/2))/(LN(2)/2)*V58*Y58*VLOOKUP('Données projet'!$B$9,Paramètres!$A$1:$I$89,3,0)*0.475*44/12</f>
        <v>2.4656518490316173E-3</v>
      </c>
      <c r="AC58" s="24">
        <f t="shared" si="3"/>
        <v>7.875984958817619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231.99999999999994</v>
      </c>
      <c r="AJ58" s="14">
        <f>AI58*VLOOKUP('Données projet'!$B$10,Paramètres!$A$1:$I$89,3,0)*VLOOKUP('Données projet'!$B$10,Paramètres!$A$1:$I$89,5,0)</f>
        <v>170.10239999999996</v>
      </c>
      <c r="AK58" s="14">
        <f t="shared" si="35"/>
        <v>43.112956975087329</v>
      </c>
      <c r="AL58" s="22">
        <f t="shared" si="4"/>
        <v>371.3500800649436</v>
      </c>
      <c r="AM58" s="62">
        <f t="shared" si="5"/>
        <v>657.33112904917584</v>
      </c>
      <c r="AN58" s="62">
        <f ca="1">AVERAGE(OFFSET($AM$3,0,0,'Données projet'!$E$10+1,1))-AVERAGE(OFFSET($H$3,0,0,'Données projet'!$E$10+1,1))</f>
        <v>283.28499080043167</v>
      </c>
      <c r="AO58" s="62">
        <f t="shared" si="36"/>
        <v>278.56966286485783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13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1.1896100480256246</v>
      </c>
      <c r="AV58" s="23">
        <f>EXP(-LN(2)/25)*AV57+(1-EXP(-LN(2)/25))/(LN(2)/25)*Calculateur!AQ58*Calculateur!AS58*VLOOKUP('Données projet'!$B$10,Paramètres!$A$1:$I$89,3,0)*0.475*44/12</f>
        <v>4.3568654189492459</v>
      </c>
      <c r="AW58" s="23">
        <f>EXP(-LN(2)/2)*AW57+(1-EXP(-LN(2)/2))/(LN(2)/2)*AQ58*AT58*VLOOKUP('Données projet'!$B$10,Paramètres!$A$1:$I$89,3,0)*0.475*44/12</f>
        <v>2.2389914226485634E-3</v>
      </c>
      <c r="AX58" s="23">
        <f t="shared" si="6"/>
        <v>5.5487144583975185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</v>
      </c>
      <c r="BB58" s="13">
        <f>VLOOKUP(A58,'Données projet'!$A$87:$I$107,9,0)</f>
        <v>6.2</v>
      </c>
      <c r="BC58" s="13">
        <f t="array" ref="BC58">INDEX(BB:BB,MIN(IF(ISNUMBER(BB58:BB254),ROW(BB58:BB254),"")))</f>
        <v>6.2</v>
      </c>
      <c r="BD58" s="13">
        <f>IF('Données projet'!$A$88&gt;35,BD57+BC58-BL57,IF(A58&lt;'Données projet'!$A$88,$BA$205^A58,IF(A58='Données projet'!$A$88,'Données projet'!$B$88,BD57+BC58-BL57)))</f>
        <v>231.99999999999994</v>
      </c>
      <c r="BE58" s="14">
        <f>BD58*VLOOKUP('Données projet'!$B$11,Paramètres!$A$1:$I$89,3,0)*VLOOKUP('Données projet'!$B$11,Paramètres!$A$1:$I$89,5,0)</f>
        <v>184.57919999999999</v>
      </c>
      <c r="BF58" s="14">
        <f t="shared" si="37"/>
        <v>46.339479465836618</v>
      </c>
      <c r="BG58" s="22">
        <f t="shared" si="7"/>
        <v>402.18336673633206</v>
      </c>
      <c r="BH58" s="62">
        <f t="shared" si="8"/>
        <v>688.16441572056442</v>
      </c>
      <c r="BI58" s="62">
        <f ca="1">AVERAGE(OFFSET($BH$3,0,0,'Données projet'!$E$11+1,1))-AVERAGE(OFFSET($H$3,0,0,'Données projet'!$E$11+1,1))</f>
        <v>303.91914071195419</v>
      </c>
      <c r="BJ58" s="62">
        <f t="shared" si="38"/>
        <v>298.30050362688769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13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1.3000571006096082</v>
      </c>
      <c r="BR58" s="23">
        <f>EXP(-LN(2)/2)*BR57+(1-EXP(-LN(2)/2))/(LN(2)/2)*BL58*BO58*VLOOKUP('Données projet'!$B$11,Paramètres!$A$1:$I$89,3,0)*0.475*44/12</f>
        <v>4.3941140094912361E-3</v>
      </c>
      <c r="BS58" s="24">
        <f t="shared" si="9"/>
        <v>1.3044512146190994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229.81919999999997</v>
      </c>
      <c r="CA58" s="14">
        <f t="shared" si="39"/>
        <v>56.243586554989342</v>
      </c>
      <c r="CB58" s="22">
        <f t="shared" si="10"/>
        <v>498.22601991660639</v>
      </c>
      <c r="CC58" s="62">
        <f t="shared" si="11"/>
        <v>784.20706890083875</v>
      </c>
      <c r="CD58" s="62">
        <f ca="1">AVERAGE(OFFSET($CC$3,0,0,'Données projet'!$E$12+1,1))-AVERAGE(OFFSET($H$3,0,0,'Données projet'!$E$12+1,1))</f>
        <v>446.15737983598251</v>
      </c>
      <c r="CE58" s="62">
        <f t="shared" si="40"/>
        <v>282.2299715529382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250.12499999999989</v>
      </c>
      <c r="CU58" s="18">
        <f>CT58*VLOOKUP('Données projet'!$B$13,Paramètres!$A$1:$I$89,3,0)*VLOOKUP('Données projet'!$B$13,Paramètres!$A$1:$I$89,5,0)</f>
        <v>195.09749999999991</v>
      </c>
      <c r="CV58" s="14">
        <f t="shared" si="41"/>
        <v>48.66519532492579</v>
      </c>
      <c r="CW58" s="22">
        <f t="shared" si="13"/>
        <v>424.55336102424553</v>
      </c>
      <c r="CX58" s="62">
        <f t="shared" si="14"/>
        <v>710.53441000847783</v>
      </c>
      <c r="CY58" s="62">
        <f ca="1">AVERAGE(OFFSET($CX$3,0,0,'Données projet'!$E$13+1,1))-AVERAGE(OFFSET($H$3,0,0,'Données projet'!$E$13+1,1))</f>
        <v>293.03320024876842</v>
      </c>
      <c r="CZ58" s="62">
        <f t="shared" si="42"/>
        <v>287.49994652707915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7.077681530768973E-4</v>
      </c>
      <c r="DI58" s="24">
        <f t="shared" si="15"/>
        <v>7.077681530768973E-4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-1.7053025658242404E-13</v>
      </c>
      <c r="DP58" s="18">
        <f>DO58*VLOOKUP('Données projet'!$B$14,Paramètres!$A$1:$I$89,3,0)*VLOOKUP('Données projet'!$B$14,Paramètres!$A$1:$I$89,5,0)</f>
        <v>-9.3109520094003535E-14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253.0312006976271</v>
      </c>
      <c r="DU58" s="62">
        <f t="shared" si="44"/>
        <v>365.93937083714866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4.0713186679996705</v>
      </c>
      <c r="EB58" s="23">
        <f>EXP(-LN(2)/25)*EB57+(1-EXP(-LN(2)/25))/(LN(2)/25)*Calculateur!DW58*Calculateur!DY58*VLOOKUP('Données projet'!$B$14,Paramètres!$A$1:$I$89,3,0)*0.475*44/12</f>
        <v>4.8015638334260018</v>
      </c>
      <c r="EC58" s="23">
        <f>EXP(-LN(2)/2)*EC57+(1-EXP(-LN(2)/2))/(LN(2)/2)*DW58*DZ58*VLOOKUP('Données projet'!$B$14,Paramètres!$A$1:$I$89,3,0)*0.475*44/12</f>
        <v>3.0187311463916117E-3</v>
      </c>
      <c r="ED58" s="24">
        <f t="shared" si="18"/>
        <v>8.8759012325720636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1.05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3.85</v>
      </c>
      <c r="H59" s="70">
        <f t="shared" si="1"/>
        <v>241.26666666666665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533.49</v>
      </c>
      <c r="L59" s="13">
        <f>VLOOKUP(A59,'Données projet'!$A$35:$I$55,9,0)</f>
        <v>20.324285714285718</v>
      </c>
      <c r="M59" s="13">
        <f t="array" ref="M59">INDEX(L:L,MIN(IF(ISNUMBER(L59:L255),ROW(L59:L255),"")))</f>
        <v>20.324285714285718</v>
      </c>
      <c r="N59" s="14">
        <f>IF('Données projet'!$A$36&gt;35,N58+M59-V58,IF(A59&lt;'Données projet'!$A$36,$K$205^A59,IF(A59='Données projet'!$A$36,'Données projet'!$B$36,N58+M59-V58)))</f>
        <v>533.49</v>
      </c>
      <c r="O59" s="14">
        <f>N59*VLOOKUP('Données projet'!$B$9,Paramètres!$A$1:$I$89,3,0)*VLOOKUP('Données projet'!$B$9,Paramètres!$A$1:$I$89,5,0)</f>
        <v>298.22091</v>
      </c>
      <c r="P59" s="14">
        <f t="shared" si="33"/>
        <v>70.803368864473384</v>
      </c>
      <c r="Q59" s="22">
        <f t="shared" si="53"/>
        <v>642.71728568895776</v>
      </c>
      <c r="R59" s="62">
        <f t="shared" si="0"/>
        <v>928.8258803694016</v>
      </c>
      <c r="S59" s="62">
        <f ca="1">AVERAGE(OFFSET($R$3,0,0,'Données projet'!$E$9+1,1))-AVERAGE(OFFSET($H$3,0,0,'Données projet'!$E$9+1,1))</f>
        <v>393.3487617557011</v>
      </c>
      <c r="T59" s="62">
        <f t="shared" si="34"/>
        <v>360.09400083977084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94.57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3.1675230862381003</v>
      </c>
      <c r="AA59" s="23">
        <f>EXP(-LN(2)/25)*AA58+(1-EXP(-LN(2)/25))/(LN(2)/25)*Calculateur!V59*Calculateur!X59*VLOOKUP('Données projet'!$B$9,Paramètres!$A$1:$I$89,3,0)*0.475*44/12</f>
        <v>4.5156874081025444</v>
      </c>
      <c r="AB59" s="23">
        <f>EXP(-LN(2)/2)*AB58+(1-EXP(-LN(2)/2))/(LN(2)/2)*V59*Y59*VLOOKUP('Données projet'!$B$9,Paramètres!$A$1:$I$89,3,0)*0.475*44/12</f>
        <v>1.7434791424954061E-3</v>
      </c>
      <c r="AC59" s="24">
        <f t="shared" si="3"/>
        <v>7.6849539734831405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224.19999999999993</v>
      </c>
      <c r="AJ59" s="14">
        <f>AI59*VLOOKUP('Données projet'!$B$10,Paramètres!$A$1:$I$89,3,0)*VLOOKUP('Données projet'!$B$10,Paramètres!$A$1:$I$89,5,0)</f>
        <v>164.38343999999995</v>
      </c>
      <c r="AK59" s="14">
        <f t="shared" si="35"/>
        <v>41.82965192331919</v>
      </c>
      <c r="AL59" s="22">
        <f t="shared" si="4"/>
        <v>359.15446843311423</v>
      </c>
      <c r="AM59" s="62">
        <f t="shared" si="5"/>
        <v>645.26306311355813</v>
      </c>
      <c r="AN59" s="62">
        <f ca="1">AVERAGE(OFFSET($AM$3,0,0,'Données projet'!$E$10+1,1))-AVERAGE(OFFSET($H$3,0,0,'Données projet'!$E$10+1,1))</f>
        <v>283.28499080043167</v>
      </c>
      <c r="AO59" s="62">
        <f t="shared" si="36"/>
        <v>278.56966286485783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1.1662825205743252</v>
      </c>
      <c r="AV59" s="23">
        <f>EXP(-LN(2)/25)*AV58+(1-EXP(-LN(2)/25))/(LN(2)/25)*Calculateur!AQ59*Calculateur!AS59*VLOOKUP('Données projet'!$B$10,Paramètres!$A$1:$I$89,3,0)*0.475*44/12</f>
        <v>4.2377267049504841</v>
      </c>
      <c r="AW59" s="23">
        <f>EXP(-LN(2)/2)*AW58+(1-EXP(-LN(2)/2))/(LN(2)/2)*AQ59*AT59*VLOOKUP('Données projet'!$B$10,Paramètres!$A$1:$I$89,3,0)*0.475*44/12</f>
        <v>1.5832060179733144E-3</v>
      </c>
      <c r="AX59" s="23">
        <f t="shared" si="6"/>
        <v>5.4055924315427832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5.2</v>
      </c>
      <c r="BD59" s="13">
        <f>IF('Données projet'!$A$88&gt;35,BD58+BC59-BL58,IF(A59&lt;'Données projet'!$A$88,$BA$205^A59,IF(A59='Données projet'!$A$88,'Données projet'!$B$88,BD58+BC59-BL58)))</f>
        <v>224.19999999999993</v>
      </c>
      <c r="BE59" s="14">
        <f>BD59*VLOOKUP('Données projet'!$B$11,Paramètres!$A$1:$I$89,3,0)*VLOOKUP('Données projet'!$B$11,Paramètres!$A$1:$I$89,5,0)</f>
        <v>178.37351999999996</v>
      </c>
      <c r="BF59" s="14">
        <f t="shared" si="37"/>
        <v>44.960133388294842</v>
      </c>
      <c r="BG59" s="22">
        <f t="shared" si="7"/>
        <v>388.97277965128006</v>
      </c>
      <c r="BH59" s="62">
        <f t="shared" si="8"/>
        <v>675.08137433172396</v>
      </c>
      <c r="BI59" s="62">
        <f ca="1">AVERAGE(OFFSET($BH$3,0,0,'Données projet'!$E$11+1,1))-AVERAGE(OFFSET($H$3,0,0,'Données projet'!$E$11+1,1))</f>
        <v>303.91914071195419</v>
      </c>
      <c r="BJ59" s="62">
        <f t="shared" si="38"/>
        <v>298.30050362688769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1.264506970826407</v>
      </c>
      <c r="BR59" s="23">
        <f>EXP(-LN(2)/2)*BR58+(1-EXP(-LN(2)/2))/(LN(2)/2)*BL59*BO59*VLOOKUP('Données projet'!$B$11,Paramètres!$A$1:$I$89,3,0)*0.475*44/12</f>
        <v>3.1071078134180625E-3</v>
      </c>
      <c r="BS59" s="24">
        <f t="shared" si="9"/>
        <v>1.2676140786398251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212.98991999999998</v>
      </c>
      <c r="CA59" s="14">
        <f t="shared" si="39"/>
        <v>52.588419883221171</v>
      </c>
      <c r="CB59" s="22">
        <f t="shared" si="10"/>
        <v>462.54894196327677</v>
      </c>
      <c r="CC59" s="62">
        <f t="shared" si="11"/>
        <v>748.65753664372073</v>
      </c>
      <c r="CD59" s="62">
        <f ca="1">AVERAGE(OFFSET($CC$3,0,0,'Données projet'!$E$12+1,1))-AVERAGE(OFFSET($H$3,0,0,'Données projet'!$E$12+1,1))</f>
        <v>446.15737983598251</v>
      </c>
      <c r="CE59" s="62">
        <f t="shared" si="40"/>
        <v>282.2299715529382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259.49999999999989</v>
      </c>
      <c r="CU59" s="18">
        <f>CT59*VLOOKUP('Données projet'!$B$13,Paramètres!$A$1:$I$89,3,0)*VLOOKUP('Données projet'!$B$13,Paramètres!$A$1:$I$89,5,0)</f>
        <v>202.40999999999991</v>
      </c>
      <c r="CV59" s="14">
        <f t="shared" si="41"/>
        <v>50.273442991661817</v>
      </c>
      <c r="CW59" s="22">
        <f t="shared" si="13"/>
        <v>440.09032987714414</v>
      </c>
      <c r="CX59" s="62">
        <f t="shared" si="14"/>
        <v>726.19892455758804</v>
      </c>
      <c r="CY59" s="62">
        <f ca="1">AVERAGE(OFFSET($CX$3,0,0,'Données projet'!$E$13+1,1))-AVERAGE(OFFSET($H$3,0,0,'Données projet'!$E$13+1,1))</f>
        <v>293.03320024876842</v>
      </c>
      <c r="CZ59" s="62">
        <f t="shared" si="42"/>
        <v>287.49994652707915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5.0046766054855248E-4</v>
      </c>
      <c r="DI59" s="24">
        <f t="shared" si="15"/>
        <v>5.0046766054855248E-4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-1.7053025658242404E-13</v>
      </c>
      <c r="DP59" s="18">
        <f>DO59*VLOOKUP('Données projet'!$B$14,Paramètres!$A$1:$I$89,3,0)*VLOOKUP('Données projet'!$B$14,Paramètres!$A$1:$I$89,5,0)</f>
        <v>-9.3109520094003535E-14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253.0312006976271</v>
      </c>
      <c r="DU59" s="62">
        <f t="shared" si="44"/>
        <v>365.93937083714866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3.9914825921793828</v>
      </c>
      <c r="EB59" s="23">
        <f>EXP(-LN(2)/25)*EB58+(1-EXP(-LN(2)/25))/(LN(2)/25)*Calculateur!DW59*Calculateur!DY59*VLOOKUP('Données projet'!$B$14,Paramètres!$A$1:$I$89,3,0)*0.475*44/12</f>
        <v>4.6702648178977002</v>
      </c>
      <c r="EC59" s="23">
        <f>EXP(-LN(2)/2)*EC58+(1-EXP(-LN(2)/2))/(LN(2)/2)*DW59*DZ59*VLOOKUP('Données projet'!$B$14,Paramètres!$A$1:$I$89,3,0)*0.475*44/12</f>
        <v>2.1345652641925491E-3</v>
      </c>
      <c r="ED59" s="24">
        <f t="shared" si="18"/>
        <v>8.6638819753412761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1.05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3.85</v>
      </c>
      <c r="H60" s="70">
        <f t="shared" si="1"/>
        <v>241.26666666666665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18.58285714285714</v>
      </c>
      <c r="N60" s="14">
        <f>IF('Données projet'!$A$36&gt;35,N59+M60-V59,IF(A60&lt;'Données projet'!$A$36,$K$205^A60,IF(A60='Données projet'!$A$36,'Données projet'!$B$36,N59+M60-V59)))</f>
        <v>457.50285714285718</v>
      </c>
      <c r="O60" s="14">
        <f>N60*VLOOKUP('Données projet'!$B$9,Paramètres!$A$1:$I$89,3,0)*VLOOKUP('Données projet'!$B$9,Paramètres!$A$1:$I$89,5,0)</f>
        <v>255.74409714285716</v>
      </c>
      <c r="P60" s="14">
        <f t="shared" si="33"/>
        <v>61.814321894325772</v>
      </c>
      <c r="Q60" s="22">
        <f t="shared" si="53"/>
        <v>553.08091315642696</v>
      </c>
      <c r="R60" s="62">
        <f t="shared" si="0"/>
        <v>839.3148409004026</v>
      </c>
      <c r="S60" s="62">
        <f ca="1">AVERAGE(OFFSET($R$3,0,0,'Données projet'!$E$9+1,1))-AVERAGE(OFFSET($H$3,0,0,'Données projet'!$E$9+1,1))</f>
        <v>393.3487617557011</v>
      </c>
      <c r="T60" s="62">
        <f t="shared" si="34"/>
        <v>360.09400083977084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3.1054098905152849</v>
      </c>
      <c r="AA60" s="23">
        <f>EXP(-LN(2)/25)*AA59+(1-EXP(-LN(2)/25))/(LN(2)/25)*Calculateur!V60*Calculateur!X60*VLOOKUP('Données projet'!$B$9,Paramètres!$A$1:$I$89,3,0)*0.475*44/12</f>
        <v>4.3922056984583007</v>
      </c>
      <c r="AB60" s="23">
        <f>EXP(-LN(2)/2)*AB59+(1-EXP(-LN(2)/2))/(LN(2)/2)*V60*Y60*VLOOKUP('Données projet'!$B$9,Paramètres!$A$1:$I$89,3,0)*0.475*44/12</f>
        <v>1.2328259245158086E-3</v>
      </c>
      <c r="AC60" s="24">
        <f t="shared" si="3"/>
        <v>7.4988484148981023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229.39999999999992</v>
      </c>
      <c r="AJ60" s="14">
        <f>AI60*VLOOKUP('Données projet'!$B$10,Paramètres!$A$1:$I$89,3,0)*VLOOKUP('Données projet'!$B$10,Paramètres!$A$1:$I$89,5,0)</f>
        <v>168.19607999999994</v>
      </c>
      <c r="AK60" s="14">
        <f t="shared" si="35"/>
        <v>42.685755010634267</v>
      </c>
      <c r="AL60" s="22">
        <f t="shared" si="4"/>
        <v>367.28586264352117</v>
      </c>
      <c r="AM60" s="62">
        <f t="shared" si="5"/>
        <v>653.51979038749687</v>
      </c>
      <c r="AN60" s="62">
        <f ca="1">AVERAGE(OFFSET($AM$3,0,0,'Données projet'!$E$10+1,1))-AVERAGE(OFFSET($H$3,0,0,'Données projet'!$E$10+1,1))</f>
        <v>283.28499080043167</v>
      </c>
      <c r="AO60" s="62">
        <f t="shared" si="36"/>
        <v>278.56966286485783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1.143412431707959</v>
      </c>
      <c r="AV60" s="23">
        <f>EXP(-LN(2)/25)*AV59+(1-EXP(-LN(2)/25))/(LN(2)/25)*Calculateur!AQ60*Calculateur!AS60*VLOOKUP('Données projet'!$B$10,Paramètres!$A$1:$I$89,3,0)*0.475*44/12</f>
        <v>4.1218458453512508</v>
      </c>
      <c r="AW60" s="23">
        <f>EXP(-LN(2)/2)*AW59+(1-EXP(-LN(2)/2))/(LN(2)/2)*AQ60*AT60*VLOOKUP('Données projet'!$B$10,Paramètres!$A$1:$I$89,3,0)*0.475*44/12</f>
        <v>1.1194957113242817E-3</v>
      </c>
      <c r="AX60" s="23">
        <f t="shared" si="6"/>
        <v>5.2663777727705341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5.2</v>
      </c>
      <c r="BD60" s="13">
        <f>IF('Données projet'!$A$88&gt;35,BD59+BC60-BL59,IF(A60&lt;'Données projet'!$A$88,$BA$205^A60,IF(A60='Données projet'!$A$88,'Données projet'!$B$88,BD59+BC60-BL59)))</f>
        <v>229.39999999999992</v>
      </c>
      <c r="BE60" s="14">
        <f>BD60*VLOOKUP('Données projet'!$B$11,Paramètres!$A$1:$I$89,3,0)*VLOOKUP('Données projet'!$B$11,Paramètres!$A$1:$I$89,5,0)</f>
        <v>182.51063999999994</v>
      </c>
      <c r="BF60" s="14">
        <f t="shared" si="37"/>
        <v>45.880306213791414</v>
      </c>
      <c r="BG60" s="22">
        <f t="shared" si="7"/>
        <v>397.78089798901993</v>
      </c>
      <c r="BH60" s="62">
        <f t="shared" si="8"/>
        <v>684.01482573299563</v>
      </c>
      <c r="BI60" s="62">
        <f ca="1">AVERAGE(OFFSET($BH$3,0,0,'Données projet'!$E$11+1,1))-AVERAGE(OFFSET($H$3,0,0,'Données projet'!$E$11+1,1))</f>
        <v>303.91914071195419</v>
      </c>
      <c r="BJ60" s="62">
        <f t="shared" si="38"/>
        <v>298.30050362688769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1.2299289612116273</v>
      </c>
      <c r="BR60" s="23">
        <f>EXP(-LN(2)/2)*BR59+(1-EXP(-LN(2)/2))/(LN(2)/2)*BL60*BO60*VLOOKUP('Données projet'!$B$11,Paramètres!$A$1:$I$89,3,0)*0.475*44/12</f>
        <v>2.1970570047456181E-3</v>
      </c>
      <c r="BS60" s="24">
        <f t="shared" si="9"/>
        <v>1.2321260182163729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221.49503999999999</v>
      </c>
      <c r="CA60" s="14">
        <f t="shared" si="39"/>
        <v>54.439697086174412</v>
      </c>
      <c r="CB60" s="22">
        <f t="shared" si="10"/>
        <v>480.58633375842032</v>
      </c>
      <c r="CC60" s="62">
        <f t="shared" si="11"/>
        <v>766.82026150239597</v>
      </c>
      <c r="CD60" s="62">
        <f ca="1">AVERAGE(OFFSET($CC$3,0,0,'Données projet'!$E$12+1,1))-AVERAGE(OFFSET($H$3,0,0,'Données projet'!$E$12+1,1))</f>
        <v>446.15737983598251</v>
      </c>
      <c r="CE60" s="62">
        <f t="shared" si="40"/>
        <v>282.2299715529382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268.87499999999989</v>
      </c>
      <c r="CU60" s="18">
        <f>CT60*VLOOKUP('Données projet'!$B$13,Paramètres!$A$1:$I$89,3,0)*VLOOKUP('Données projet'!$B$13,Paramètres!$A$1:$I$89,5,0)</f>
        <v>209.72249999999991</v>
      </c>
      <c r="CV60" s="14">
        <f t="shared" si="41"/>
        <v>51.874940300502246</v>
      </c>
      <c r="CW60" s="22">
        <f t="shared" si="13"/>
        <v>455.61554185670792</v>
      </c>
      <c r="CX60" s="62">
        <f t="shared" si="14"/>
        <v>741.84946960068351</v>
      </c>
      <c r="CY60" s="62">
        <f ca="1">AVERAGE(OFFSET($CX$3,0,0,'Données projet'!$E$13+1,1))-AVERAGE(OFFSET($H$3,0,0,'Données projet'!$E$13+1,1))</f>
        <v>293.03320024876842</v>
      </c>
      <c r="CZ60" s="62">
        <f t="shared" si="42"/>
        <v>287.49994652707915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3.5388407653844865E-4</v>
      </c>
      <c r="DI60" s="24">
        <f t="shared" si="15"/>
        <v>3.5388407653844865E-4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-1.7053025658242404E-13</v>
      </c>
      <c r="DP60" s="18">
        <f>DO60*VLOOKUP('Données projet'!$B$14,Paramètres!$A$1:$I$89,3,0)*VLOOKUP('Données projet'!$B$14,Paramètres!$A$1:$I$89,5,0)</f>
        <v>-9.3109520094003535E-14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253.0312006976271</v>
      </c>
      <c r="DU60" s="62">
        <f t="shared" si="44"/>
        <v>365.93937083714866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3.9132120531107333</v>
      </c>
      <c r="EB60" s="23">
        <f>EXP(-LN(2)/25)*EB59+(1-EXP(-LN(2)/25))/(LN(2)/25)*Calculateur!DW60*Calculateur!DY60*VLOOKUP('Données projet'!$B$14,Paramètres!$A$1:$I$89,3,0)*0.475*44/12</f>
        <v>4.5425561808537349</v>
      </c>
      <c r="EC60" s="23">
        <f>EXP(-LN(2)/2)*EC59+(1-EXP(-LN(2)/2))/(LN(2)/2)*DW60*DZ60*VLOOKUP('Données projet'!$B$14,Paramètres!$A$1:$I$89,3,0)*0.475*44/12</f>
        <v>1.5093655731958058E-3</v>
      </c>
      <c r="ED60" s="24">
        <f t="shared" si="18"/>
        <v>8.4572775995376634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1.05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3.85</v>
      </c>
      <c r="H61" s="70">
        <f t="shared" si="1"/>
        <v>241.26666666666665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18.58285714285714</v>
      </c>
      <c r="N61" s="14">
        <f>IF('Données projet'!$A$36&gt;35,N60+M61-V60,IF(A61&lt;'Données projet'!$A$36,$K$205^A61,IF(A61='Données projet'!$A$36,'Données projet'!$B$36,N60+M61-V60)))</f>
        <v>476.08571428571435</v>
      </c>
      <c r="O61" s="14">
        <f>N61*VLOOKUP('Données projet'!$B$9,Paramètres!$A$1:$I$89,3,0)*VLOOKUP('Données projet'!$B$9,Paramètres!$A$1:$I$89,5,0)</f>
        <v>266.13191428571434</v>
      </c>
      <c r="P61" s="14">
        <f t="shared" si="33"/>
        <v>64.027675737818782</v>
      </c>
      <c r="Q61" s="22">
        <f t="shared" si="53"/>
        <v>575.02795262432016</v>
      </c>
      <c r="R61" s="62">
        <f t="shared" si="0"/>
        <v>861.38503918337801</v>
      </c>
      <c r="S61" s="62">
        <f ca="1">AVERAGE(OFFSET($R$3,0,0,'Données projet'!$E$9+1,1))-AVERAGE(OFFSET($H$3,0,0,'Données projet'!$E$9+1,1))</f>
        <v>393.3487617557011</v>
      </c>
      <c r="T61" s="62">
        <f t="shared" si="34"/>
        <v>360.09400083977084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3.0445146966752854</v>
      </c>
      <c r="AA61" s="23">
        <f>EXP(-LN(2)/25)*AA60+(1-EXP(-LN(2)/25))/(LN(2)/25)*Calculateur!V61*Calculateur!X61*VLOOKUP('Données projet'!$B$9,Paramètres!$A$1:$I$89,3,0)*0.475*44/12</f>
        <v>4.2721006026578996</v>
      </c>
      <c r="AB61" s="23">
        <f>EXP(-LN(2)/2)*AB60+(1-EXP(-LN(2)/2))/(LN(2)/2)*V61*Y61*VLOOKUP('Données projet'!$B$9,Paramètres!$A$1:$I$89,3,0)*0.475*44/12</f>
        <v>8.7173957124770307E-4</v>
      </c>
      <c r="AC61" s="24">
        <f t="shared" si="3"/>
        <v>7.3174870389044324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234.59999999999991</v>
      </c>
      <c r="AJ61" s="14">
        <f>AI61*VLOOKUP('Données projet'!$B$10,Paramètres!$A$1:$I$89,3,0)*VLOOKUP('Données projet'!$B$10,Paramètres!$A$1:$I$89,5,0)</f>
        <v>172.00871999999995</v>
      </c>
      <c r="AK61" s="14">
        <f t="shared" si="35"/>
        <v>43.539602012936207</v>
      </c>
      <c r="AL61" s="22">
        <f t="shared" si="4"/>
        <v>375.41332750586383</v>
      </c>
      <c r="AM61" s="62">
        <f t="shared" si="5"/>
        <v>661.77041406492174</v>
      </c>
      <c r="AN61" s="62">
        <f ca="1">AVERAGE(OFFSET($AM$3,0,0,'Données projet'!$E$10+1,1))-AVERAGE(OFFSET($H$3,0,0,'Données projet'!$E$10+1,1))</f>
        <v>283.28499080043167</v>
      </c>
      <c r="AO61" s="62">
        <f t="shared" si="36"/>
        <v>278.56966286485783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1.1209908113348854</v>
      </c>
      <c r="AV61" s="23">
        <f>EXP(-LN(2)/25)*AV60+(1-EXP(-LN(2)/25))/(LN(2)/25)*Calculateur!AQ61*Calculateur!AS61*VLOOKUP('Données projet'!$B$10,Paramètres!$A$1:$I$89,3,0)*0.475*44/12</f>
        <v>4.0091337539516685</v>
      </c>
      <c r="AW61" s="23">
        <f>EXP(-LN(2)/2)*AW60+(1-EXP(-LN(2)/2))/(LN(2)/2)*AQ61*AT61*VLOOKUP('Données projet'!$B$10,Paramètres!$A$1:$I$89,3,0)*0.475*44/12</f>
        <v>7.9160300898665722E-4</v>
      </c>
      <c r="AX61" s="23">
        <f t="shared" si="6"/>
        <v>5.1309161682955402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5.2</v>
      </c>
      <c r="BD61" s="13">
        <f>IF('Données projet'!$A$88&gt;35,BD60+BC61-BL60,IF(A61&lt;'Données projet'!$A$88,$BA$205^A61,IF(A61='Données projet'!$A$88,'Données projet'!$B$88,BD60+BC61-BL60)))</f>
        <v>234.59999999999991</v>
      </c>
      <c r="BE61" s="14">
        <f>BD61*VLOOKUP('Données projet'!$B$11,Paramètres!$A$1:$I$89,3,0)*VLOOKUP('Données projet'!$B$11,Paramètres!$A$1:$I$89,5,0)</f>
        <v>186.64775999999995</v>
      </c>
      <c r="BF61" s="14">
        <f t="shared" si="37"/>
        <v>46.79805411155214</v>
      </c>
      <c r="BG61" s="22">
        <f t="shared" si="7"/>
        <v>406.58479291095324</v>
      </c>
      <c r="BH61" s="62">
        <f t="shared" si="8"/>
        <v>692.94187947001114</v>
      </c>
      <c r="BI61" s="62">
        <f ca="1">AVERAGE(OFFSET($BH$3,0,0,'Données projet'!$E$11+1,1))-AVERAGE(OFFSET($H$3,0,0,'Données projet'!$E$11+1,1))</f>
        <v>303.91914071195419</v>
      </c>
      <c r="BJ61" s="62">
        <f t="shared" si="38"/>
        <v>298.30050362688769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1.1962964890881422</v>
      </c>
      <c r="BR61" s="23">
        <f>EXP(-LN(2)/2)*BR60+(1-EXP(-LN(2)/2))/(LN(2)/2)*BL61*BO61*VLOOKUP('Données projet'!$B$11,Paramètres!$A$1:$I$89,3,0)*0.475*44/12</f>
        <v>1.5535539067090313E-3</v>
      </c>
      <c r="BS61" s="24">
        <f t="shared" si="9"/>
        <v>1.1978500429948513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230.00015999999997</v>
      </c>
      <c r="CA61" s="14">
        <f t="shared" si="39"/>
        <v>56.282716126880423</v>
      </c>
      <c r="CB61" s="22">
        <f t="shared" si="10"/>
        <v>498.60934258765002</v>
      </c>
      <c r="CC61" s="62">
        <f t="shared" si="11"/>
        <v>784.96642914670792</v>
      </c>
      <c r="CD61" s="62">
        <f ca="1">AVERAGE(OFFSET($CC$3,0,0,'Données projet'!$E$12+1,1))-AVERAGE(OFFSET($H$3,0,0,'Données projet'!$E$12+1,1))</f>
        <v>446.15737983598251</v>
      </c>
      <c r="CE61" s="62">
        <f t="shared" si="40"/>
        <v>282.2299715529382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278.24999999999989</v>
      </c>
      <c r="CU61" s="18">
        <f>CT61*VLOOKUP('Données projet'!$B$13,Paramètres!$A$1:$I$89,3,0)*VLOOKUP('Données projet'!$B$13,Paramètres!$A$1:$I$89,5,0)</f>
        <v>217.03499999999991</v>
      </c>
      <c r="CV61" s="14">
        <f t="shared" si="41"/>
        <v>53.469949591969474</v>
      </c>
      <c r="CW61" s="22">
        <f t="shared" si="13"/>
        <v>471.12945387267996</v>
      </c>
      <c r="CX61" s="62">
        <f t="shared" si="14"/>
        <v>757.48654043173792</v>
      </c>
      <c r="CY61" s="62">
        <f ca="1">AVERAGE(OFFSET($CX$3,0,0,'Données projet'!$E$13+1,1))-AVERAGE(OFFSET($H$3,0,0,'Données projet'!$E$13+1,1))</f>
        <v>293.03320024876842</v>
      </c>
      <c r="CZ61" s="62">
        <f t="shared" si="42"/>
        <v>287.49994652707915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2.5023383027427624E-4</v>
      </c>
      <c r="DI61" s="24">
        <f t="shared" si="15"/>
        <v>2.5023383027427624E-4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-1.7053025658242404E-13</v>
      </c>
      <c r="DP61" s="18">
        <f>DO61*VLOOKUP('Données projet'!$B$14,Paramètres!$A$1:$I$89,3,0)*VLOOKUP('Données projet'!$B$14,Paramètres!$A$1:$I$89,5,0)</f>
        <v>-9.3109520094003535E-14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253.0312006976271</v>
      </c>
      <c r="DU61" s="62">
        <f t="shared" si="44"/>
        <v>365.93937083714866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3.8364763515729048</v>
      </c>
      <c r="EB61" s="23">
        <f>EXP(-LN(2)/25)*EB60+(1-EXP(-LN(2)/25))/(LN(2)/25)*Calculateur!DW61*Calculateur!DY61*VLOOKUP('Données projet'!$B$14,Paramètres!$A$1:$I$89,3,0)*0.475*44/12</f>
        <v>4.4183397432056424</v>
      </c>
      <c r="EC61" s="23">
        <f>EXP(-LN(2)/2)*EC60+(1-EXP(-LN(2)/2))/(LN(2)/2)*DW61*DZ61*VLOOKUP('Données projet'!$B$14,Paramètres!$A$1:$I$89,3,0)*0.475*44/12</f>
        <v>1.0672826320962745E-3</v>
      </c>
      <c r="ED61" s="24">
        <f t="shared" si="18"/>
        <v>8.2558833774106439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1.05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3.85</v>
      </c>
      <c r="H62" s="70">
        <f t="shared" si="1"/>
        <v>241.26666666666665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18.58285714285714</v>
      </c>
      <c r="N62" s="14">
        <f>IF('Données projet'!$A$36&gt;35,N61+M62-V61,IF(A62&lt;'Données projet'!$A$36,$K$205^A62,IF(A62='Données projet'!$A$36,'Données projet'!$B$36,N61+M62-V61)))</f>
        <v>494.66857142857151</v>
      </c>
      <c r="O62" s="14">
        <f>N62*VLOOKUP('Données projet'!$B$9,Paramètres!$A$1:$I$89,3,0)*VLOOKUP('Données projet'!$B$9,Paramètres!$A$1:$I$89,5,0)</f>
        <v>276.5197314285715</v>
      </c>
      <c r="P62" s="14">
        <f t="shared" si="33"/>
        <v>66.230993562988985</v>
      </c>
      <c r="Q62" s="22">
        <f t="shared" si="53"/>
        <v>596.9575126936345</v>
      </c>
      <c r="R62" s="62">
        <f t="shared" si="0"/>
        <v>883.43562153767482</v>
      </c>
      <c r="S62" s="62">
        <f ca="1">AVERAGE(OFFSET($R$3,0,0,'Données projet'!$E$9+1,1))-AVERAGE(OFFSET($H$3,0,0,'Données projet'!$E$9+1,1))</f>
        <v>393.3487617557011</v>
      </c>
      <c r="T62" s="62">
        <f t="shared" si="34"/>
        <v>360.09400083977084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2.9848136204440876</v>
      </c>
      <c r="AA62" s="23">
        <f>EXP(-LN(2)/25)*AA61+(1-EXP(-LN(2)/25))/(LN(2)/25)*Calculateur!V62*Calculateur!X62*VLOOKUP('Données projet'!$B$9,Paramètres!$A$1:$I$89,3,0)*0.475*44/12</f>
        <v>4.1552797870182125</v>
      </c>
      <c r="AB62" s="23">
        <f>EXP(-LN(2)/2)*AB61+(1-EXP(-LN(2)/2))/(LN(2)/2)*V62*Y62*VLOOKUP('Données projet'!$B$9,Paramètres!$A$1:$I$89,3,0)*0.475*44/12</f>
        <v>6.1641296225790432E-4</v>
      </c>
      <c r="AC62" s="24">
        <f t="shared" si="3"/>
        <v>7.1407098204245587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239.7999999999999</v>
      </c>
      <c r="AJ62" s="14">
        <f>AI62*VLOOKUP('Données projet'!$B$10,Paramètres!$A$1:$I$89,3,0)*VLOOKUP('Données projet'!$B$10,Paramètres!$A$1:$I$89,5,0)</f>
        <v>175.82135999999991</v>
      </c>
      <c r="AK62" s="14">
        <f t="shared" si="35"/>
        <v>44.391248695306977</v>
      </c>
      <c r="AL62" s="22">
        <f t="shared" si="4"/>
        <v>383.5369601443262</v>
      </c>
      <c r="AM62" s="62">
        <f t="shared" si="5"/>
        <v>670.01506898836647</v>
      </c>
      <c r="AN62" s="62">
        <f ca="1">AVERAGE(OFFSET($AM$3,0,0,'Données projet'!$E$10+1,1))-AVERAGE(OFFSET($H$3,0,0,'Données projet'!$E$10+1,1))</f>
        <v>283.28499080043167</v>
      </c>
      <c r="AO62" s="62">
        <f t="shared" si="36"/>
        <v>278.56966286485783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1.0990088652614898</v>
      </c>
      <c r="AV62" s="23">
        <f>EXP(-LN(2)/25)*AV61+(1-EXP(-LN(2)/25))/(LN(2)/25)*Calculateur!AQ62*Calculateur!AS62*VLOOKUP('Données projet'!$B$10,Paramètres!$A$1:$I$89,3,0)*0.475*44/12</f>
        <v>3.8995037806186792</v>
      </c>
      <c r="AW62" s="23">
        <f>EXP(-LN(2)/2)*AW61+(1-EXP(-LN(2)/2))/(LN(2)/2)*AQ62*AT62*VLOOKUP('Données projet'!$B$10,Paramètres!$A$1:$I$89,3,0)*0.475*44/12</f>
        <v>5.5974785566214084E-4</v>
      </c>
      <c r="AX62" s="23">
        <f t="shared" si="6"/>
        <v>4.9990723937358306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5.2</v>
      </c>
      <c r="BD62" s="13">
        <f>IF('Données projet'!$A$88&gt;35,BD61+BC62-BL61,IF(A62&lt;'Données projet'!$A$88,$BA$205^A62,IF(A62='Données projet'!$A$88,'Données projet'!$B$88,BD61+BC62-BL61)))</f>
        <v>239.7999999999999</v>
      </c>
      <c r="BE62" s="14">
        <f>BD62*VLOOKUP('Données projet'!$B$11,Paramètres!$A$1:$I$89,3,0)*VLOOKUP('Données projet'!$B$11,Paramètres!$A$1:$I$89,5,0)</f>
        <v>190.78487999999993</v>
      </c>
      <c r="BF62" s="14">
        <f t="shared" si="37"/>
        <v>47.713437020051622</v>
      </c>
      <c r="BG62" s="22">
        <f t="shared" si="7"/>
        <v>415.38456880992311</v>
      </c>
      <c r="BH62" s="62">
        <f t="shared" si="8"/>
        <v>701.86267765396337</v>
      </c>
      <c r="BI62" s="62">
        <f ca="1">AVERAGE(OFFSET($BH$3,0,0,'Données projet'!$E$11+1,1))-AVERAGE(OFFSET($H$3,0,0,'Données projet'!$E$11+1,1))</f>
        <v>303.91914071195419</v>
      </c>
      <c r="BJ62" s="62">
        <f t="shared" si="38"/>
        <v>298.30050362688769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1.1635836986835288</v>
      </c>
      <c r="BR62" s="23">
        <f>EXP(-LN(2)/2)*BR61+(1-EXP(-LN(2)/2))/(LN(2)/2)*BL62*BO62*VLOOKUP('Données projet'!$B$11,Paramètres!$A$1:$I$89,3,0)*0.475*44/12</f>
        <v>1.098528502372809E-3</v>
      </c>
      <c r="BS62" s="24">
        <f t="shared" si="9"/>
        <v>1.1646822271859016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238.50527999999997</v>
      </c>
      <c r="CA62" s="14">
        <f t="shared" si="39"/>
        <v>58.117817352909881</v>
      </c>
      <c r="CB62" s="22">
        <f t="shared" si="10"/>
        <v>516.61856122298457</v>
      </c>
      <c r="CC62" s="62">
        <f t="shared" si="11"/>
        <v>803.09667006702489</v>
      </c>
      <c r="CD62" s="62">
        <f ca="1">AVERAGE(OFFSET($CC$3,0,0,'Données projet'!$E$12+1,1))-AVERAGE(OFFSET($H$3,0,0,'Données projet'!$E$12+1,1))</f>
        <v>446.15737983598251</v>
      </c>
      <c r="CE62" s="62">
        <f t="shared" si="40"/>
        <v>282.2299715529382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287.62499999999989</v>
      </c>
      <c r="CU62" s="18">
        <f>CT62*VLOOKUP('Données projet'!$B$13,Paramètres!$A$1:$I$89,3,0)*VLOOKUP('Données projet'!$B$13,Paramètres!$A$1:$I$89,5,0)</f>
        <v>224.34749999999991</v>
      </c>
      <c r="CV62" s="14">
        <f t="shared" si="41"/>
        <v>55.058714525680429</v>
      </c>
      <c r="CW62" s="22">
        <f t="shared" si="13"/>
        <v>486.63249029889329</v>
      </c>
      <c r="CX62" s="62">
        <f t="shared" si="14"/>
        <v>773.11059914293355</v>
      </c>
      <c r="CY62" s="62">
        <f ca="1">AVERAGE(OFFSET($CX$3,0,0,'Données projet'!$E$13+1,1))-AVERAGE(OFFSET($H$3,0,0,'Données projet'!$E$13+1,1))</f>
        <v>293.03320024876842</v>
      </c>
      <c r="CZ62" s="62">
        <f t="shared" si="42"/>
        <v>287.49994652707915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1.7694203826922432E-4</v>
      </c>
      <c r="DI62" s="24">
        <f t="shared" si="15"/>
        <v>1.7694203826922432E-4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-1.7053025658242404E-13</v>
      </c>
      <c r="DP62" s="18">
        <f>DO62*VLOOKUP('Données projet'!$B$14,Paramètres!$A$1:$I$89,3,0)*VLOOKUP('Données projet'!$B$14,Paramètres!$A$1:$I$89,5,0)</f>
        <v>-9.3109520094003535E-14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253.0312006976271</v>
      </c>
      <c r="DU62" s="62">
        <f t="shared" si="44"/>
        <v>365.93937083714866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3.7612453903380767</v>
      </c>
      <c r="EB62" s="23">
        <f>EXP(-LN(2)/25)*EB61+(1-EXP(-LN(2)/25))/(LN(2)/25)*Calculateur!DW62*Calculateur!DY62*VLOOKUP('Données projet'!$B$14,Paramètres!$A$1:$I$89,3,0)*0.475*44/12</f>
        <v>4.297520010577295</v>
      </c>
      <c r="EC62" s="23">
        <f>EXP(-LN(2)/2)*EC61+(1-EXP(-LN(2)/2))/(LN(2)/2)*DW62*DZ62*VLOOKUP('Données projet'!$B$14,Paramètres!$A$1:$I$89,3,0)*0.475*44/12</f>
        <v>7.5468278659790292E-4</v>
      </c>
      <c r="ED62" s="24">
        <f t="shared" si="18"/>
        <v>8.0595200837019689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1.05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3.85</v>
      </c>
      <c r="H63" s="70">
        <f t="shared" si="1"/>
        <v>241.26666666666665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18.58285714285714</v>
      </c>
      <c r="N63" s="14">
        <f>IF('Données projet'!$A$36&gt;35,N62+M63-V62,IF(A63&lt;'Données projet'!$A$36,$K$205^A63,IF(A63='Données projet'!$A$36,'Données projet'!$B$36,N62+M63-V62)))</f>
        <v>513.25142857142862</v>
      </c>
      <c r="O63" s="14">
        <f>N63*VLOOKUP('Données projet'!$B$9,Paramètres!$A$1:$I$89,3,0)*VLOOKUP('Données projet'!$B$9,Paramètres!$A$1:$I$89,5,0)</f>
        <v>286.90754857142861</v>
      </c>
      <c r="P63" s="14">
        <f t="shared" si="33"/>
        <v>68.424695552593661</v>
      </c>
      <c r="Q63" s="22">
        <f t="shared" si="53"/>
        <v>618.87032518267222</v>
      </c>
      <c r="R63" s="62">
        <f t="shared" si="0"/>
        <v>905.46735684561577</v>
      </c>
      <c r="S63" s="62">
        <f ca="1">AVERAGE(OFFSET($R$3,0,0,'Données projet'!$E$9+1,1))-AVERAGE(OFFSET($H$3,0,0,'Données projet'!$E$9+1,1))</f>
        <v>393.3487617557011</v>
      </c>
      <c r="T63" s="62">
        <f t="shared" si="34"/>
        <v>360.09400083977084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2.9262832459037225</v>
      </c>
      <c r="AA63" s="23">
        <f>EXP(-LN(2)/25)*AA62+(1-EXP(-LN(2)/25))/(LN(2)/25)*Calculateur!V63*Calculateur!X63*VLOOKUP('Données projet'!$B$9,Paramètres!$A$1:$I$89,3,0)*0.475*44/12</f>
        <v>4.0416534427255328</v>
      </c>
      <c r="AB63" s="23">
        <f>EXP(-LN(2)/2)*AB62+(1-EXP(-LN(2)/2))/(LN(2)/2)*V63*Y63*VLOOKUP('Données projet'!$B$9,Paramètres!$A$1:$I$89,3,0)*0.475*44/12</f>
        <v>4.3586978562385153E-4</v>
      </c>
      <c r="AC63" s="24">
        <f t="shared" si="3"/>
        <v>6.9683725584148783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244.99999999999989</v>
      </c>
      <c r="AJ63" s="14">
        <f>AI63*VLOOKUP('Données projet'!$B$10,Paramètres!$A$1:$I$89,3,0)*VLOOKUP('Données projet'!$B$10,Paramètres!$A$1:$I$89,5,0)</f>
        <v>179.6339999999999</v>
      </c>
      <c r="AK63" s="14">
        <f t="shared" si="35"/>
        <v>45.240748266194686</v>
      </c>
      <c r="AL63" s="22">
        <f t="shared" si="4"/>
        <v>391.65685323028885</v>
      </c>
      <c r="AM63" s="62">
        <f t="shared" si="5"/>
        <v>678.25388489323245</v>
      </c>
      <c r="AN63" s="62">
        <f ca="1">AVERAGE(OFFSET($AM$3,0,0,'Données projet'!$E$10+1,1))-AVERAGE(OFFSET($H$3,0,0,'Données projet'!$E$10+1,1))</f>
        <v>283.28499080043167</v>
      </c>
      <c r="AO63" s="62">
        <f t="shared" si="36"/>
        <v>278.56966286485783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12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1.0774579717429302</v>
      </c>
      <c r="AV63" s="23">
        <f>EXP(-LN(2)/25)*AV62+(1-EXP(-LN(2)/25))/(LN(2)/25)*Calculateur!AQ63*Calculateur!AS63*VLOOKUP('Données projet'!$B$10,Paramètres!$A$1:$I$89,3,0)*0.475*44/12</f>
        <v>3.7928716446716702</v>
      </c>
      <c r="AW63" s="23">
        <f>EXP(-LN(2)/2)*AW62+(1-EXP(-LN(2)/2))/(LN(2)/2)*AQ63*AT63*VLOOKUP('Données projet'!$B$10,Paramètres!$A$1:$I$89,3,0)*0.475*44/12</f>
        <v>3.9580150449332861E-4</v>
      </c>
      <c r="AX63" s="23">
        <f t="shared" si="6"/>
        <v>4.8707254179190933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5.2</v>
      </c>
      <c r="BC63" s="13">
        <f t="array" ref="BC63">INDEX(BB:BB,MIN(IF(ISNUMBER(BB63:BB259),ROW(BB63:BB259),"")))</f>
        <v>5.2</v>
      </c>
      <c r="BD63" s="13">
        <f>IF('Données projet'!$A$88&gt;35,BD62+BC63-BL62,IF(A63&lt;'Données projet'!$A$88,$BA$205^A63,IF(A63='Données projet'!$A$88,'Données projet'!$B$88,BD62+BC63-BL62)))</f>
        <v>244.99999999999989</v>
      </c>
      <c r="BE63" s="14">
        <f>BD63*VLOOKUP('Données projet'!$B$11,Paramètres!$A$1:$I$89,3,0)*VLOOKUP('Données projet'!$B$11,Paramètres!$A$1:$I$89,5,0)</f>
        <v>194.92199999999991</v>
      </c>
      <c r="BF63" s="14">
        <f t="shared" si="37"/>
        <v>48.626512129794925</v>
      </c>
      <c r="BG63" s="22">
        <f t="shared" si="7"/>
        <v>424.18032529272597</v>
      </c>
      <c r="BH63" s="62">
        <f t="shared" si="8"/>
        <v>710.77735695566957</v>
      </c>
      <c r="BI63" s="62">
        <f ca="1">AVERAGE(OFFSET($BH$3,0,0,'Données projet'!$E$11+1,1))-AVERAGE(OFFSET($H$3,0,0,'Données projet'!$E$11+1,1))</f>
        <v>303.91914071195419</v>
      </c>
      <c r="BJ63" s="62">
        <f t="shared" si="38"/>
        <v>298.30050362688769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1.1317654412528204</v>
      </c>
      <c r="BR63" s="23">
        <f>EXP(-LN(2)/2)*BR62+(1-EXP(-LN(2)/2))/(LN(2)/2)*BL63*BO63*VLOOKUP('Données projet'!$B$11,Paramètres!$A$1:$I$89,3,0)*0.475*44/12</f>
        <v>7.7677695335451563E-4</v>
      </c>
      <c r="BS63" s="24">
        <f t="shared" si="9"/>
        <v>1.1325422182061748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247.01039999999992</v>
      </c>
      <c r="CA63" s="14">
        <f t="shared" si="39"/>
        <v>59.945315462121812</v>
      </c>
      <c r="CB63" s="22">
        <f t="shared" si="10"/>
        <v>534.61453776319524</v>
      </c>
      <c r="CC63" s="62">
        <f t="shared" si="11"/>
        <v>821.21156942613879</v>
      </c>
      <c r="CD63" s="62">
        <f ca="1">AVERAGE(OFFSET($CC$3,0,0,'Données projet'!$E$12+1,1))-AVERAGE(OFFSET($H$3,0,0,'Données projet'!$E$12+1,1))</f>
        <v>446.15737983598251</v>
      </c>
      <c r="CE63" s="62">
        <f t="shared" si="40"/>
        <v>282.2299715529382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296.99999999999989</v>
      </c>
      <c r="CU63" s="18">
        <f>CT63*VLOOKUP('Données projet'!$B$13,Paramètres!$A$1:$I$89,3,0)*VLOOKUP('Données projet'!$B$13,Paramètres!$A$1:$I$89,5,0)</f>
        <v>231.65999999999991</v>
      </c>
      <c r="CV63" s="14">
        <f t="shared" si="41"/>
        <v>56.641461975682766</v>
      </c>
      <c r="CW63" s="22">
        <f t="shared" si="13"/>
        <v>502.125046274314</v>
      </c>
      <c r="CX63" s="62">
        <f t="shared" si="14"/>
        <v>788.72207793725761</v>
      </c>
      <c r="CY63" s="62">
        <f ca="1">AVERAGE(OFFSET($CX$3,0,0,'Données projet'!$E$13+1,1))-AVERAGE(OFFSET($H$3,0,0,'Données projet'!$E$13+1,1))</f>
        <v>293.03320024876842</v>
      </c>
      <c r="CZ63" s="62">
        <f t="shared" si="42"/>
        <v>287.49994652707915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1.2511691513713812E-4</v>
      </c>
      <c r="DI63" s="24">
        <f t="shared" si="15"/>
        <v>1.2511691513713812E-4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-1.7053025658242404E-13</v>
      </c>
      <c r="DP63" s="18">
        <f>DO63*VLOOKUP('Données projet'!$B$14,Paramètres!$A$1:$I$89,3,0)*VLOOKUP('Données projet'!$B$14,Paramètres!$A$1:$I$89,5,0)</f>
        <v>-9.3109520094003535E-14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253.0312006976271</v>
      </c>
      <c r="DU63" s="62">
        <f t="shared" si="44"/>
        <v>365.93937083714866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3.6874896623667084</v>
      </c>
      <c r="EB63" s="23">
        <f>EXP(-LN(2)/25)*EB62+(1-EXP(-LN(2)/25))/(LN(2)/25)*Calculateur!DW63*Calculateur!DY63*VLOOKUP('Données projet'!$B$14,Paramètres!$A$1:$I$89,3,0)*0.475*44/12</f>
        <v>4.1800040998913035</v>
      </c>
      <c r="EC63" s="23">
        <f>EXP(-LN(2)/2)*EC62+(1-EXP(-LN(2)/2))/(LN(2)/2)*DW63*DZ63*VLOOKUP('Données projet'!$B$14,Paramètres!$A$1:$I$89,3,0)*0.475*44/12</f>
        <v>5.3364131604813727E-4</v>
      </c>
      <c r="ED63" s="24">
        <f t="shared" si="18"/>
        <v>7.8680274035740601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1.05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3.85</v>
      </c>
      <c r="H64" s="70">
        <f t="shared" si="1"/>
        <v>241.26666666666665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18.58285714285714</v>
      </c>
      <c r="N64" s="14">
        <f>IF('Données projet'!$A$36&gt;35,N63+M64-V63,IF(A64&lt;'Données projet'!$A$36,$K$205^A64,IF(A64='Données projet'!$A$36,'Données projet'!$B$36,N63+M64-V63)))</f>
        <v>531.83428571428578</v>
      </c>
      <c r="O64" s="14">
        <f>N64*VLOOKUP('Données projet'!$B$9,Paramètres!$A$1:$I$89,3,0)*VLOOKUP('Données projet'!$B$9,Paramètres!$A$1:$I$89,5,0)</f>
        <v>297.29536571428577</v>
      </c>
      <c r="P64" s="14">
        <f t="shared" si="33"/>
        <v>70.609169738501635</v>
      </c>
      <c r="Q64" s="22">
        <f t="shared" si="53"/>
        <v>640.76706591360471</v>
      </c>
      <c r="R64" s="62">
        <f t="shared" si="0"/>
        <v>927.48095735041511</v>
      </c>
      <c r="S64" s="62">
        <f ca="1">AVERAGE(OFFSET($R$3,0,0,'Données projet'!$E$9+1,1))-AVERAGE(OFFSET($H$3,0,0,'Données projet'!$E$9+1,1))</f>
        <v>393.3487617557011</v>
      </c>
      <c r="T64" s="62">
        <f t="shared" si="34"/>
        <v>360.09400083977084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2.8689006163080903</v>
      </c>
      <c r="AA64" s="23">
        <f>EXP(-LN(2)/25)*AA63+(1-EXP(-LN(2)/25))/(LN(2)/25)*Calculateur!V64*Calculateur!X64*VLOOKUP('Données projet'!$B$9,Paramètres!$A$1:$I$89,3,0)*0.475*44/12</f>
        <v>3.931134216792886</v>
      </c>
      <c r="AB64" s="23">
        <f>EXP(-LN(2)/2)*AB63+(1-EXP(-LN(2)/2))/(LN(2)/2)*V64*Y64*VLOOKUP('Données projet'!$B$9,Paramètres!$A$1:$I$89,3,0)*0.475*44/12</f>
        <v>3.0820648112895216E-4</v>
      </c>
      <c r="AC64" s="24">
        <f t="shared" si="3"/>
        <v>6.8003430395821054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4.2</v>
      </c>
      <c r="AI64" s="14">
        <f>IF('Données projet'!$A$62&gt;35,AI63+AH64-AQ63,IF(A64&lt;'Données projet'!$A$62,$AF$205^A64,IF(A64='Données projet'!$A$62,'Données projet'!$B$62,AI63+AH64-AQ63)))</f>
        <v>237.19999999999987</v>
      </c>
      <c r="AJ64" s="14">
        <f>AI64*VLOOKUP('Données projet'!$B$10,Paramètres!$A$1:$I$89,3,0)*VLOOKUP('Données projet'!$B$10,Paramètres!$A$1:$I$89,5,0)</f>
        <v>173.91503999999992</v>
      </c>
      <c r="AK64" s="14">
        <f t="shared" si="35"/>
        <v>43.965697010718181</v>
      </c>
      <c r="AL64" s="22">
        <f t="shared" si="4"/>
        <v>379.47561696033398</v>
      </c>
      <c r="AM64" s="62">
        <f t="shared" si="5"/>
        <v>666.18950839714444</v>
      </c>
      <c r="AN64" s="62">
        <f ca="1">AVERAGE(OFFSET($AM$3,0,0,'Données projet'!$E$10+1,1))-AVERAGE(OFFSET($H$3,0,0,'Données projet'!$E$10+1,1))</f>
        <v>283.28499080043167</v>
      </c>
      <c r="AO64" s="62">
        <f t="shared" si="36"/>
        <v>278.56966286485783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1.0563296781015226</v>
      </c>
      <c r="AV64" s="23">
        <f>EXP(-LN(2)/25)*AV63+(1-EXP(-LN(2)/25))/(LN(2)/25)*Calculateur!AQ64*Calculateur!AS64*VLOOKUP('Données projet'!$B$10,Paramètres!$A$1:$I$89,3,0)*0.475*44/12</f>
        <v>3.6891553700896722</v>
      </c>
      <c r="AW64" s="23">
        <f>EXP(-LN(2)/2)*AW63+(1-EXP(-LN(2)/2))/(LN(2)/2)*AQ64*AT64*VLOOKUP('Données projet'!$B$10,Paramètres!$A$1:$I$89,3,0)*0.475*44/12</f>
        <v>2.7987392783107042E-4</v>
      </c>
      <c r="AX64" s="23">
        <f t="shared" si="6"/>
        <v>4.7457649221190259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4.2</v>
      </c>
      <c r="BD64" s="13">
        <f>IF('Données projet'!$A$88&gt;35,BD63+BC64-BL63,IF(A64&lt;'Données projet'!$A$88,$BA$205^A64,IF(A64='Données projet'!$A$88,'Données projet'!$B$88,BD63+BC64-BL63)))</f>
        <v>237.19999999999987</v>
      </c>
      <c r="BE64" s="14">
        <f>BD64*VLOOKUP('Données projet'!$B$11,Paramètres!$A$1:$I$89,3,0)*VLOOKUP('Données projet'!$B$11,Paramètres!$A$1:$I$89,5,0)</f>
        <v>188.71631999999991</v>
      </c>
      <c r="BF64" s="14">
        <f t="shared" si="37"/>
        <v>47.256037552855531</v>
      </c>
      <c r="BG64" s="22">
        <f t="shared" si="7"/>
        <v>410.98518940455659</v>
      </c>
      <c r="BH64" s="62">
        <f t="shared" si="8"/>
        <v>697.69908084136705</v>
      </c>
      <c r="BI64" s="62">
        <f ca="1">AVERAGE(OFFSET($BH$3,0,0,'Données projet'!$E$11+1,1))-AVERAGE(OFFSET($H$3,0,0,'Données projet'!$E$11+1,1))</f>
        <v>303.91914071195419</v>
      </c>
      <c r="BJ64" s="62">
        <f t="shared" si="38"/>
        <v>298.30050362688769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1.1008172557448042</v>
      </c>
      <c r="BR64" s="23">
        <f>EXP(-LN(2)/2)*BR63+(1-EXP(-LN(2)/2))/(LN(2)/2)*BL64*BO64*VLOOKUP('Données projet'!$B$11,Paramètres!$A$1:$I$89,3,0)*0.475*44/12</f>
        <v>5.4926425118640451E-4</v>
      </c>
      <c r="BS64" s="24">
        <f t="shared" si="9"/>
        <v>1.1013665199959906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229.63823999999994</v>
      </c>
      <c r="CA64" s="14">
        <f t="shared" si="39"/>
        <v>56.204453396569633</v>
      </c>
      <c r="CB64" s="22">
        <f t="shared" si="10"/>
        <v>497.84269099902531</v>
      </c>
      <c r="CC64" s="62">
        <f t="shared" si="11"/>
        <v>784.55658243583571</v>
      </c>
      <c r="CD64" s="62">
        <f ca="1">AVERAGE(OFFSET($CC$3,0,0,'Données projet'!$E$12+1,1))-AVERAGE(OFFSET($H$3,0,0,'Données projet'!$E$12+1,1))</f>
        <v>446.15737983598251</v>
      </c>
      <c r="CE64" s="62">
        <f t="shared" si="40"/>
        <v>282.2299715529382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258.66666666666657</v>
      </c>
      <c r="CU64" s="18">
        <f>CT64*VLOOKUP('Données projet'!$B$13,Paramètres!$A$1:$I$89,3,0)*VLOOKUP('Données projet'!$B$13,Paramètres!$A$1:$I$89,5,0)</f>
        <v>201.75999999999993</v>
      </c>
      <c r="CV64" s="14">
        <f t="shared" si="41"/>
        <v>50.130765000424169</v>
      </c>
      <c r="CW64" s="22">
        <f t="shared" si="13"/>
        <v>438.70974904240529</v>
      </c>
      <c r="CX64" s="62">
        <f t="shared" si="14"/>
        <v>725.42364047921569</v>
      </c>
      <c r="CY64" s="62">
        <f ca="1">AVERAGE(OFFSET($CX$3,0,0,'Données projet'!$E$13+1,1))-AVERAGE(OFFSET($H$3,0,0,'Données projet'!$E$13+1,1))</f>
        <v>293.03320024876842</v>
      </c>
      <c r="CZ64" s="62">
        <f t="shared" si="42"/>
        <v>287.49994652707915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8.8471019134612162E-5</v>
      </c>
      <c r="DI64" s="24">
        <f t="shared" si="15"/>
        <v>8.8471019134612162E-5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-1.7053025658242404E-13</v>
      </c>
      <c r="DP64" s="18">
        <f>DO64*VLOOKUP('Données projet'!$B$14,Paramètres!$A$1:$I$89,3,0)*VLOOKUP('Données projet'!$B$14,Paramètres!$A$1:$I$89,5,0)</f>
        <v>-9.3109520094003535E-14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253.0312006976271</v>
      </c>
      <c r="DU64" s="62">
        <f t="shared" si="44"/>
        <v>365.93937083714866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3.6151802392343066</v>
      </c>
      <c r="EB64" s="23">
        <f>EXP(-LN(2)/25)*EB63+(1-EXP(-LN(2)/25))/(LN(2)/25)*Calculateur!DW64*Calculateur!DY64*VLOOKUP('Données projet'!$B$14,Paramètres!$A$1:$I$89,3,0)*0.475*44/12</f>
        <v>4.0657016679629141</v>
      </c>
      <c r="EC64" s="23">
        <f>EXP(-LN(2)/2)*EC63+(1-EXP(-LN(2)/2))/(LN(2)/2)*DW64*DZ64*VLOOKUP('Données projet'!$B$14,Paramètres!$A$1:$I$89,3,0)*0.475*44/12</f>
        <v>3.7734139329895146E-4</v>
      </c>
      <c r="ED64" s="24">
        <f t="shared" si="18"/>
        <v>7.6812592485905196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1.05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3.85</v>
      </c>
      <c r="H65" s="70">
        <f t="shared" si="1"/>
        <v>241.26666666666665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18.58285714285714</v>
      </c>
      <c r="N65" s="14">
        <f>IF('Données projet'!$A$36&gt;35,N64+M65-V64,IF(A65&lt;'Données projet'!$A$36,$K$205^A65,IF(A65='Données projet'!$A$36,'Données projet'!$B$36,N64+M65-V64)))</f>
        <v>550.41714285714295</v>
      </c>
      <c r="O65" s="14">
        <f>N65*VLOOKUP('Données projet'!$B$9,Paramètres!$A$1:$I$89,3,0)*VLOOKUP('Données projet'!$B$9,Paramètres!$A$1:$I$89,5,0)</f>
        <v>307.68318285714292</v>
      </c>
      <c r="P65" s="14">
        <f t="shared" si="33"/>
        <v>72.784775498421382</v>
      </c>
      <c r="Q65" s="22">
        <f t="shared" si="53"/>
        <v>662.64836080260773</v>
      </c>
      <c r="R65" s="62">
        <f t="shared" si="0"/>
        <v>949.47708475746788</v>
      </c>
      <c r="S65" s="62">
        <f ca="1">AVERAGE(OFFSET($R$3,0,0,'Données projet'!$E$9+1,1))-AVERAGE(OFFSET($H$3,0,0,'Données projet'!$E$9+1,1))</f>
        <v>393.3487617557011</v>
      </c>
      <c r="T65" s="62">
        <f t="shared" si="34"/>
        <v>360.09400083977084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2.8126432250788809</v>
      </c>
      <c r="AA65" s="23">
        <f>EXP(-LN(2)/25)*AA64+(1-EXP(-LN(2)/25))/(LN(2)/25)*Calculateur!V65*Calculateur!X65*VLOOKUP('Données projet'!$B$9,Paramètres!$A$1:$I$89,3,0)*0.475*44/12</f>
        <v>3.8236371449053208</v>
      </c>
      <c r="AB65" s="23">
        <f>EXP(-LN(2)/2)*AB64+(1-EXP(-LN(2)/2))/(LN(2)/2)*V65*Y65*VLOOKUP('Données projet'!$B$9,Paramètres!$A$1:$I$89,3,0)*0.475*44/12</f>
        <v>2.1793489281192577E-4</v>
      </c>
      <c r="AC65" s="24">
        <f t="shared" si="3"/>
        <v>6.6364983048770139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4.2</v>
      </c>
      <c r="AI65" s="14">
        <f>IF('Données projet'!$A$62&gt;35,AI64+AH65-AQ64,IF(A65&lt;'Données projet'!$A$62,$AF$205^A65,IF(A65='Données projet'!$A$62,'Données projet'!$B$62,AI64+AH65-AQ64)))</f>
        <v>241.39999999999986</v>
      </c>
      <c r="AJ65" s="14">
        <f>AI65*VLOOKUP('Données projet'!$B$10,Paramètres!$A$1:$I$89,3,0)*VLOOKUP('Données projet'!$B$10,Paramètres!$A$1:$I$89,5,0)</f>
        <v>176.9944799999999</v>
      </c>
      <c r="AK65" s="14">
        <f t="shared" si="35"/>
        <v>44.652859460191443</v>
      </c>
      <c r="AL65" s="22">
        <f t="shared" si="4"/>
        <v>386.03578289316653</v>
      </c>
      <c r="AM65" s="62">
        <f t="shared" si="5"/>
        <v>672.86450684802662</v>
      </c>
      <c r="AN65" s="62">
        <f ca="1">AVERAGE(OFFSET($AM$3,0,0,'Données projet'!$E$10+1,1))-AVERAGE(OFFSET($H$3,0,0,'Données projet'!$E$10+1,1))</f>
        <v>283.28499080043167</v>
      </c>
      <c r="AO65" s="62">
        <f t="shared" si="36"/>
        <v>278.56966286485783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1.0356156974114363</v>
      </c>
      <c r="AV65" s="23">
        <f>EXP(-LN(2)/25)*AV64+(1-EXP(-LN(2)/25))/(LN(2)/25)*Calculateur!AQ65*Calculateur!AS65*VLOOKUP('Données projet'!$B$10,Paramètres!$A$1:$I$89,3,0)*0.475*44/12</f>
        <v>3.5882752224903207</v>
      </c>
      <c r="AW65" s="23">
        <f>EXP(-LN(2)/2)*AW64+(1-EXP(-LN(2)/2))/(LN(2)/2)*AQ65*AT65*VLOOKUP('Données projet'!$B$10,Paramètres!$A$1:$I$89,3,0)*0.475*44/12</f>
        <v>1.979007522466643E-4</v>
      </c>
      <c r="AX65" s="23">
        <f t="shared" si="6"/>
        <v>4.6240888206540038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4.2</v>
      </c>
      <c r="BD65" s="13">
        <f>IF('Données projet'!$A$88&gt;35,BD64+BC65-BL64,IF(A65&lt;'Données projet'!$A$88,$BA$205^A65,IF(A65='Données projet'!$A$88,'Données projet'!$B$88,BD64+BC65-BL64)))</f>
        <v>241.39999999999986</v>
      </c>
      <c r="BE65" s="14">
        <f>BD65*VLOOKUP('Données projet'!$B$11,Paramètres!$A$1:$I$89,3,0)*VLOOKUP('Données projet'!$B$11,Paramètres!$A$1:$I$89,5,0)</f>
        <v>192.05783999999991</v>
      </c>
      <c r="BF65" s="14">
        <f t="shared" si="37"/>
        <v>47.994626423840657</v>
      </c>
      <c r="BG65" s="22">
        <f t="shared" si="7"/>
        <v>418.0913790215223</v>
      </c>
      <c r="BH65" s="62">
        <f t="shared" si="8"/>
        <v>704.9201029763824</v>
      </c>
      <c r="BI65" s="62">
        <f ca="1">AVERAGE(OFFSET($BH$3,0,0,'Données projet'!$E$11+1,1))-AVERAGE(OFFSET($H$3,0,0,'Données projet'!$E$11+1,1))</f>
        <v>303.91914071195419</v>
      </c>
      <c r="BJ65" s="62">
        <f t="shared" si="38"/>
        <v>298.30050362688769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1.070715349996999</v>
      </c>
      <c r="BR65" s="23">
        <f>EXP(-LN(2)/2)*BR64+(1-EXP(-LN(2)/2))/(LN(2)/2)*BL65*BO65*VLOOKUP('Données projet'!$B$11,Paramètres!$A$1:$I$89,3,0)*0.475*44/12</f>
        <v>3.8838847667725781E-4</v>
      </c>
      <c r="BS65" s="24">
        <f t="shared" si="9"/>
        <v>1.0711037384736763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237.60047999999995</v>
      </c>
      <c r="CA65" s="14">
        <f t="shared" si="39"/>
        <v>57.922960533442058</v>
      </c>
      <c r="CB65" s="22">
        <f t="shared" si="10"/>
        <v>514.70332559574479</v>
      </c>
      <c r="CC65" s="62">
        <f t="shared" si="11"/>
        <v>801.53204955060494</v>
      </c>
      <c r="CD65" s="62">
        <f ca="1">AVERAGE(OFFSET($CC$3,0,0,'Données projet'!$E$12+1,1))-AVERAGE(OFFSET($H$3,0,0,'Données projet'!$E$12+1,1))</f>
        <v>446.15737983598251</v>
      </c>
      <c r="CE65" s="62">
        <f t="shared" si="40"/>
        <v>282.2299715529382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267.33333333333326</v>
      </c>
      <c r="CU65" s="18">
        <f>CT65*VLOOKUP('Données projet'!$B$13,Paramètres!$A$1:$I$89,3,0)*VLOOKUP('Données projet'!$B$13,Paramètres!$A$1:$I$89,5,0)</f>
        <v>208.51999999999995</v>
      </c>
      <c r="CV65" s="14">
        <f t="shared" si="41"/>
        <v>51.612035456318459</v>
      </c>
      <c r="CW65" s="22">
        <f t="shared" si="13"/>
        <v>453.06329508642119</v>
      </c>
      <c r="CX65" s="62">
        <f t="shared" si="14"/>
        <v>739.8920190412814</v>
      </c>
      <c r="CY65" s="62">
        <f ca="1">AVERAGE(OFFSET($CX$3,0,0,'Données projet'!$E$13+1,1))-AVERAGE(OFFSET($H$3,0,0,'Données projet'!$E$13+1,1))</f>
        <v>293.03320024876842</v>
      </c>
      <c r="CZ65" s="62">
        <f t="shared" si="42"/>
        <v>287.49994652707915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6.255845756856906E-5</v>
      </c>
      <c r="DI65" s="24">
        <f t="shared" si="15"/>
        <v>6.255845756856906E-5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-1.7053025658242404E-13</v>
      </c>
      <c r="DP65" s="18">
        <f>DO65*VLOOKUP('Données projet'!$B$14,Paramètres!$A$1:$I$89,3,0)*VLOOKUP('Données projet'!$B$14,Paramètres!$A$1:$I$89,5,0)</f>
        <v>-9.3109520094003535E-14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253.0312006976271</v>
      </c>
      <c r="DU65" s="62">
        <f t="shared" si="44"/>
        <v>365.93937083714866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3.5442887597851378</v>
      </c>
      <c r="EB65" s="23">
        <f>EXP(-LN(2)/25)*EB64+(1-EXP(-LN(2)/25))/(LN(2)/25)*Calculateur!DW65*Calculateur!DY65*VLOOKUP('Données projet'!$B$14,Paramètres!$A$1:$I$89,3,0)*0.475*44/12</f>
        <v>3.95452484204651</v>
      </c>
      <c r="EC65" s="23">
        <f>EXP(-LN(2)/2)*EC64+(1-EXP(-LN(2)/2))/(LN(2)/2)*DW65*DZ65*VLOOKUP('Données projet'!$B$14,Paramètres!$A$1:$I$89,3,0)*0.475*44/12</f>
        <v>2.6682065802406863E-4</v>
      </c>
      <c r="ED65" s="24">
        <f t="shared" si="18"/>
        <v>7.4990804224896719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1.05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3.85</v>
      </c>
      <c r="H66" s="70">
        <f t="shared" si="1"/>
        <v>241.26666666666665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18.58285714285714</v>
      </c>
      <c r="M66" s="13">
        <f t="array" ref="M66">INDEX(L:L,MIN(IF(ISNUMBER(L66:L262),ROW(L66:L262),"")))</f>
        <v>18.58285714285714</v>
      </c>
      <c r="N66" s="14">
        <f>IF('Données projet'!$A$36&gt;35,N65+M66-V65,IF(A66&lt;'Données projet'!$A$36,$K$205^A66,IF(A66='Données projet'!$A$36,'Données projet'!$B$36,N65+M66-V65)))</f>
        <v>569.00000000000011</v>
      </c>
      <c r="O66" s="14">
        <f>N66*VLOOKUP('Données projet'!$B$9,Paramètres!$A$1:$I$89,3,0)*VLOOKUP('Données projet'!$B$9,Paramètres!$A$1:$I$89,5,0)</f>
        <v>318.07100000000008</v>
      </c>
      <c r="P66" s="14">
        <f t="shared" si="33"/>
        <v>74.951846567144685</v>
      </c>
      <c r="Q66" s="22">
        <f t="shared" si="53"/>
        <v>684.51479110444382</v>
      </c>
      <c r="R66" s="62">
        <f t="shared" si="0"/>
        <v>971.45635548989253</v>
      </c>
      <c r="S66" s="62">
        <f ca="1">AVERAGE(OFFSET($R$3,0,0,'Données projet'!$E$9+1,1))-AVERAGE(OFFSET($H$3,0,0,'Données projet'!$E$9+1,1))</f>
        <v>393.3487617557011</v>
      </c>
      <c r="T66" s="62">
        <f t="shared" si="34"/>
        <v>360.09400083977084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99.49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2.7574890069780555</v>
      </c>
      <c r="AA66" s="23">
        <f>EXP(-LN(2)/25)*AA65+(1-EXP(-LN(2)/25))/(LN(2)/25)*Calculateur!V66*Calculateur!X66*VLOOKUP('Données projet'!$B$9,Paramètres!$A$1:$I$89,3,0)*0.475*44/12</f>
        <v>3.7190795861015462</v>
      </c>
      <c r="AB66" s="23">
        <f>EXP(-LN(2)/2)*AB65+(1-EXP(-LN(2)/2))/(LN(2)/2)*V66*Y66*VLOOKUP('Données projet'!$B$9,Paramètres!$A$1:$I$89,3,0)*0.475*44/12</f>
        <v>1.5410324056447608E-4</v>
      </c>
      <c r="AC66" s="24">
        <f t="shared" si="3"/>
        <v>6.4767226963201665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4.2</v>
      </c>
      <c r="AI66" s="14">
        <f>IF('Données projet'!$A$62&gt;35,AI65+AH66-AQ65,IF(A66&lt;'Données projet'!$A$62,$AF$205^A66,IF(A66='Données projet'!$A$62,'Données projet'!$B$62,AI65+AH66-AQ65)))</f>
        <v>245.59999999999985</v>
      </c>
      <c r="AJ66" s="14">
        <f>AI66*VLOOKUP('Données projet'!$B$10,Paramètres!$A$1:$I$89,3,0)*VLOOKUP('Données projet'!$B$10,Paramètres!$A$1:$I$89,5,0)</f>
        <v>180.07391999999987</v>
      </c>
      <c r="AK66" s="14">
        <f t="shared" si="35"/>
        <v>45.338631611660183</v>
      </c>
      <c r="AL66" s="22">
        <f t="shared" si="4"/>
        <v>392.59352739030788</v>
      </c>
      <c r="AM66" s="62">
        <f t="shared" si="5"/>
        <v>679.53509177575654</v>
      </c>
      <c r="AN66" s="62">
        <f ca="1">AVERAGE(OFFSET($AM$3,0,0,'Données projet'!$E$10+1,1))-AVERAGE(OFFSET($H$3,0,0,'Données projet'!$E$10+1,1))</f>
        <v>283.28499080043167</v>
      </c>
      <c r="AO66" s="62">
        <f t="shared" si="36"/>
        <v>278.56966286485783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1.015307905248402</v>
      </c>
      <c r="AV66" s="23">
        <f>EXP(-LN(2)/25)*AV65+(1-EXP(-LN(2)/25))/(LN(2)/25)*Calculateur!AQ66*Calculateur!AS66*VLOOKUP('Données projet'!$B$10,Paramètres!$A$1:$I$89,3,0)*0.475*44/12</f>
        <v>3.49015364783213</v>
      </c>
      <c r="AW66" s="23">
        <f>EXP(-LN(2)/2)*AW65+(1-EXP(-LN(2)/2))/(LN(2)/2)*AQ66*AT66*VLOOKUP('Données projet'!$B$10,Paramètres!$A$1:$I$89,3,0)*0.475*44/12</f>
        <v>1.3993696391553521E-4</v>
      </c>
      <c r="AX66" s="23">
        <f t="shared" si="6"/>
        <v>4.5056014900444472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4.2</v>
      </c>
      <c r="BD66" s="13">
        <f>IF('Données projet'!$A$88&gt;35,BD65+BC66-BL65,IF(A66&lt;'Données projet'!$A$88,$BA$205^A66,IF(A66='Données projet'!$A$88,'Données projet'!$B$88,BD65+BC66-BL65)))</f>
        <v>245.59999999999985</v>
      </c>
      <c r="BE66" s="14">
        <f>BD66*VLOOKUP('Données projet'!$B$11,Paramètres!$A$1:$I$89,3,0)*VLOOKUP('Données projet'!$B$11,Paramètres!$A$1:$I$89,5,0)</f>
        <v>195.39935999999989</v>
      </c>
      <c r="BF66" s="14">
        <f t="shared" si="37"/>
        <v>48.731720948569951</v>
      </c>
      <c r="BG66" s="22">
        <f t="shared" si="7"/>
        <v>425.19496598542577</v>
      </c>
      <c r="BH66" s="62">
        <f t="shared" si="8"/>
        <v>712.13653037087442</v>
      </c>
      <c r="BI66" s="62">
        <f ca="1">AVERAGE(OFFSET($BH$3,0,0,'Données projet'!$E$11+1,1))-AVERAGE(OFFSET($H$3,0,0,'Données projet'!$E$11+1,1))</f>
        <v>303.91914071195419</v>
      </c>
      <c r="BJ66" s="62">
        <f t="shared" si="38"/>
        <v>298.30050362688769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1.0414365824448579</v>
      </c>
      <c r="BR66" s="23">
        <f>EXP(-LN(2)/2)*BR65+(1-EXP(-LN(2)/2))/(LN(2)/2)*BL66*BO66*VLOOKUP('Données projet'!$B$11,Paramètres!$A$1:$I$89,3,0)*0.475*44/12</f>
        <v>2.7463212559320226E-4</v>
      </c>
      <c r="BS66" s="24">
        <f t="shared" si="9"/>
        <v>1.0417112145704512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245.56271999999998</v>
      </c>
      <c r="CA66" s="14">
        <f t="shared" si="39"/>
        <v>59.634776048276898</v>
      </c>
      <c r="CB66" s="22">
        <f t="shared" si="10"/>
        <v>531.55230561741564</v>
      </c>
      <c r="CC66" s="62">
        <f t="shared" si="11"/>
        <v>818.49387000286424</v>
      </c>
      <c r="CD66" s="62">
        <f ca="1">AVERAGE(OFFSET($CC$3,0,0,'Données projet'!$E$12+1,1))-AVERAGE(OFFSET($H$3,0,0,'Données projet'!$E$12+1,1))</f>
        <v>446.15737983598251</v>
      </c>
      <c r="CE66" s="62">
        <f t="shared" si="40"/>
        <v>282.2299715529382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275.99999999999994</v>
      </c>
      <c r="CU66" s="18">
        <f>CT66*VLOOKUP('Données projet'!$B$13,Paramètres!$A$1:$I$89,3,0)*VLOOKUP('Données projet'!$B$13,Paramètres!$A$1:$I$89,5,0)</f>
        <v>215.27999999999997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754.34868671743448</v>
      </c>
      <c r="CY66" s="62">
        <f ca="1">AVERAGE(OFFSET($CX$3,0,0,'Données projet'!$E$13+1,1))-AVERAGE(OFFSET($H$3,0,0,'Données projet'!$E$13+1,1))</f>
        <v>293.03320024876842</v>
      </c>
      <c r="CZ66" s="62">
        <f t="shared" si="42"/>
        <v>287.49994652707915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4.4235509567306081E-5</v>
      </c>
      <c r="DI66" s="24">
        <f t="shared" si="15"/>
        <v>4.4235509567306081E-5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-1.7053025658242404E-13</v>
      </c>
      <c r="DP66" s="18">
        <f>DO66*VLOOKUP('Données projet'!$B$14,Paramètres!$A$1:$I$89,3,0)*VLOOKUP('Données projet'!$B$14,Paramètres!$A$1:$I$89,5,0)</f>
        <v>-9.3109520094003535E-14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253.0312006976271</v>
      </c>
      <c r="DU66" s="62">
        <f t="shared" si="44"/>
        <v>365.93937083714866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3.4747874190084342</v>
      </c>
      <c r="EB66" s="23">
        <f>EXP(-LN(2)/25)*EB65+(1-EXP(-LN(2)/25))/(LN(2)/25)*Calculateur!DW66*Calculateur!DY66*VLOOKUP('Données projet'!$B$14,Paramètres!$A$1:$I$89,3,0)*0.475*44/12</f>
        <v>3.846388152281325</v>
      </c>
      <c r="EC66" s="23">
        <f>EXP(-LN(2)/2)*EC65+(1-EXP(-LN(2)/2))/(LN(2)/2)*DW66*DZ66*VLOOKUP('Données projet'!$B$14,Paramètres!$A$1:$I$89,3,0)*0.475*44/12</f>
        <v>1.8867069664947573E-4</v>
      </c>
      <c r="ED66" s="24">
        <f t="shared" si="18"/>
        <v>7.3213642419864087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1.05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3.85</v>
      </c>
      <c r="H67" s="70">
        <f t="shared" si="1"/>
        <v>241.26666666666665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16.745000000000005</v>
      </c>
      <c r="N67" s="14">
        <f>IF('Données projet'!$A$36&gt;35,N66+M67-V66,IF(A67&lt;'Données projet'!$A$36,$K$205^A67,IF(A67='Données projet'!$A$36,'Données projet'!$B$36,N66+M67-V66)))</f>
        <v>486.25500000000011</v>
      </c>
      <c r="O67" s="14">
        <f>N67*VLOOKUP('Données projet'!$B$9,Paramètres!$A$1:$I$89,3,0)*VLOOKUP('Données projet'!$B$9,Paramètres!$A$1:$I$89,5,0)</f>
        <v>271.81654500000008</v>
      </c>
      <c r="P67" s="14">
        <f t="shared" si="33"/>
        <v>65.234635404592368</v>
      </c>
      <c r="Q67" s="22">
        <f t="shared" ref="Q67:Q98" si="54">(O67+P67)*0.475*44/12</f>
        <v>587.03080587133184</v>
      </c>
      <c r="R67" s="62">
        <f t="shared" ref="R67:R130" si="55">Q67+(I67+J67)*44/12</f>
        <v>874.0832531581716</v>
      </c>
      <c r="S67" s="62">
        <f ca="1">AVERAGE(OFFSET($R$3,0,0,'Données projet'!$E$9+1,1))-AVERAGE(OFFSET($H$3,0,0,'Données projet'!$E$9+1,1))</f>
        <v>393.3487617557011</v>
      </c>
      <c r="T67" s="62">
        <f t="shared" si="34"/>
        <v>360.09400083977084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2.7034163294534359</v>
      </c>
      <c r="AA67" s="23">
        <f>EXP(-LN(2)/25)*AA66+(1-EXP(-LN(2)/25))/(LN(2)/25)*Calculateur!V67*Calculateur!X67*VLOOKUP('Données projet'!$B$9,Paramètres!$A$1:$I$89,3,0)*0.475*44/12</f>
        <v>3.6173811592417042</v>
      </c>
      <c r="AB67" s="23">
        <f>EXP(-LN(2)/2)*AB66+(1-EXP(-LN(2)/2))/(LN(2)/2)*V67*Y67*VLOOKUP('Données projet'!$B$9,Paramètres!$A$1:$I$89,3,0)*0.475*44/12</f>
        <v>1.0896744640596288E-4</v>
      </c>
      <c r="AC67" s="24">
        <f t="shared" si="3"/>
        <v>6.3209064561415458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4.2</v>
      </c>
      <c r="AI67" s="14">
        <f>IF('Données projet'!$A$62&gt;35,AI66+AH67-AQ66,IF(A67&lt;'Données projet'!$A$62,$AF$205^A67,IF(A67='Données projet'!$A$62,'Données projet'!$B$62,AI66+AH67-AQ66)))</f>
        <v>249.79999999999984</v>
      </c>
      <c r="AJ67" s="14">
        <f>AI67*VLOOKUP('Données projet'!$B$10,Paramètres!$A$1:$I$89,3,0)*VLOOKUP('Données projet'!$B$10,Paramètres!$A$1:$I$89,5,0)</f>
        <v>183.15335999999988</v>
      </c>
      <c r="AK67" s="14">
        <f t="shared" si="35"/>
        <v>46.023039984246878</v>
      </c>
      <c r="AL67" s="22">
        <f t="shared" si="4"/>
        <v>399.14889663922969</v>
      </c>
      <c r="AM67" s="62">
        <f t="shared" si="5"/>
        <v>686.20134392606951</v>
      </c>
      <c r="AN67" s="62">
        <f ca="1">AVERAGE(OFFSET($AM$3,0,0,'Données projet'!$E$10+1,1))-AVERAGE(OFFSET($H$3,0,0,'Données projet'!$E$10+1,1))</f>
        <v>283.28499080043167</v>
      </c>
      <c r="AO67" s="62">
        <f t="shared" si="36"/>
        <v>278.56966286485783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0.99539833650315457</v>
      </c>
      <c r="AV67" s="23">
        <f>EXP(-LN(2)/25)*AV66+(1-EXP(-LN(2)/25))/(LN(2)/25)*Calculateur!AQ67*Calculateur!AS67*VLOOKUP('Données projet'!$B$10,Paramètres!$A$1:$I$89,3,0)*0.475*44/12</f>
        <v>3.3947152127929567</v>
      </c>
      <c r="AW67" s="23">
        <f>EXP(-LN(2)/2)*AW66+(1-EXP(-LN(2)/2))/(LN(2)/2)*AQ67*AT67*VLOOKUP('Données projet'!$B$10,Paramètres!$A$1:$I$89,3,0)*0.475*44/12</f>
        <v>9.8950376123332152E-5</v>
      </c>
      <c r="AX67" s="23">
        <f t="shared" si="6"/>
        <v>4.3902124996722343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4.2</v>
      </c>
      <c r="BD67" s="13">
        <f>IF('Données projet'!$A$88&gt;35,BD66+BC67-BL66,IF(A67&lt;'Données projet'!$A$88,$BA$205^A67,IF(A67='Données projet'!$A$88,'Données projet'!$B$88,BD66+BC67-BL66)))</f>
        <v>249.79999999999984</v>
      </c>
      <c r="BE67" s="14">
        <f>BD67*VLOOKUP('Données projet'!$B$11,Paramètres!$A$1:$I$89,3,0)*VLOOKUP('Données projet'!$B$11,Paramètres!$A$1:$I$89,5,0)</f>
        <v>198.74087999999989</v>
      </c>
      <c r="BF67" s="14">
        <f t="shared" si="37"/>
        <v>49.467349630825595</v>
      </c>
      <c r="BG67" s="22">
        <f t="shared" si="7"/>
        <v>432.29599994035442</v>
      </c>
      <c r="BH67" s="62">
        <f t="shared" si="8"/>
        <v>719.34844722719424</v>
      </c>
      <c r="BI67" s="62">
        <f ca="1">AVERAGE(OFFSET($BH$3,0,0,'Données projet'!$E$11+1,1))-AVERAGE(OFFSET($H$3,0,0,'Données projet'!$E$11+1,1))</f>
        <v>303.91914071195419</v>
      </c>
      <c r="BJ67" s="62">
        <f t="shared" si="38"/>
        <v>298.30050362688769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1.0129584443311337</v>
      </c>
      <c r="BR67" s="23">
        <f>EXP(-LN(2)/2)*BR66+(1-EXP(-LN(2)/2))/(LN(2)/2)*BL67*BO67*VLOOKUP('Données projet'!$B$11,Paramètres!$A$1:$I$89,3,0)*0.475*44/12</f>
        <v>1.9419423833862891E-4</v>
      </c>
      <c r="BS67" s="24">
        <f t="shared" si="9"/>
        <v>1.0131526385694722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253.52495999999999</v>
      </c>
      <c r="CA67" s="14">
        <f t="shared" si="39"/>
        <v>61.340141798422209</v>
      </c>
      <c r="CB67" s="22">
        <f t="shared" si="10"/>
        <v>548.39005229891859</v>
      </c>
      <c r="CC67" s="62">
        <f t="shared" si="11"/>
        <v>835.44249958575847</v>
      </c>
      <c r="CD67" s="62">
        <f ca="1">AVERAGE(OFFSET($CC$3,0,0,'Données projet'!$E$12+1,1))-AVERAGE(OFFSET($H$3,0,0,'Données projet'!$E$12+1,1))</f>
        <v>446.15737983598251</v>
      </c>
      <c r="CE67" s="62">
        <f t="shared" si="40"/>
        <v>282.2299715529382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284.66666666666663</v>
      </c>
      <c r="CU67" s="18">
        <f>CT67*VLOOKUP('Données projet'!$B$13,Paramètres!$A$1:$I$89,3,0)*VLOOKUP('Données projet'!$B$13,Paramètres!$A$1:$I$89,5,0)</f>
        <v>222.04</v>
      </c>
      <c r="CV67" s="14">
        <f t="shared" si="41"/>
        <v>54.558031180803546</v>
      </c>
      <c r="CW67" s="22">
        <f t="shared" si="13"/>
        <v>481.74157097323285</v>
      </c>
      <c r="CX67" s="62">
        <f t="shared" si="14"/>
        <v>768.79401826007268</v>
      </c>
      <c r="CY67" s="62">
        <f ca="1">AVERAGE(OFFSET($CX$3,0,0,'Données projet'!$E$13+1,1))-AVERAGE(OFFSET($H$3,0,0,'Données projet'!$E$13+1,1))</f>
        <v>293.03320024876842</v>
      </c>
      <c r="CZ67" s="62">
        <f t="shared" si="42"/>
        <v>287.49994652707915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3.127922878428453E-5</v>
      </c>
      <c r="DI67" s="24">
        <f t="shared" si="15"/>
        <v>3.127922878428453E-5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-1.7053025658242404E-13</v>
      </c>
      <c r="DP67" s="18">
        <f>DO67*VLOOKUP('Données projet'!$B$14,Paramètres!$A$1:$I$89,3,0)*VLOOKUP('Données projet'!$B$14,Paramètres!$A$1:$I$89,5,0)</f>
        <v>-9.3109520094003535E-14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253.0312006976271</v>
      </c>
      <c r="DU67" s="62">
        <f t="shared" si="44"/>
        <v>365.93937083714866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3.4066489571327301</v>
      </c>
      <c r="EB67" s="23">
        <f>EXP(-LN(2)/25)*EB66+(1-EXP(-LN(2)/25))/(LN(2)/25)*Calculateur!DW67*Calculateur!DY67*VLOOKUP('Données projet'!$B$14,Paramètres!$A$1:$I$89,3,0)*0.475*44/12</f>
        <v>3.7412084659844305</v>
      </c>
      <c r="EC67" s="23">
        <f>EXP(-LN(2)/2)*EC66+(1-EXP(-LN(2)/2))/(LN(2)/2)*DW67*DZ67*VLOOKUP('Données projet'!$B$14,Paramètres!$A$1:$I$89,3,0)*0.475*44/12</f>
        <v>1.3341032901203432E-4</v>
      </c>
      <c r="ED67" s="24">
        <f t="shared" si="18"/>
        <v>7.1479908334461726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1.05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3.85</v>
      </c>
      <c r="H68" s="70">
        <f t="shared" ref="H68:H131" si="56">(B68+E68+F68)*44/12+(C68+D68)*0.475*44/12</f>
        <v>241.26666666666665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16.745000000000005</v>
      </c>
      <c r="N68" s="14">
        <f>IF('Données projet'!$A$36&gt;35,N67+M68-V67,IF(A68&lt;'Données projet'!$A$36,$K$205^A68,IF(A68='Données projet'!$A$36,'Données projet'!$B$36,N67+M68-V67)))</f>
        <v>503.00000000000011</v>
      </c>
      <c r="O68" s="14">
        <f>N68*VLOOKUP('Données projet'!$B$9,Paramètres!$A$1:$I$89,3,0)*VLOOKUP('Données projet'!$B$9,Paramètres!$A$1:$I$89,5,0)</f>
        <v>281.17700000000008</v>
      </c>
      <c r="P68" s="14">
        <f t="shared" si="33"/>
        <v>67.215682058608678</v>
      </c>
      <c r="Q68" s="22">
        <f t="shared" si="54"/>
        <v>606.78392125207699</v>
      </c>
      <c r="R68" s="62">
        <f t="shared" si="55"/>
        <v>893.94532786986588</v>
      </c>
      <c r="S68" s="62">
        <f ca="1">AVERAGE(OFFSET($R$3,0,0,'Données projet'!$E$9+1,1))-AVERAGE(OFFSET($H$3,0,0,'Données projet'!$E$9+1,1))</f>
        <v>393.3487617557011</v>
      </c>
      <c r="T68" s="62">
        <f t="shared" si="34"/>
        <v>360.09400083977084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2.6504039841539977</v>
      </c>
      <c r="AA68" s="23">
        <f>EXP(-LN(2)/25)*AA67+(1-EXP(-LN(2)/25))/(LN(2)/25)*Calculateur!V68*Calculateur!X68*VLOOKUP('Données projet'!$B$9,Paramètres!$A$1:$I$89,3,0)*0.475*44/12</f>
        <v>3.5184636812124324</v>
      </c>
      <c r="AB68" s="23">
        <f>EXP(-LN(2)/2)*AB67+(1-EXP(-LN(2)/2))/(LN(2)/2)*V68*Y68*VLOOKUP('Données projet'!$B$9,Paramètres!$A$1:$I$89,3,0)*0.475*44/12</f>
        <v>7.705162028223804E-5</v>
      </c>
      <c r="AC68" s="24">
        <f t="shared" ref="AC68:AC131" si="57">SUM(Z68:AB68)</f>
        <v>6.1689447169867124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</v>
      </c>
      <c r="AG68" s="13">
        <f>VLOOKUP(A68,'Données projet'!$A$61:$I$81,9,0)</f>
        <v>4.2</v>
      </c>
      <c r="AH68" s="13">
        <f t="array" ref="AH68">INDEX(AG:AG,MIN(IF(ISNUMBER(AG68:AG264),ROW(AG68:AG264),"")))</f>
        <v>4.2</v>
      </c>
      <c r="AI68" s="14">
        <f>IF('Données projet'!$A$62&gt;35,AI67+AH68-AQ67,IF(A68&lt;'Données projet'!$A$62,$AF$205^A68,IF(A68='Données projet'!$A$62,'Données projet'!$B$62,AI67+AH68-AQ67)))</f>
        <v>253.99999999999983</v>
      </c>
      <c r="AJ68" s="14">
        <f>AI68*VLOOKUP('Données projet'!$B$10,Paramètres!$A$1:$I$89,3,0)*VLOOKUP('Données projet'!$B$10,Paramètres!$A$1:$I$89,5,0)</f>
        <v>186.23279999999986</v>
      </c>
      <c r="AK68" s="14">
        <f t="shared" si="35"/>
        <v>46.706110154207899</v>
      </c>
      <c r="AL68" s="22">
        <f t="shared" ref="AL68:AL131" si="58">(AJ68+AK68)*0.475*44/12</f>
        <v>405.70193518524519</v>
      </c>
      <c r="AM68" s="62">
        <f t="shared" ref="AM68:AM131" si="59">AL68+(AD68+AE68)*44/12</f>
        <v>692.86334180303413</v>
      </c>
      <c r="AN68" s="62">
        <f ca="1">AVERAGE(OFFSET($AM$3,0,0,'Données projet'!$E$10+1,1))-AVERAGE(OFFSET($H$3,0,0,'Données projet'!$E$10+1,1))</f>
        <v>283.28499080043167</v>
      </c>
      <c r="AO68" s="62">
        <f t="shared" si="36"/>
        <v>278.56966286485783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11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0.97587918225736359</v>
      </c>
      <c r="AV68" s="23">
        <f>EXP(-LN(2)/25)*AV67+(1-EXP(-LN(2)/25))/(LN(2)/25)*Calculateur!AQ68*Calculateur!AS68*VLOOKUP('Données projet'!$B$10,Paramètres!$A$1:$I$89,3,0)*0.475*44/12</f>
        <v>3.3018865467788192</v>
      </c>
      <c r="AW68" s="23">
        <f>EXP(-LN(2)/2)*AW67+(1-EXP(-LN(2)/2))/(LN(2)/2)*AQ68*AT68*VLOOKUP('Données projet'!$B$10,Paramètres!$A$1:$I$89,3,0)*0.475*44/12</f>
        <v>6.9968481957767605E-5</v>
      </c>
      <c r="AX68" s="23">
        <f t="shared" ref="AX68:AX131" si="60">SUM(AU68:AW68)</f>
        <v>4.2778356975181406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</v>
      </c>
      <c r="BB68" s="13">
        <f>VLOOKUP(A68,'Données projet'!$A$87:$I$107,9,0)</f>
        <v>4.2</v>
      </c>
      <c r="BC68" s="13">
        <f t="array" ref="BC68">INDEX(BB:BB,MIN(IF(ISNUMBER(BB68:BB264),ROW(BB68:BB264),"")))</f>
        <v>4.2</v>
      </c>
      <c r="BD68" s="13">
        <f>IF('Données projet'!$A$88&gt;35,BD67+BC68-BL67,IF(A68&lt;'Données projet'!$A$88,$BA$205^A68,IF(A68='Données projet'!$A$88,'Données projet'!$B$88,BD67+BC68-BL67)))</f>
        <v>253.99999999999983</v>
      </c>
      <c r="BE68" s="14">
        <f>BD68*VLOOKUP('Données projet'!$B$11,Paramètres!$A$1:$I$89,3,0)*VLOOKUP('Données projet'!$B$11,Paramètres!$A$1:$I$89,5,0)</f>
        <v>202.08239999999986</v>
      </c>
      <c r="BF68" s="14">
        <f t="shared" si="37"/>
        <v>50.201539960960616</v>
      </c>
      <c r="BG68" s="22">
        <f t="shared" ref="BG68:BG131" si="61">(BE68+BF68)*0.475*44/12</f>
        <v>439.39452876533943</v>
      </c>
      <c r="BH68" s="62">
        <f t="shared" ref="BH68:BH131" si="62">BG68+(AY68+AZ68)*44/12</f>
        <v>726.55593538312837</v>
      </c>
      <c r="BI68" s="62">
        <f ca="1">AVERAGE(OFFSET($BH$3,0,0,'Données projet'!$E$11+1,1))-AVERAGE(OFFSET($H$3,0,0,'Données projet'!$E$11+1,1))</f>
        <v>303.91914071195419</v>
      </c>
      <c r="BJ68" s="62">
        <f t="shared" si="38"/>
        <v>298.30050362688769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0.98525904240172935</v>
      </c>
      <c r="BR68" s="23">
        <f>EXP(-LN(2)/2)*BR67+(1-EXP(-LN(2)/2))/(LN(2)/2)*BL68*BO68*VLOOKUP('Données projet'!$B$11,Paramètres!$A$1:$I$89,3,0)*0.475*44/12</f>
        <v>1.3731606279660113E-4</v>
      </c>
      <c r="BS68" s="24">
        <f t="shared" ref="BS68:BS131" si="63">SUM(BP68:BR68)</f>
        <v>0.985396358464526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261.48719999999997</v>
      </c>
      <c r="CA68" s="14">
        <f t="shared" si="39"/>
        <v>63.039283586802391</v>
      </c>
      <c r="CB68" s="22">
        <f t="shared" ref="CB68:CB131" si="64">(BZ68+CA68)*0.475*44/12</f>
        <v>565.21695891368086</v>
      </c>
      <c r="CC68" s="62">
        <f t="shared" ref="CC68:CC131" si="65">CB68+(BT68+BU68)*44/12</f>
        <v>852.37836553146985</v>
      </c>
      <c r="CD68" s="62">
        <f ca="1">AVERAGE(OFFSET($CC$3,0,0,'Données projet'!$E$12+1,1))-AVERAGE(OFFSET($H$3,0,0,'Données projet'!$E$12+1,1))</f>
        <v>446.15737983598251</v>
      </c>
      <c r="CE68" s="62">
        <f t="shared" si="40"/>
        <v>282.2299715529382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293.33333333333331</v>
      </c>
      <c r="CU68" s="18">
        <f>CT68*VLOOKUP('Données projet'!$B$13,Paramètres!$A$1:$I$89,3,0)*VLOOKUP('Données projet'!$B$13,Paramètres!$A$1:$I$89,5,0)</f>
        <v>228.79999999999998</v>
      </c>
      <c r="CV68" s="14">
        <f t="shared" si="41"/>
        <v>56.023134533701196</v>
      </c>
      <c r="CW68" s="22">
        <f t="shared" ref="CW68:CW131" si="67">(CU68+CV68)*0.475*44/12</f>
        <v>496.06695931286293</v>
      </c>
      <c r="CX68" s="62">
        <f t="shared" ref="CX68:CX131" si="68">CW68+(CO68+CP68)*44/12</f>
        <v>783.22836593065188</v>
      </c>
      <c r="CY68" s="62">
        <f ca="1">AVERAGE(OFFSET($CX$3,0,0,'Données projet'!$E$13+1,1))-AVERAGE(OFFSET($H$3,0,0,'Données projet'!$E$13+1,1))</f>
        <v>293.03320024876842</v>
      </c>
      <c r="CZ68" s="62">
        <f t="shared" si="42"/>
        <v>287.49994652707915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2.2117754783653041E-5</v>
      </c>
      <c r="DI68" s="24">
        <f t="shared" ref="DI68:DI131" si="69">SUM(DF68:DH68)</f>
        <v>2.2117754783653041E-5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-1.7053025658242404E-13</v>
      </c>
      <c r="DP68" s="18">
        <f>DO68*VLOOKUP('Données projet'!$B$14,Paramètres!$A$1:$I$89,3,0)*VLOOKUP('Données projet'!$B$14,Paramètres!$A$1:$I$89,5,0)</f>
        <v>-9.3109520094003535E-14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253.0312006976271</v>
      </c>
      <c r="DU68" s="62">
        <f t="shared" si="44"/>
        <v>365.93937083714866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3.3398466489340506</v>
      </c>
      <c r="EB68" s="23">
        <f>EXP(-LN(2)/25)*EB67+(1-EXP(-LN(2)/25))/(LN(2)/25)*Calculateur!DW68*Calculateur!DY68*VLOOKUP('Données projet'!$B$14,Paramètres!$A$1:$I$89,3,0)*0.475*44/12</f>
        <v>3.6389049237404838</v>
      </c>
      <c r="EC68" s="23">
        <f>EXP(-LN(2)/2)*EC67+(1-EXP(-LN(2)/2))/(LN(2)/2)*DW68*DZ68*VLOOKUP('Données projet'!$B$14,Paramètres!$A$1:$I$89,3,0)*0.475*44/12</f>
        <v>9.4335348324737866E-5</v>
      </c>
      <c r="ED68" s="24">
        <f t="shared" ref="ED68:ED131" si="72">SUM(EA68:EC68)</f>
        <v>6.9788459080228593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1.05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3.85</v>
      </c>
      <c r="H69" s="70">
        <f t="shared" si="56"/>
        <v>241.26666666666665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16.745000000000005</v>
      </c>
      <c r="N69" s="14">
        <f>IF('Données projet'!$A$36&gt;35,N68+M69-V68,IF(A69&lt;'Données projet'!$A$36,$K$205^A69,IF(A69='Données projet'!$A$36,'Données projet'!$B$36,N68+M69-V68)))</f>
        <v>519.74500000000012</v>
      </c>
      <c r="O69" s="14">
        <f>N69*VLOOKUP('Données projet'!$B$9,Paramètres!$A$1:$I$89,3,0)*VLOOKUP('Données projet'!$B$9,Paramètres!$A$1:$I$89,5,0)</f>
        <v>290.53745500000008</v>
      </c>
      <c r="P69" s="14">
        <f t="shared" ref="P69:P132" si="87">EXP(-1.0587+0.8836*LN(O69)+0.284)</f>
        <v>69.189065543116882</v>
      </c>
      <c r="Q69" s="22">
        <f t="shared" si="54"/>
        <v>626.52368994592871</v>
      </c>
      <c r="R69" s="62">
        <f t="shared" si="55"/>
        <v>913.79216569387131</v>
      </c>
      <c r="S69" s="62">
        <f ca="1">AVERAGE(OFFSET($R$3,0,0,'Données projet'!$E$9+1,1))-AVERAGE(OFFSET($H$3,0,0,'Données projet'!$E$9+1,1))</f>
        <v>393.3487617557011</v>
      </c>
      <c r="T69" s="62">
        <f t="shared" ref="T69:T132" si="88">$T$3</f>
        <v>360.09400083977084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2.5984311786115435</v>
      </c>
      <c r="AA69" s="23">
        <f>EXP(-LN(2)/25)*AA68+(1-EXP(-LN(2)/25))/(LN(2)/25)*Calculateur!V69*Calculateur!X69*VLOOKUP('Données projet'!$B$9,Paramètres!$A$1:$I$89,3,0)*0.475*44/12</f>
        <v>3.4222511068217147</v>
      </c>
      <c r="AB69" s="23">
        <f>EXP(-LN(2)/2)*AB68+(1-EXP(-LN(2)/2))/(LN(2)/2)*V69*Y69*VLOOKUP('Données projet'!$B$9,Paramètres!$A$1:$I$89,3,0)*0.475*44/12</f>
        <v>5.4483723202981442E-5</v>
      </c>
      <c r="AC69" s="24">
        <f t="shared" si="57"/>
        <v>6.0207367691564615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3.8</v>
      </c>
      <c r="AI69" s="14">
        <f>IF('Données projet'!$A$62&gt;35,AI68+AH69-AQ68,IF(A69&lt;'Données projet'!$A$62,$AF$205^A69,IF(A69='Données projet'!$A$62,'Données projet'!$B$62,AI68+AH69-AQ68)))</f>
        <v>246.79999999999984</v>
      </c>
      <c r="AJ69" s="14">
        <f>AI69*VLOOKUP('Données projet'!$B$10,Paramètres!$A$1:$I$89,3,0)*VLOOKUP('Données projet'!$B$10,Paramètres!$A$1:$I$89,5,0)</f>
        <v>180.95375999999987</v>
      </c>
      <c r="AK69" s="14">
        <f t="shared" ref="AK69:AK132" si="89">EXP(-1.0587+0.8836*LN(AJ69)+0.284)</f>
        <v>45.534314886343658</v>
      </c>
      <c r="AL69" s="22">
        <f t="shared" si="58"/>
        <v>394.46673042704833</v>
      </c>
      <c r="AM69" s="62">
        <f t="shared" si="59"/>
        <v>681.73520617499094</v>
      </c>
      <c r="AN69" s="62">
        <f ca="1">AVERAGE(OFFSET($AM$3,0,0,'Données projet'!$E$10+1,1))-AVERAGE(OFFSET($H$3,0,0,'Données projet'!$E$10+1,1))</f>
        <v>283.28499080043167</v>
      </c>
      <c r="AO69" s="62">
        <f t="shared" ref="AO69:AO132" si="90">$AO$3</f>
        <v>278.56966286485783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0.95674278672082402</v>
      </c>
      <c r="AV69" s="23">
        <f>EXP(-LN(2)/25)*AV68+(1-EXP(-LN(2)/25))/(LN(2)/25)*Calculateur!AQ69*Calculateur!AS69*VLOOKUP('Données projet'!$B$10,Paramètres!$A$1:$I$89,3,0)*0.475*44/12</f>
        <v>3.2115962855184854</v>
      </c>
      <c r="AW69" s="23">
        <f>EXP(-LN(2)/2)*AW68+(1-EXP(-LN(2)/2))/(LN(2)/2)*AQ69*AT69*VLOOKUP('Données projet'!$B$10,Paramètres!$A$1:$I$89,3,0)*0.475*44/12</f>
        <v>4.9475188061666076E-5</v>
      </c>
      <c r="AX69" s="23">
        <f t="shared" si="60"/>
        <v>4.1683885474273712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246.79999999999984</v>
      </c>
      <c r="BE69" s="14">
        <f>BD69*VLOOKUP('Données projet'!$B$11,Paramètres!$A$1:$I$89,3,0)*VLOOKUP('Données projet'!$B$11,Paramètres!$A$1:$I$89,5,0)</f>
        <v>196.3540799999999</v>
      </c>
      <c r="BF69" s="14">
        <f t="shared" ref="BF69:BF132" si="91">EXP(-1.0587+0.8836*LN(BE69)+0.284)</f>
        <v>48.942048927099528</v>
      </c>
      <c r="BG69" s="22">
        <f t="shared" si="61"/>
        <v>427.22409121469815</v>
      </c>
      <c r="BH69" s="62">
        <f t="shared" si="62"/>
        <v>714.49256696264081</v>
      </c>
      <c r="BI69" s="62">
        <f ca="1">AVERAGE(OFFSET($BH$3,0,0,'Données projet'!$E$11+1,1))-AVERAGE(OFFSET($H$3,0,0,'Données projet'!$E$11+1,1))</f>
        <v>303.91914071195419</v>
      </c>
      <c r="BJ69" s="62">
        <f t="shared" ref="BJ69:BJ132" si="92">$BJ$3</f>
        <v>298.30050362688769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0.95831708207473287</v>
      </c>
      <c r="BR69" s="23">
        <f>EXP(-LN(2)/2)*BR68+(1-EXP(-LN(2)/2))/(LN(2)/2)*BL69*BO69*VLOOKUP('Données projet'!$B$11,Paramètres!$A$1:$I$89,3,0)*0.475*44/12</f>
        <v>9.7097119169314454E-5</v>
      </c>
      <c r="BS69" s="24">
        <f t="shared" si="63"/>
        <v>0.95841417919390215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243.57216</v>
      </c>
      <c r="CA69" s="14">
        <f t="shared" ref="CA69:CA132" si="93">EXP(-1.0587+0.8836*LN(BZ69)+0.284)</f>
        <v>59.207435995642292</v>
      </c>
      <c r="CB69" s="22">
        <f t="shared" si="64"/>
        <v>527.34112969241028</v>
      </c>
      <c r="CC69" s="62">
        <f t="shared" si="65"/>
        <v>814.60960544035288</v>
      </c>
      <c r="CD69" s="62">
        <f ca="1">AVERAGE(OFFSET($CC$3,0,0,'Données projet'!$E$12+1,1))-AVERAGE(OFFSET($H$3,0,0,'Données projet'!$E$12+1,1))</f>
        <v>446.15737983598251</v>
      </c>
      <c r="CE69" s="62">
        <f t="shared" ref="CE69:CE132" si="94">$CE$3</f>
        <v>282.2299715529382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</v>
      </c>
      <c r="CU69" s="18">
        <f>CT69*VLOOKUP('Données projet'!$B$13,Paramètres!$A$1:$I$89,3,0)*VLOOKUP('Données projet'!$B$13,Paramètres!$A$1:$I$89,5,0)</f>
        <v>235.56</v>
      </c>
      <c r="CV69" s="14">
        <f t="shared" ref="CV69:CV132" si="95">EXP(-1.0587+0.8836*LN(CU69)+0.284)</f>
        <v>57.483207143847721</v>
      </c>
      <c r="CW69" s="22">
        <f t="shared" si="67"/>
        <v>510.38358577553481</v>
      </c>
      <c r="CX69" s="62">
        <f t="shared" si="68"/>
        <v>797.65206152347741</v>
      </c>
      <c r="CY69" s="62">
        <f ca="1">AVERAGE(OFFSET($CX$3,0,0,'Données projet'!$E$13+1,1))-AVERAGE(OFFSET($H$3,0,0,'Données projet'!$E$13+1,1))</f>
        <v>293.03320024876842</v>
      </c>
      <c r="CZ69" s="62">
        <f t="shared" ref="CZ69:CZ132" si="96">$CZ$3</f>
        <v>287.49994652707915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1.5639614392142265E-5</v>
      </c>
      <c r="DI69" s="24">
        <f t="shared" si="69"/>
        <v>1.5639614392142265E-5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-1.7053025658242404E-13</v>
      </c>
      <c r="DP69" s="18">
        <f>DO69*VLOOKUP('Données projet'!$B$14,Paramètres!$A$1:$I$89,3,0)*VLOOKUP('Données projet'!$B$14,Paramètres!$A$1:$I$89,5,0)</f>
        <v>-9.3109520094003535E-14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253.0312006976271</v>
      </c>
      <c r="DU69" s="62">
        <f t="shared" ref="DU69:DU132" si="98">$DU$3</f>
        <v>365.93937083714866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3.2743542932537624</v>
      </c>
      <c r="EB69" s="23">
        <f>EXP(-LN(2)/25)*EB68+(1-EXP(-LN(2)/25))/(LN(2)/25)*Calculateur!DW69*Calculateur!DY69*VLOOKUP('Données projet'!$B$14,Paramètres!$A$1:$I$89,3,0)*0.475*44/12</f>
        <v>3.539398877239107</v>
      </c>
      <c r="EC69" s="23">
        <f>EXP(-LN(2)/2)*EC68+(1-EXP(-LN(2)/2))/(LN(2)/2)*DW69*DZ69*VLOOKUP('Données projet'!$B$14,Paramètres!$A$1:$I$89,3,0)*0.475*44/12</f>
        <v>6.6705164506017159E-5</v>
      </c>
      <c r="ED69" s="24">
        <f t="shared" si="72"/>
        <v>6.8138198756573756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1.05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3.85</v>
      </c>
      <c r="H70" s="70">
        <f t="shared" si="56"/>
        <v>241.26666666666665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16.745000000000005</v>
      </c>
      <c r="N70" s="14">
        <f>IF('Données projet'!$A$36&gt;35,N69+M70-V69,IF(A70&lt;'Données projet'!$A$36,$K$205^A70,IF(A70='Données projet'!$A$36,'Données projet'!$B$36,N69+M70-V69)))</f>
        <v>536.49000000000012</v>
      </c>
      <c r="O70" s="14">
        <f>N70*VLOOKUP('Données projet'!$B$9,Paramètres!$A$1:$I$89,3,0)*VLOOKUP('Données projet'!$B$9,Paramètres!$A$1:$I$89,5,0)</f>
        <v>299.89791000000008</v>
      </c>
      <c r="P70" s="14">
        <f t="shared" si="87"/>
        <v>71.155061066438293</v>
      </c>
      <c r="Q70" s="22">
        <f t="shared" si="54"/>
        <v>646.25059127404677</v>
      </c>
      <c r="R70" s="62">
        <f t="shared" si="55"/>
        <v>933.62427874210562</v>
      </c>
      <c r="S70" s="62">
        <f ca="1">AVERAGE(OFFSET($R$3,0,0,'Données projet'!$E$9+1,1))-AVERAGE(OFFSET($H$3,0,0,'Données projet'!$E$9+1,1))</f>
        <v>393.3487617557011</v>
      </c>
      <c r="T70" s="62">
        <f t="shared" si="88"/>
        <v>360.09400083977084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2.5474775280854955</v>
      </c>
      <c r="AA70" s="23">
        <f>EXP(-LN(2)/25)*AA69+(1-EXP(-LN(2)/25))/(LN(2)/25)*Calculateur!V70*Calculateur!X70*VLOOKUP('Données projet'!$B$9,Paramètres!$A$1:$I$89,3,0)*0.475*44/12</f>
        <v>3.328669470337311</v>
      </c>
      <c r="AB70" s="23">
        <f>EXP(-LN(2)/2)*AB69+(1-EXP(-LN(2)/2))/(LN(2)/2)*V70*Y70*VLOOKUP('Données projet'!$B$9,Paramètres!$A$1:$I$89,3,0)*0.475*44/12</f>
        <v>3.852581014111902E-5</v>
      </c>
      <c r="AC70" s="24">
        <f t="shared" si="57"/>
        <v>5.8761855242329473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3.8</v>
      </c>
      <c r="AI70" s="14">
        <f>IF('Données projet'!$A$62&gt;35,AI69+AH70-AQ69,IF(A70&lt;'Données projet'!$A$62,$AF$205^A70,IF(A70='Données projet'!$A$62,'Données projet'!$B$62,AI69+AH70-AQ69)))</f>
        <v>250.59999999999985</v>
      </c>
      <c r="AJ70" s="14">
        <f>AI70*VLOOKUP('Données projet'!$B$10,Paramètres!$A$1:$I$89,3,0)*VLOOKUP('Données projet'!$B$10,Paramètres!$A$1:$I$89,5,0)</f>
        <v>183.7399199999999</v>
      </c>
      <c r="AK70" s="14">
        <f t="shared" si="89"/>
        <v>46.153250992914103</v>
      </c>
      <c r="AL70" s="22">
        <f t="shared" si="58"/>
        <v>400.39727281265851</v>
      </c>
      <c r="AM70" s="62">
        <f t="shared" si="59"/>
        <v>687.77096028071742</v>
      </c>
      <c r="AN70" s="62">
        <f ca="1">AVERAGE(OFFSET($AM$3,0,0,'Données projet'!$E$10+1,1))-AVERAGE(OFFSET($H$3,0,0,'Données projet'!$E$10+1,1))</f>
        <v>283.28499080043167</v>
      </c>
      <c r="AO70" s="62">
        <f t="shared" si="90"/>
        <v>278.56966286485783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0.93798164422870722</v>
      </c>
      <c r="AV70" s="23">
        <f>EXP(-LN(2)/25)*AV69+(1-EXP(-LN(2)/25))/(LN(2)/25)*Calculateur!AQ70*Calculateur!AS70*VLOOKUP('Données projet'!$B$10,Paramètres!$A$1:$I$89,3,0)*0.475*44/12</f>
        <v>3.123775016200474</v>
      </c>
      <c r="AW70" s="23">
        <f>EXP(-LN(2)/2)*AW69+(1-EXP(-LN(2)/2))/(LN(2)/2)*AQ70*AT70*VLOOKUP('Données projet'!$B$10,Paramètres!$A$1:$I$89,3,0)*0.475*44/12</f>
        <v>3.4984240978883802E-5</v>
      </c>
      <c r="AX70" s="23">
        <f t="shared" si="60"/>
        <v>4.0617916446701603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250.59999999999985</v>
      </c>
      <c r="BE70" s="14">
        <f>BD70*VLOOKUP('Données projet'!$B$11,Paramètres!$A$1:$I$89,3,0)*VLOOKUP('Données projet'!$B$11,Paramètres!$A$1:$I$89,5,0)</f>
        <v>199.3773599999999</v>
      </c>
      <c r="BF70" s="14">
        <f t="shared" si="91"/>
        <v>49.607305476717762</v>
      </c>
      <c r="BG70" s="22">
        <f t="shared" si="61"/>
        <v>433.64829237194994</v>
      </c>
      <c r="BH70" s="62">
        <f t="shared" si="62"/>
        <v>721.02197984000884</v>
      </c>
      <c r="BI70" s="62">
        <f ca="1">AVERAGE(OFFSET($BH$3,0,0,'Données projet'!$E$11+1,1))-AVERAGE(OFFSET($H$3,0,0,'Données projet'!$E$11+1,1))</f>
        <v>303.91914071195419</v>
      </c>
      <c r="BJ70" s="62">
        <f t="shared" si="92"/>
        <v>298.30050362688769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0.93211185106969419</v>
      </c>
      <c r="BR70" s="23">
        <f>EXP(-LN(2)/2)*BR69+(1-EXP(-LN(2)/2))/(LN(2)/2)*BL70*BO70*VLOOKUP('Données projet'!$B$11,Paramètres!$A$1:$I$89,3,0)*0.475*44/12</f>
        <v>6.8658031398300564E-5</v>
      </c>
      <c r="BS70" s="24">
        <f t="shared" si="63"/>
        <v>0.93218050910109251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250.99151999999995</v>
      </c>
      <c r="CA70" s="14">
        <f t="shared" si="93"/>
        <v>60.798211000769406</v>
      </c>
      <c r="CB70" s="22">
        <f t="shared" si="64"/>
        <v>543.03378149300659</v>
      </c>
      <c r="CC70" s="62">
        <f t="shared" si="65"/>
        <v>830.40746896106543</v>
      </c>
      <c r="CD70" s="62">
        <f ca="1">AVERAGE(OFFSET($CC$3,0,0,'Données projet'!$E$12+1,1))-AVERAGE(OFFSET($H$3,0,0,'Données projet'!$E$12+1,1))</f>
        <v>446.15737983598251</v>
      </c>
      <c r="CE70" s="62">
        <f t="shared" si="94"/>
        <v>282.2299715529382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310.66666666666669</v>
      </c>
      <c r="CU70" s="18">
        <f>CT70*VLOOKUP('Données projet'!$B$13,Paramètres!$A$1:$I$89,3,0)*VLOOKUP('Données projet'!$B$13,Paramètres!$A$1:$I$89,5,0)</f>
        <v>242.32000000000002</v>
      </c>
      <c r="CV70" s="14">
        <f t="shared" si="95"/>
        <v>58.938409961900859</v>
      </c>
      <c r="CW70" s="22">
        <f t="shared" si="67"/>
        <v>524.69173068364398</v>
      </c>
      <c r="CX70" s="62">
        <f t="shared" si="68"/>
        <v>812.06541815170294</v>
      </c>
      <c r="CY70" s="62">
        <f ca="1">AVERAGE(OFFSET($CX$3,0,0,'Données projet'!$E$13+1,1))-AVERAGE(OFFSET($H$3,0,0,'Données projet'!$E$13+1,1))</f>
        <v>293.03320024876842</v>
      </c>
      <c r="CZ70" s="62">
        <f t="shared" si="96"/>
        <v>287.49994652707915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1.105887739182652E-5</v>
      </c>
      <c r="DI70" s="24">
        <f t="shared" si="69"/>
        <v>1.105887739182652E-5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-1.7053025658242404E-13</v>
      </c>
      <c r="DP70" s="18">
        <f>DO70*VLOOKUP('Données projet'!$B$14,Paramètres!$A$1:$I$89,3,0)*VLOOKUP('Données projet'!$B$14,Paramètres!$A$1:$I$89,5,0)</f>
        <v>-9.3109520094003535E-14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253.0312006976271</v>
      </c>
      <c r="DU70" s="62">
        <f t="shared" si="98"/>
        <v>365.93937083714866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3.210146202721972</v>
      </c>
      <c r="EB70" s="23">
        <f>EXP(-LN(2)/25)*EB69+(1-EXP(-LN(2)/25))/(LN(2)/25)*Calculateur!DW70*Calculateur!DY70*VLOOKUP('Données projet'!$B$14,Paramètres!$A$1:$I$89,3,0)*0.475*44/12</f>
        <v>3.4426138288121062</v>
      </c>
      <c r="EC70" s="23">
        <f>EXP(-LN(2)/2)*EC69+(1-EXP(-LN(2)/2))/(LN(2)/2)*DW70*DZ70*VLOOKUP('Données projet'!$B$14,Paramètres!$A$1:$I$89,3,0)*0.475*44/12</f>
        <v>4.7167674162368933E-5</v>
      </c>
      <c r="ED70" s="24">
        <f t="shared" si="72"/>
        <v>6.6528071992082403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1.05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3.85</v>
      </c>
      <c r="H71" s="70">
        <f t="shared" si="56"/>
        <v>241.26666666666665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16.745000000000005</v>
      </c>
      <c r="N71" s="14">
        <f>IF('Données projet'!$A$36&gt;35,N70+M71-V70,IF(A71&lt;'Données projet'!$A$36,$K$205^A71,IF(A71='Données projet'!$A$36,'Données projet'!$B$36,N70+M71-V70)))</f>
        <v>553.23500000000013</v>
      </c>
      <c r="O71" s="14">
        <f>N71*VLOOKUP('Données projet'!$B$9,Paramètres!$A$1:$I$89,3,0)*VLOOKUP('Données projet'!$B$9,Paramètres!$A$1:$I$89,5,0)</f>
        <v>309.25836500000008</v>
      </c>
      <c r="P71" s="14">
        <f t="shared" si="87"/>
        <v>73.113925681396637</v>
      </c>
      <c r="Q71" s="22">
        <f t="shared" si="54"/>
        <v>665.96507293676598</v>
      </c>
      <c r="R71" s="62">
        <f t="shared" si="55"/>
        <v>953.44214693681533</v>
      </c>
      <c r="S71" s="62">
        <f ca="1">AVERAGE(OFFSET($R$3,0,0,'Données projet'!$E$9+1,1))-AVERAGE(OFFSET($H$3,0,0,'Données projet'!$E$9+1,1))</f>
        <v>393.3487617557011</v>
      </c>
      <c r="T71" s="62">
        <f t="shared" si="88"/>
        <v>360.09400083977084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2.4975230475676051</v>
      </c>
      <c r="AA71" s="23">
        <f>EXP(-LN(2)/25)*AA70+(1-EXP(-LN(2)/25))/(LN(2)/25)*Calculateur!V71*Calculateur!X71*VLOOKUP('Données projet'!$B$9,Paramètres!$A$1:$I$89,3,0)*0.475*44/12</f>
        <v>3.2376468286238174</v>
      </c>
      <c r="AB71" s="23">
        <f>EXP(-LN(2)/2)*AB70+(1-EXP(-LN(2)/2))/(LN(2)/2)*V71*Y71*VLOOKUP('Données projet'!$B$9,Paramètres!$A$1:$I$89,3,0)*0.475*44/12</f>
        <v>2.7241861601490721E-5</v>
      </c>
      <c r="AC71" s="24">
        <f t="shared" si="57"/>
        <v>5.7351971180530237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3.8</v>
      </c>
      <c r="AI71" s="14">
        <f>IF('Données projet'!$A$62&gt;35,AI70+AH71-AQ70,IF(A71&lt;'Données projet'!$A$62,$AF$205^A71,IF(A71='Données projet'!$A$62,'Données projet'!$B$62,AI70+AH71-AQ70)))</f>
        <v>254.39999999999986</v>
      </c>
      <c r="AJ71" s="14">
        <f>AI71*VLOOKUP('Données projet'!$B$10,Paramètres!$A$1:$I$89,3,0)*VLOOKUP('Données projet'!$B$10,Paramètres!$A$1:$I$89,5,0)</f>
        <v>186.52607999999989</v>
      </c>
      <c r="AK71" s="14">
        <f t="shared" si="89"/>
        <v>46.771095569403919</v>
      </c>
      <c r="AL71" s="22">
        <f t="shared" si="58"/>
        <v>406.3259141167116</v>
      </c>
      <c r="AM71" s="62">
        <f t="shared" si="59"/>
        <v>693.80298811676084</v>
      </c>
      <c r="AN71" s="62">
        <f ca="1">AVERAGE(OFFSET($AM$3,0,0,'Données projet'!$E$10+1,1))-AVERAGE(OFFSET($H$3,0,0,'Données projet'!$E$10+1,1))</f>
        <v>283.28499080043167</v>
      </c>
      <c r="AO71" s="62">
        <f t="shared" si="90"/>
        <v>278.56966286485783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0.91958839629769384</v>
      </c>
      <c r="AV71" s="23">
        <f>EXP(-LN(2)/25)*AV70+(1-EXP(-LN(2)/25))/(LN(2)/25)*Calculateur!AQ71*Calculateur!AS71*VLOOKUP('Données projet'!$B$10,Paramètres!$A$1:$I$89,3,0)*0.475*44/12</f>
        <v>3.0383552241102834</v>
      </c>
      <c r="AW71" s="23">
        <f>EXP(-LN(2)/2)*AW70+(1-EXP(-LN(2)/2))/(LN(2)/2)*AQ71*AT71*VLOOKUP('Données projet'!$B$10,Paramètres!$A$1:$I$89,3,0)*0.475*44/12</f>
        <v>2.4737594030833038E-5</v>
      </c>
      <c r="AX71" s="23">
        <f t="shared" si="60"/>
        <v>3.9579683580020082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254.39999999999986</v>
      </c>
      <c r="BE71" s="14">
        <f>BD71*VLOOKUP('Données projet'!$B$11,Paramètres!$A$1:$I$89,3,0)*VLOOKUP('Données projet'!$B$11,Paramètres!$A$1:$I$89,5,0)</f>
        <v>202.40063999999992</v>
      </c>
      <c r="BF71" s="14">
        <f t="shared" si="91"/>
        <v>50.271388807440687</v>
      </c>
      <c r="BG71" s="22">
        <f t="shared" si="61"/>
        <v>440.070450172959</v>
      </c>
      <c r="BH71" s="62">
        <f t="shared" si="62"/>
        <v>727.54752417300824</v>
      </c>
      <c r="BI71" s="62">
        <f ca="1">AVERAGE(OFFSET($BH$3,0,0,'Données projet'!$E$11+1,1))-AVERAGE(OFFSET($H$3,0,0,'Données projet'!$E$11+1,1))</f>
        <v>303.91914071195419</v>
      </c>
      <c r="BJ71" s="62">
        <f t="shared" si="92"/>
        <v>298.30050362688769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0.90662320348456149</v>
      </c>
      <c r="BR71" s="23">
        <f>EXP(-LN(2)/2)*BR70+(1-EXP(-LN(2)/2))/(LN(2)/2)*BL71*BO71*VLOOKUP('Données projet'!$B$11,Paramètres!$A$1:$I$89,3,0)*0.475*44/12</f>
        <v>4.8548559584657227E-5</v>
      </c>
      <c r="BS71" s="24">
        <f t="shared" si="63"/>
        <v>0.90667175204414618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258.41087999999996</v>
      </c>
      <c r="CA71" s="14">
        <f t="shared" si="93"/>
        <v>62.383521020316756</v>
      </c>
      <c r="CB71" s="22">
        <f t="shared" si="64"/>
        <v>558.71691511038489</v>
      </c>
      <c r="CC71" s="62">
        <f t="shared" si="65"/>
        <v>846.19398911043413</v>
      </c>
      <c r="CD71" s="62">
        <f ca="1">AVERAGE(OFFSET($CC$3,0,0,'Données projet'!$E$12+1,1))-AVERAGE(OFFSET($H$3,0,0,'Données projet'!$E$12+1,1))</f>
        <v>446.15737983598251</v>
      </c>
      <c r="CE71" s="62">
        <f t="shared" si="94"/>
        <v>282.2299715529382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319.33333333333337</v>
      </c>
      <c r="CU71" s="18">
        <f>CT71*VLOOKUP('Données projet'!$B$13,Paramètres!$A$1:$I$89,3,0)*VLOOKUP('Données projet'!$B$13,Paramètres!$A$1:$I$89,5,0)</f>
        <v>249.08000000000004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826.46873182942409</v>
      </c>
      <c r="CY71" s="62">
        <f ca="1">AVERAGE(OFFSET($CX$3,0,0,'Données projet'!$E$13+1,1))-AVERAGE(OFFSET($H$3,0,0,'Données projet'!$E$13+1,1))</f>
        <v>293.03320024876842</v>
      </c>
      <c r="CZ71" s="62">
        <f t="shared" si="96"/>
        <v>287.49994652707915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7.8198071960711325E-6</v>
      </c>
      <c r="DI71" s="24">
        <f t="shared" si="69"/>
        <v>7.8198071960711325E-6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-1.7053025658242404E-13</v>
      </c>
      <c r="DP71" s="18">
        <f>DO71*VLOOKUP('Données projet'!$B$14,Paramètres!$A$1:$I$89,3,0)*VLOOKUP('Données projet'!$B$14,Paramètres!$A$1:$I$89,5,0)</f>
        <v>-9.3109520094003535E-14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253.0312006976271</v>
      </c>
      <c r="DU71" s="62">
        <f t="shared" si="98"/>
        <v>365.93937083714866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3.1471971936824419</v>
      </c>
      <c r="EB71" s="23">
        <f>EXP(-LN(2)/25)*EB70+(1-EXP(-LN(2)/25))/(LN(2)/25)*Calculateur!DW71*Calculateur!DY71*VLOOKUP('Données projet'!$B$14,Paramètres!$A$1:$I$89,3,0)*0.475*44/12</f>
        <v>3.3484753726240459</v>
      </c>
      <c r="EC71" s="23">
        <f>EXP(-LN(2)/2)*EC70+(1-EXP(-LN(2)/2))/(LN(2)/2)*DW71*DZ71*VLOOKUP('Données projet'!$B$14,Paramètres!$A$1:$I$89,3,0)*0.475*44/12</f>
        <v>3.3352582253008579E-5</v>
      </c>
      <c r="ED71" s="24">
        <f t="shared" si="72"/>
        <v>6.4957059188887412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1.05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3.85</v>
      </c>
      <c r="H72" s="70">
        <f t="shared" si="56"/>
        <v>241.26666666666665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569.98</v>
      </c>
      <c r="L72" s="13">
        <f>VLOOKUP(A72,'Données projet'!$A$35:$I$55,9,0)</f>
        <v>16.745000000000005</v>
      </c>
      <c r="M72" s="13">
        <f t="array" ref="M72">INDEX(L:L,MIN(IF(ISNUMBER(L72:L268),ROW(L72:L268),"")))</f>
        <v>16.745000000000005</v>
      </c>
      <c r="N72" s="14">
        <f>IF('Données projet'!$A$36&gt;35,N71+M72-V71,IF(A72&lt;'Données projet'!$A$36,$K$205^A72,IF(A72='Données projet'!$A$36,'Données projet'!$B$36,N71+M72-V71)))</f>
        <v>569.98000000000013</v>
      </c>
      <c r="O72" s="14">
        <f>N72*VLOOKUP('Données projet'!$B$9,Paramètres!$A$1:$I$89,3,0)*VLOOKUP('Données projet'!$B$9,Paramètres!$A$1:$I$89,5,0)</f>
        <v>318.61882000000008</v>
      </c>
      <c r="P72" s="14">
        <f t="shared" si="87"/>
        <v>75.065899995891868</v>
      </c>
      <c r="Q72" s="22">
        <f t="shared" si="54"/>
        <v>685.66755399284511</v>
      </c>
      <c r="R72" s="62">
        <f t="shared" si="55"/>
        <v>973.24622099969247</v>
      </c>
      <c r="S72" s="62">
        <f ca="1">AVERAGE(OFFSET($R$3,0,0,'Données projet'!$E$9+1,1))-AVERAGE(OFFSET($H$3,0,0,'Données projet'!$E$9+1,1))</f>
        <v>393.3487617557011</v>
      </c>
      <c r="T72" s="62">
        <f t="shared" si="88"/>
        <v>360.09400083977084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2.4485481439434462</v>
      </c>
      <c r="AA72" s="23">
        <f>EXP(-LN(2)/25)*AA71+(1-EXP(-LN(2)/25))/(LN(2)/25)*Calculateur!V72*Calculateur!X72*VLOOKUP('Données projet'!$B$9,Paramètres!$A$1:$I$89,3,0)*0.475*44/12</f>
        <v>3.1491132058346523</v>
      </c>
      <c r="AB72" s="23">
        <f>EXP(-LN(2)/2)*AB71+(1-EXP(-LN(2)/2))/(LN(2)/2)*V72*Y72*VLOOKUP('Données projet'!$B$9,Paramètres!$A$1:$I$89,3,0)*0.475*44/12</f>
        <v>1.926290507055951E-5</v>
      </c>
      <c r="AC72" s="24">
        <f t="shared" si="57"/>
        <v>5.5976806126831686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3.8</v>
      </c>
      <c r="AI72" s="14">
        <f>IF('Données projet'!$A$62&gt;35,AI71+AH72-AQ71,IF(A72&lt;'Données projet'!$A$62,$AF$205^A72,IF(A72='Données projet'!$A$62,'Données projet'!$B$62,AI71+AH72-AQ71)))</f>
        <v>258.19999999999987</v>
      </c>
      <c r="AJ72" s="14">
        <f>AI72*VLOOKUP('Données projet'!$B$10,Paramètres!$A$1:$I$89,3,0)*VLOOKUP('Données projet'!$B$10,Paramètres!$A$1:$I$89,5,0)</f>
        <v>189.31223999999989</v>
      </c>
      <c r="AK72" s="14">
        <f t="shared" si="89"/>
        <v>47.387866803482567</v>
      </c>
      <c r="AL72" s="22">
        <f t="shared" si="58"/>
        <v>412.2526860160653</v>
      </c>
      <c r="AM72" s="62">
        <f t="shared" si="59"/>
        <v>699.83135302291259</v>
      </c>
      <c r="AN72" s="62">
        <f ca="1">AVERAGE(OFFSET($AM$3,0,0,'Données projet'!$E$10+1,1))-AVERAGE(OFFSET($H$3,0,0,'Données projet'!$E$10+1,1))</f>
        <v>283.28499080043167</v>
      </c>
      <c r="AO72" s="62">
        <f t="shared" si="90"/>
        <v>278.56966286485783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0.9015558287398342</v>
      </c>
      <c r="AV72" s="23">
        <f>EXP(-LN(2)/25)*AV71+(1-EXP(-LN(2)/25))/(LN(2)/25)*Calculateur!AQ72*Calculateur!AS72*VLOOKUP('Données projet'!$B$10,Paramètres!$A$1:$I$89,3,0)*0.475*44/12</f>
        <v>2.9552712407268307</v>
      </c>
      <c r="AW72" s="23">
        <f>EXP(-LN(2)/2)*AW71+(1-EXP(-LN(2)/2))/(LN(2)/2)*AQ72*AT72*VLOOKUP('Données projet'!$B$10,Paramètres!$A$1:$I$89,3,0)*0.475*44/12</f>
        <v>1.7492120489441901E-5</v>
      </c>
      <c r="AX72" s="23">
        <f t="shared" si="60"/>
        <v>3.8568445615871543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258.19999999999987</v>
      </c>
      <c r="BE72" s="14">
        <f>BD72*VLOOKUP('Données projet'!$B$11,Paramètres!$A$1:$I$89,3,0)*VLOOKUP('Données projet'!$B$11,Paramètres!$A$1:$I$89,5,0)</f>
        <v>205.4239199999999</v>
      </c>
      <c r="BF72" s="14">
        <f t="shared" si="91"/>
        <v>50.934318468081216</v>
      </c>
      <c r="BG72" s="22">
        <f t="shared" si="61"/>
        <v>446.49059866524129</v>
      </c>
      <c r="BH72" s="62">
        <f t="shared" si="62"/>
        <v>734.06926567208859</v>
      </c>
      <c r="BI72" s="62">
        <f ca="1">AVERAGE(OFFSET($BH$3,0,0,'Données projet'!$E$11+1,1))-AVERAGE(OFFSET($H$3,0,0,'Données projet'!$E$11+1,1))</f>
        <v>303.91914071195419</v>
      </c>
      <c r="BJ72" s="62">
        <f t="shared" si="92"/>
        <v>298.30050362688769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0.88183154430803401</v>
      </c>
      <c r="BR72" s="23">
        <f>EXP(-LN(2)/2)*BR71+(1-EXP(-LN(2)/2))/(LN(2)/2)*BL72*BO72*VLOOKUP('Données projet'!$B$11,Paramètres!$A$1:$I$89,3,0)*0.475*44/12</f>
        <v>3.4329015699150282E-5</v>
      </c>
      <c r="BS72" s="24">
        <f t="shared" si="63"/>
        <v>0.88186587332373312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265.83023999999995</v>
      </c>
      <c r="CA72" s="14">
        <f t="shared" si="93"/>
        <v>63.963540982526439</v>
      </c>
      <c r="CB72" s="22">
        <f t="shared" si="64"/>
        <v>574.39083521123348</v>
      </c>
      <c r="CC72" s="62">
        <f t="shared" si="65"/>
        <v>861.96950221808083</v>
      </c>
      <c r="CD72" s="62">
        <f ca="1">AVERAGE(OFFSET($CC$3,0,0,'Données projet'!$E$12+1,1))-AVERAGE(OFFSET($H$3,0,0,'Données projet'!$E$12+1,1))</f>
        <v>446.15737983598251</v>
      </c>
      <c r="CE72" s="62">
        <f t="shared" si="94"/>
        <v>282.2299715529382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328.00000000000006</v>
      </c>
      <c r="CU72" s="18">
        <f>CT72*VLOOKUP('Données projet'!$B$13,Paramètres!$A$1:$I$89,3,0)*VLOOKUP('Données projet'!$B$13,Paramètres!$A$1:$I$89,5,0)</f>
        <v>255.84000000000006</v>
      </c>
      <c r="CV72" s="14">
        <f t="shared" si="95"/>
        <v>61.834803371075836</v>
      </c>
      <c r="CW72" s="22">
        <f t="shared" si="67"/>
        <v>553.28361587129041</v>
      </c>
      <c r="CX72" s="62">
        <f t="shared" si="68"/>
        <v>840.86228287813765</v>
      </c>
      <c r="CY72" s="62">
        <f ca="1">AVERAGE(OFFSET($CX$3,0,0,'Données projet'!$E$13+1,1))-AVERAGE(OFFSET($H$3,0,0,'Données projet'!$E$13+1,1))</f>
        <v>293.03320024876842</v>
      </c>
      <c r="CZ72" s="62">
        <f t="shared" si="96"/>
        <v>287.49994652707915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5.5294386959132601E-6</v>
      </c>
      <c r="DI72" s="24">
        <f t="shared" si="69"/>
        <v>5.5294386959132601E-6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-1.7053025658242404E-13</v>
      </c>
      <c r="DP72" s="18">
        <f>DO72*VLOOKUP('Données projet'!$B$14,Paramètres!$A$1:$I$89,3,0)*VLOOKUP('Données projet'!$B$14,Paramètres!$A$1:$I$89,5,0)</f>
        <v>-9.3109520094003535E-14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253.0312006976271</v>
      </c>
      <c r="DU72" s="62">
        <f t="shared" si="98"/>
        <v>365.93937083714866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3.0854825763150724</v>
      </c>
      <c r="EB72" s="23">
        <f>EXP(-LN(2)/25)*EB71+(1-EXP(-LN(2)/25))/(LN(2)/25)*Calculateur!DW72*Calculateur!DY72*VLOOKUP('Données projet'!$B$14,Paramètres!$A$1:$I$89,3,0)*0.475*44/12</f>
        <v>3.2569111374709747</v>
      </c>
      <c r="EC72" s="23">
        <f>EXP(-LN(2)/2)*EC71+(1-EXP(-LN(2)/2))/(LN(2)/2)*DW72*DZ72*VLOOKUP('Données projet'!$B$14,Paramètres!$A$1:$I$89,3,0)*0.475*44/12</f>
        <v>2.3583837081184466E-5</v>
      </c>
      <c r="ED72" s="24">
        <f t="shared" si="72"/>
        <v>6.3424172976231281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1.05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3.85</v>
      </c>
      <c r="H73" s="70">
        <f t="shared" si="56"/>
        <v>241.26666666666665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586.05999999999995</v>
      </c>
      <c r="L73" s="13">
        <f>VLOOKUP(A73,'Données projet'!$A$35:$I$55,9,0)</f>
        <v>16.079999999999927</v>
      </c>
      <c r="M73" s="13">
        <f t="array" ref="M73">INDEX(L:L,MIN(IF(ISNUMBER(L73:L269),ROW(L73:L269),"")))</f>
        <v>16.079999999999927</v>
      </c>
      <c r="N73" s="14">
        <f>IF('Données projet'!$A$36&gt;35,N72+M73-V72,IF(A73&lt;'Données projet'!$A$36,$K$205^A73,IF(A73='Données projet'!$A$36,'Données projet'!$B$36,N72+M73-V72)))</f>
        <v>586.06000000000006</v>
      </c>
      <c r="O73" s="14">
        <f>N73*VLOOKUP('Données projet'!$B$9,Paramètres!$A$1:$I$89,3,0)*VLOOKUP('Données projet'!$B$9,Paramètres!$A$1:$I$89,5,0)</f>
        <v>327.60754000000003</v>
      </c>
      <c r="P73" s="14">
        <f t="shared" si="87"/>
        <v>76.934079315946775</v>
      </c>
      <c r="Q73" s="22">
        <f t="shared" si="54"/>
        <v>704.57665364194065</v>
      </c>
      <c r="R73" s="62">
        <f t="shared" si="55"/>
        <v>992.25515124404592</v>
      </c>
      <c r="S73" s="62">
        <f ca="1">AVERAGE(OFFSET($R$3,0,0,'Données projet'!$E$9+1,1))-AVERAGE(OFFSET($H$3,0,0,'Données projet'!$E$9+1,1))</f>
        <v>393.3487617557011</v>
      </c>
      <c r="T73" s="62">
        <f t="shared" si="88"/>
        <v>360.09400083977084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586.05999999999995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2.4005336083076156</v>
      </c>
      <c r="AA73" s="23">
        <f>EXP(-LN(2)/25)*AA72+(1-EXP(-LN(2)/25))/(LN(2)/25)*Calculateur!V73*Calculateur!X73*VLOOKUP('Données projet'!$B$9,Paramètres!$A$1:$I$89,3,0)*0.475*44/12</f>
        <v>3.0630005396164375</v>
      </c>
      <c r="AB73" s="23">
        <f>EXP(-LN(2)/2)*AB72+(1-EXP(-LN(2)/2))/(LN(2)/2)*V73*Y73*VLOOKUP('Données projet'!$B$9,Paramètres!$A$1:$I$89,3,0)*0.475*44/12</f>
        <v>1.362093080074536E-5</v>
      </c>
      <c r="AC73" s="24">
        <f t="shared" si="57"/>
        <v>5.4635477688548537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262</v>
      </c>
      <c r="AG73" s="13">
        <f>VLOOKUP(A73,'Données projet'!$A$61:$I$81,9,0)</f>
        <v>3.8</v>
      </c>
      <c r="AH73" s="13">
        <f t="array" ref="AH73">INDEX(AG:AG,MIN(IF(ISNUMBER(AG73:AG269),ROW(AG73:AG269),"")))</f>
        <v>3.8</v>
      </c>
      <c r="AI73" s="14">
        <f>IF('Données projet'!$A$62&gt;35,AI72+AH73-AQ72,IF(A73&lt;'Données projet'!$A$62,$AF$205^A73,IF(A73='Données projet'!$A$62,'Données projet'!$B$62,AI72+AH73-AQ72)))</f>
        <v>261.99999999999989</v>
      </c>
      <c r="AJ73" s="14">
        <f>AI73*VLOOKUP('Données projet'!$B$10,Paramètres!$A$1:$I$89,3,0)*VLOOKUP('Données projet'!$B$10,Paramètres!$A$1:$I$89,5,0)</f>
        <v>192.09839999999991</v>
      </c>
      <c r="AK73" s="14">
        <f t="shared" si="89"/>
        <v>48.003582316740335</v>
      </c>
      <c r="AL73" s="22">
        <f t="shared" si="58"/>
        <v>418.17761920165594</v>
      </c>
      <c r="AM73" s="62">
        <f t="shared" si="59"/>
        <v>705.85611680376132</v>
      </c>
      <c r="AN73" s="62">
        <f ca="1">AVERAGE(OFFSET($AM$3,0,0,'Données projet'!$E$10+1,1))-AVERAGE(OFFSET($H$3,0,0,'Données projet'!$E$10+1,1))</f>
        <v>283.28499080043167</v>
      </c>
      <c r="AO73" s="62">
        <f t="shared" si="90"/>
        <v>278.56966286485783</v>
      </c>
      <c r="AP73" s="16">
        <f>IF(ISNA(VLOOKUP(A73,'Données projet'!$A$61:$I$81,3,0)),0,VLOOKUP(A73,'Données projet'!$A$61:$I$81,3,0))</f>
        <v>12</v>
      </c>
      <c r="AQ73" s="16">
        <f>IF(ISNA(VLOOKUP(A73,'Données projet'!$A$61:$I$81,4,0)),0,VLOOKUP(A73,'Données projet'!$A$61:$I$81,4,0))</f>
        <v>10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0.88387686883300398</v>
      </c>
      <c r="AV73" s="23">
        <f>EXP(-LN(2)/25)*AV72+(1-EXP(-LN(2)/25))/(LN(2)/25)*Calculateur!AQ73*Calculateur!AS73*VLOOKUP('Données projet'!$B$10,Paramètres!$A$1:$I$89,3,0)*0.475*44/12</f>
        <v>2.8744591932381951</v>
      </c>
      <c r="AW73" s="23">
        <f>EXP(-LN(2)/2)*AW72+(1-EXP(-LN(2)/2))/(LN(2)/2)*AQ73*AT73*VLOOKUP('Données projet'!$B$10,Paramètres!$A$1:$I$89,3,0)*0.475*44/12</f>
        <v>1.2368797015416519E-5</v>
      </c>
      <c r="AX73" s="23">
        <f t="shared" si="60"/>
        <v>3.7583484308682147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262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261.99999999999989</v>
      </c>
      <c r="BE73" s="14">
        <f>BD73*VLOOKUP('Données projet'!$B$11,Paramètres!$A$1:$I$89,3,0)*VLOOKUP('Données projet'!$B$11,Paramètres!$A$1:$I$89,5,0)</f>
        <v>208.44719999999992</v>
      </c>
      <c r="BF73" s="14">
        <f t="shared" si="91"/>
        <v>51.596113399008644</v>
      </c>
      <c r="BG73" s="22">
        <f t="shared" si="61"/>
        <v>452.90877083660661</v>
      </c>
      <c r="BH73" s="62">
        <f t="shared" si="62"/>
        <v>740.58726843871193</v>
      </c>
      <c r="BI73" s="62">
        <f ca="1">AVERAGE(OFFSET($BH$3,0,0,'Données projet'!$E$11+1,1))-AVERAGE(OFFSET($H$3,0,0,'Données projet'!$E$11+1,1))</f>
        <v>303.91914071195419</v>
      </c>
      <c r="BJ73" s="62">
        <f t="shared" si="92"/>
        <v>298.30050362688769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0.85771781435542538</v>
      </c>
      <c r="BR73" s="23">
        <f>EXP(-LN(2)/2)*BR72+(1-EXP(-LN(2)/2))/(LN(2)/2)*BL73*BO73*VLOOKUP('Données projet'!$B$11,Paramètres!$A$1:$I$89,3,0)*0.475*44/12</f>
        <v>2.4274279792328613E-5</v>
      </c>
      <c r="BS73" s="24">
        <f t="shared" si="63"/>
        <v>0.85774208863521773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273.24959999999999</v>
      </c>
      <c r="CA73" s="14">
        <f t="shared" si="93"/>
        <v>65.538435495514321</v>
      </c>
      <c r="CB73" s="22">
        <f t="shared" si="64"/>
        <v>590.05582848802067</v>
      </c>
      <c r="CC73" s="62">
        <f t="shared" si="65"/>
        <v>877.73432609012593</v>
      </c>
      <c r="CD73" s="62">
        <f ca="1">AVERAGE(OFFSET($CC$3,0,0,'Données projet'!$E$12+1,1))-AVERAGE(OFFSET($H$3,0,0,'Données projet'!$E$12+1,1))</f>
        <v>446.15737983598251</v>
      </c>
      <c r="CE73" s="62">
        <f t="shared" si="94"/>
        <v>282.2299715529382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4.4337866711430253E-14</v>
      </c>
      <c r="CV73" s="14">
        <f t="shared" si="95"/>
        <v>7.3222115536967035E-13</v>
      </c>
      <c r="CW73" s="22">
        <f t="shared" si="67"/>
        <v>1.3525069634579169E-12</v>
      </c>
      <c r="CX73" s="62">
        <f t="shared" si="68"/>
        <v>287.67849760210669</v>
      </c>
      <c r="CY73" s="62">
        <f ca="1">AVERAGE(OFFSET($CX$3,0,0,'Données projet'!$E$13+1,1))-AVERAGE(OFFSET($H$3,0,0,'Données projet'!$E$13+1,1))</f>
        <v>293.03320024876842</v>
      </c>
      <c r="CZ73" s="62">
        <f t="shared" si="96"/>
        <v>287.49994652707915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3.9099035980355662E-6</v>
      </c>
      <c r="DI73" s="24">
        <f t="shared" si="69"/>
        <v>3.9099035980355662E-6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-1.7053025658242404E-13</v>
      </c>
      <c r="DP73" s="18">
        <f>DO73*VLOOKUP('Données projet'!$B$14,Paramètres!$A$1:$I$89,3,0)*VLOOKUP('Données projet'!$B$14,Paramètres!$A$1:$I$89,5,0)</f>
        <v>-9.3109520094003535E-14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253.0312006976271</v>
      </c>
      <c r="DU73" s="62">
        <f t="shared" si="98"/>
        <v>365.93937083714866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3.0249781449520774</v>
      </c>
      <c r="EB73" s="23">
        <f>EXP(-LN(2)/25)*EB72+(1-EXP(-LN(2)/25))/(LN(2)/25)*Calculateur!DW73*Calculateur!DY73*VLOOKUP('Données projet'!$B$14,Paramètres!$A$1:$I$89,3,0)*0.475*44/12</f>
        <v>3.1678507311433179</v>
      </c>
      <c r="EC73" s="23">
        <f>EXP(-LN(2)/2)*EC72+(1-EXP(-LN(2)/2))/(LN(2)/2)*DW73*DZ73*VLOOKUP('Données projet'!$B$14,Paramètres!$A$1:$I$89,3,0)*0.475*44/12</f>
        <v>1.667629112650429E-5</v>
      </c>
      <c r="ED73" s="24">
        <f t="shared" si="72"/>
        <v>6.1928455523865225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1.05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3.85</v>
      </c>
      <c r="H74" s="70">
        <f t="shared" si="56"/>
        <v>241.26666666666665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287.77659635972532</v>
      </c>
      <c r="S74" s="62">
        <f ca="1">AVERAGE(OFFSET($R$3,0,0,'Données projet'!$E$9+1,1))-AVERAGE(OFFSET($H$3,0,0,'Données projet'!$E$9+1,1))</f>
        <v>393.3487617557011</v>
      </c>
      <c r="T74" s="62">
        <f t="shared" si="88"/>
        <v>360.09400083977084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2.3534606084296286</v>
      </c>
      <c r="AA74" s="23">
        <f>EXP(-LN(2)/25)*AA73+(1-EXP(-LN(2)/25))/(LN(2)/25)*Calculateur!V74*Calculateur!X74*VLOOKUP('Données projet'!$B$9,Paramètres!$A$1:$I$89,3,0)*0.475*44/12</f>
        <v>2.9792426287844282</v>
      </c>
      <c r="AB74" s="23">
        <f>EXP(-LN(2)/2)*AB73+(1-EXP(-LN(2)/2))/(LN(2)/2)*V74*Y74*VLOOKUP('Données projet'!$B$9,Paramètres!$A$1:$I$89,3,0)*0.475*44/12</f>
        <v>9.631452535279755E-6</v>
      </c>
      <c r="AC74" s="24">
        <f t="shared" si="57"/>
        <v>5.3327128686665919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255.39999999999986</v>
      </c>
      <c r="AJ74" s="14">
        <f>AI74*VLOOKUP('Données projet'!$B$10,Paramètres!$A$1:$I$89,3,0)*VLOOKUP('Données projet'!$B$10,Paramètres!$A$1:$I$89,5,0)</f>
        <v>187.2592799999999</v>
      </c>
      <c r="AK74" s="14">
        <f t="shared" si="89"/>
        <v>46.933507123390406</v>
      </c>
      <c r="AL74" s="22">
        <f t="shared" si="58"/>
        <v>407.88577090657145</v>
      </c>
      <c r="AM74" s="62">
        <f t="shared" si="59"/>
        <v>695.66236726629495</v>
      </c>
      <c r="AN74" s="62">
        <f ca="1">AVERAGE(OFFSET($AM$3,0,0,'Données projet'!$E$10+1,1))-AVERAGE(OFFSET($H$3,0,0,'Données projet'!$E$10+1,1))</f>
        <v>283.28499080043167</v>
      </c>
      <c r="AO74" s="62">
        <f t="shared" si="90"/>
        <v>278.56966286485783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0.86654458254684585</v>
      </c>
      <c r="AV74" s="23">
        <f>EXP(-LN(2)/25)*AV73+(1-EXP(-LN(2)/25))/(LN(2)/25)*Calculateur!AQ74*Calculateur!AS74*VLOOKUP('Données projet'!$B$10,Paramètres!$A$1:$I$89,3,0)*0.475*44/12</f>
        <v>2.7958569554378574</v>
      </c>
      <c r="AW74" s="23">
        <f>EXP(-LN(2)/2)*AW73+(1-EXP(-LN(2)/2))/(LN(2)/2)*AQ74*AT74*VLOOKUP('Données projet'!$B$10,Paramètres!$A$1:$I$89,3,0)*0.475*44/12</f>
        <v>8.7460602447209506E-6</v>
      </c>
      <c r="AX74" s="23">
        <f t="shared" si="60"/>
        <v>3.662410284044948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255.39999999999986</v>
      </c>
      <c r="BE74" s="14">
        <f>BD74*VLOOKUP('Données projet'!$B$11,Paramètres!$A$1:$I$89,3,0)*VLOOKUP('Données projet'!$B$11,Paramètres!$A$1:$I$89,5,0)</f>
        <v>203.1962399999999</v>
      </c>
      <c r="BF74" s="14">
        <f t="shared" si="91"/>
        <v>50.445955049216174</v>
      </c>
      <c r="BG74" s="22">
        <f t="shared" si="61"/>
        <v>441.76015637738465</v>
      </c>
      <c r="BH74" s="62">
        <f t="shared" si="62"/>
        <v>729.53675273710815</v>
      </c>
      <c r="BI74" s="62">
        <f ca="1">AVERAGE(OFFSET($BH$3,0,0,'Données projet'!$E$11+1,1))-AVERAGE(OFFSET($H$3,0,0,'Données projet'!$E$11+1,1))</f>
        <v>303.91914071195419</v>
      </c>
      <c r="BJ74" s="62">
        <f t="shared" si="92"/>
        <v>298.30050362688769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0.83426347561645675</v>
      </c>
      <c r="BR74" s="23">
        <f>EXP(-LN(2)/2)*BR73+(1-EXP(-LN(2)/2))/(LN(2)/2)*BL74*BO74*VLOOKUP('Données projet'!$B$11,Paramètres!$A$1:$I$89,3,0)*0.475*44/12</f>
        <v>1.7164507849575141E-5</v>
      </c>
      <c r="BS74" s="24">
        <f t="shared" si="63"/>
        <v>0.83428064012430636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254.79167999999996</v>
      </c>
      <c r="CA74" s="14">
        <f t="shared" si="93"/>
        <v>61.610870508448471</v>
      </c>
      <c r="CB74" s="22">
        <f t="shared" si="64"/>
        <v>551.067775468881</v>
      </c>
      <c r="CC74" s="62">
        <f t="shared" si="65"/>
        <v>838.84437182860438</v>
      </c>
      <c r="CD74" s="62">
        <f ca="1">AVERAGE(OFFSET($CC$3,0,0,'Données projet'!$E$12+1,1))-AVERAGE(OFFSET($H$3,0,0,'Données projet'!$E$12+1,1))</f>
        <v>446.15737983598251</v>
      </c>
      <c r="CE74" s="62">
        <f t="shared" si="94"/>
        <v>282.2299715529382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4.4337866711430253E-14</v>
      </c>
      <c r="CV74" s="14">
        <f t="shared" si="95"/>
        <v>7.3222115536967035E-13</v>
      </c>
      <c r="CW74" s="22">
        <f t="shared" si="67"/>
        <v>1.3525069634579169E-12</v>
      </c>
      <c r="CX74" s="62">
        <f t="shared" si="68"/>
        <v>287.77659635972481</v>
      </c>
      <c r="CY74" s="62">
        <f ca="1">AVERAGE(OFFSET($CX$3,0,0,'Données projet'!$E$13+1,1))-AVERAGE(OFFSET($H$3,0,0,'Données projet'!$E$13+1,1))</f>
        <v>293.03320024876842</v>
      </c>
      <c r="CZ74" s="62">
        <f t="shared" si="96"/>
        <v>287.49994652707915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2.7647193479566301E-6</v>
      </c>
      <c r="DI74" s="24">
        <f t="shared" si="69"/>
        <v>2.7647193479566301E-6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-1.7053025658242404E-13</v>
      </c>
      <c r="DP74" s="18">
        <f>DO74*VLOOKUP('Données projet'!$B$14,Paramètres!$A$1:$I$89,3,0)*VLOOKUP('Données projet'!$B$14,Paramètres!$A$1:$I$89,5,0)</f>
        <v>-9.3109520094003535E-14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253.0312006976271</v>
      </c>
      <c r="DU74" s="62">
        <f t="shared" si="98"/>
        <v>365.93937083714866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2.9656601685840518</v>
      </c>
      <c r="EB74" s="23">
        <f>EXP(-LN(2)/25)*EB73+(1-EXP(-LN(2)/25))/(LN(2)/25)*Calculateur!DW74*Calculateur!DY74*VLOOKUP('Données projet'!$B$14,Paramètres!$A$1:$I$89,3,0)*0.475*44/12</f>
        <v>3.0812256863101743</v>
      </c>
      <c r="EC74" s="23">
        <f>EXP(-LN(2)/2)*EC73+(1-EXP(-LN(2)/2))/(LN(2)/2)*DW74*DZ74*VLOOKUP('Données projet'!$B$14,Paramètres!$A$1:$I$89,3,0)*0.475*44/12</f>
        <v>1.1791918540592233E-5</v>
      </c>
      <c r="ED74" s="24">
        <f t="shared" si="72"/>
        <v>6.0468976468127664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1.05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3.85</v>
      </c>
      <c r="H75" s="70">
        <f t="shared" si="56"/>
        <v>241.26666666666665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287.87299332321464</v>
      </c>
      <c r="S75" s="62">
        <f ca="1">AVERAGE(OFFSET($R$3,0,0,'Données projet'!$E$9+1,1))-AVERAGE(OFFSET($H$3,0,0,'Données projet'!$E$9+1,1))</f>
        <v>393.3487617557011</v>
      </c>
      <c r="T75" s="62">
        <f t="shared" si="88"/>
        <v>360.09400083977084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2.3073106813675537</v>
      </c>
      <c r="AA75" s="23">
        <f>EXP(-LN(2)/25)*AA74+(1-EXP(-LN(2)/25))/(LN(2)/25)*Calculateur!V75*Calculateur!X75*VLOOKUP('Données projet'!$B$9,Paramètres!$A$1:$I$89,3,0)*0.475*44/12</f>
        <v>2.8977750824287574</v>
      </c>
      <c r="AB75" s="23">
        <f>EXP(-LN(2)/2)*AB74+(1-EXP(-LN(2)/2))/(LN(2)/2)*V75*Y75*VLOOKUP('Données projet'!$B$9,Paramètres!$A$1:$I$89,3,0)*0.475*44/12</f>
        <v>6.8104654003726802E-6</v>
      </c>
      <c r="AC75" s="24">
        <f t="shared" si="57"/>
        <v>5.2050925742617116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258.79999999999984</v>
      </c>
      <c r="AJ75" s="14">
        <f>AI75*VLOOKUP('Données projet'!$B$10,Paramètres!$A$1:$I$89,3,0)*VLOOKUP('Données projet'!$B$10,Paramètres!$A$1:$I$89,5,0)</f>
        <v>189.75215999999989</v>
      </c>
      <c r="AK75" s="14">
        <f t="shared" si="89"/>
        <v>47.48515478428709</v>
      </c>
      <c r="AL75" s="22">
        <f t="shared" si="58"/>
        <v>413.1883232492998</v>
      </c>
      <c r="AM75" s="62">
        <f t="shared" si="59"/>
        <v>701.06131657251262</v>
      </c>
      <c r="AN75" s="62">
        <f ca="1">AVERAGE(OFFSET($AM$3,0,0,'Données projet'!$E$10+1,1))-AVERAGE(OFFSET($H$3,0,0,'Données projet'!$E$10+1,1))</f>
        <v>283.28499080043167</v>
      </c>
      <c r="AO75" s="62">
        <f t="shared" si="90"/>
        <v>278.56966286485783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0.8495521718231086</v>
      </c>
      <c r="AV75" s="23">
        <f>EXP(-LN(2)/25)*AV74+(1-EXP(-LN(2)/25))/(LN(2)/25)*Calculateur!AQ75*Calculateur!AS75*VLOOKUP('Données projet'!$B$10,Paramètres!$A$1:$I$89,3,0)*0.475*44/12</f>
        <v>2.7194040999636817</v>
      </c>
      <c r="AW75" s="23">
        <f>EXP(-LN(2)/2)*AW74+(1-EXP(-LN(2)/2))/(LN(2)/2)*AQ75*AT75*VLOOKUP('Données projet'!$B$10,Paramètres!$A$1:$I$89,3,0)*0.475*44/12</f>
        <v>6.1843985077082595E-6</v>
      </c>
      <c r="AX75" s="23">
        <f t="shared" si="60"/>
        <v>3.5689624561852979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258.79999999999984</v>
      </c>
      <c r="BE75" s="14">
        <f>BD75*VLOOKUP('Données projet'!$B$11,Paramètres!$A$1:$I$89,3,0)*VLOOKUP('Données projet'!$B$11,Paramètres!$A$1:$I$89,5,0)</f>
        <v>205.90127999999987</v>
      </c>
      <c r="BF75" s="14">
        <f t="shared" si="91"/>
        <v>51.038887365811171</v>
      </c>
      <c r="BG75" s="22">
        <f t="shared" si="61"/>
        <v>447.5041248287875</v>
      </c>
      <c r="BH75" s="62">
        <f t="shared" si="62"/>
        <v>735.37711815200032</v>
      </c>
      <c r="BI75" s="62">
        <f ca="1">AVERAGE(OFFSET($BH$3,0,0,'Données projet'!$E$11+1,1))-AVERAGE(OFFSET($H$3,0,0,'Données projet'!$E$11+1,1))</f>
        <v>303.91914071195419</v>
      </c>
      <c r="BJ75" s="62">
        <f t="shared" si="92"/>
        <v>298.30050362688769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0.8114504970037153</v>
      </c>
      <c r="BR75" s="23">
        <f>EXP(-LN(2)/2)*BR74+(1-EXP(-LN(2)/2))/(LN(2)/2)*BL75*BO75*VLOOKUP('Données projet'!$B$11,Paramètres!$A$1:$I$89,3,0)*0.475*44/12</f>
        <v>1.2137139896164307E-5</v>
      </c>
      <c r="BS75" s="24">
        <f t="shared" si="63"/>
        <v>0.81146263414361142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261.66816</v>
      </c>
      <c r="CA75" s="14">
        <f t="shared" si="93"/>
        <v>63.077829793082856</v>
      </c>
      <c r="CB75" s="22">
        <f t="shared" si="64"/>
        <v>565.5992655562859</v>
      </c>
      <c r="CC75" s="62">
        <f t="shared" si="65"/>
        <v>853.47225887949867</v>
      </c>
      <c r="CD75" s="62">
        <f ca="1">AVERAGE(OFFSET($CC$3,0,0,'Données projet'!$E$12+1,1))-AVERAGE(OFFSET($H$3,0,0,'Données projet'!$E$12+1,1))</f>
        <v>446.15737983598251</v>
      </c>
      <c r="CE75" s="62">
        <f t="shared" si="94"/>
        <v>282.2299715529382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4.4337866711430253E-14</v>
      </c>
      <c r="CV75" s="14">
        <f t="shared" si="95"/>
        <v>7.3222115536967035E-13</v>
      </c>
      <c r="CW75" s="22">
        <f t="shared" si="67"/>
        <v>1.3525069634579169E-12</v>
      </c>
      <c r="CX75" s="62">
        <f t="shared" si="68"/>
        <v>287.87299332321413</v>
      </c>
      <c r="CY75" s="62">
        <f ca="1">AVERAGE(OFFSET($CX$3,0,0,'Données projet'!$E$13+1,1))-AVERAGE(OFFSET($H$3,0,0,'Données projet'!$E$13+1,1))</f>
        <v>293.03320024876842</v>
      </c>
      <c r="CZ75" s="62">
        <f t="shared" si="96"/>
        <v>287.49994652707915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1.9549517990177831E-6</v>
      </c>
      <c r="DI75" s="24">
        <f t="shared" si="69"/>
        <v>1.9549517990177831E-6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-1.7053025658242404E-13</v>
      </c>
      <c r="DP75" s="18">
        <f>DO75*VLOOKUP('Données projet'!$B$14,Paramètres!$A$1:$I$89,3,0)*VLOOKUP('Données projet'!$B$14,Paramètres!$A$1:$I$89,5,0)</f>
        <v>-9.3109520094003535E-14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253.0312006976271</v>
      </c>
      <c r="DU75" s="62">
        <f t="shared" si="98"/>
        <v>365.93937083714866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2.9075053815522098</v>
      </c>
      <c r="EB75" s="23">
        <f>EXP(-LN(2)/25)*EB74+(1-EXP(-LN(2)/25))/(LN(2)/25)*Calculateur!DW75*Calculateur!DY75*VLOOKUP('Données projet'!$B$14,Paramètres!$A$1:$I$89,3,0)*0.475*44/12</f>
        <v>2.9969694078834062</v>
      </c>
      <c r="EC75" s="23">
        <f>EXP(-LN(2)/2)*EC74+(1-EXP(-LN(2)/2))/(LN(2)/2)*DW75*DZ75*VLOOKUP('Données projet'!$B$14,Paramètres!$A$1:$I$89,3,0)*0.475*44/12</f>
        <v>8.3381455632521448E-6</v>
      </c>
      <c r="ED75" s="24">
        <f t="shared" si="72"/>
        <v>5.9044831275811793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1.05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3.85</v>
      </c>
      <c r="H76" s="70">
        <f t="shared" si="56"/>
        <v>241.26666666666665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287.96771801489876</v>
      </c>
      <c r="S76" s="62">
        <f ca="1">AVERAGE(OFFSET($R$3,0,0,'Données projet'!$E$9+1,1))-AVERAGE(OFFSET($H$3,0,0,'Données projet'!$E$9+1,1))</f>
        <v>393.3487617557011</v>
      </c>
      <c r="T76" s="62">
        <f t="shared" si="88"/>
        <v>360.09400083977084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2.2620657262264903</v>
      </c>
      <c r="AA76" s="23">
        <f>EXP(-LN(2)/25)*AA75+(1-EXP(-LN(2)/25))/(LN(2)/25)*Calculateur!V76*Calculateur!X76*VLOOKUP('Données projet'!$B$9,Paramètres!$A$1:$I$89,3,0)*0.475*44/12</f>
        <v>2.8185352704123745</v>
      </c>
      <c r="AB76" s="23">
        <f>EXP(-LN(2)/2)*AB75+(1-EXP(-LN(2)/2))/(LN(2)/2)*V76*Y76*VLOOKUP('Données projet'!$B$9,Paramètres!$A$1:$I$89,3,0)*0.475*44/12</f>
        <v>4.8157262676398775E-6</v>
      </c>
      <c r="AC76" s="24">
        <f t="shared" si="57"/>
        <v>5.0806058123651319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262.19999999999982</v>
      </c>
      <c r="AJ76" s="14">
        <f>AI76*VLOOKUP('Données projet'!$B$10,Paramètres!$A$1:$I$89,3,0)*VLOOKUP('Données projet'!$B$10,Paramètres!$A$1:$I$89,5,0)</f>
        <v>192.24503999999988</v>
      </c>
      <c r="AK76" s="14">
        <f t="shared" si="89"/>
        <v>48.035959478141564</v>
      </c>
      <c r="AL76" s="22">
        <f t="shared" si="58"/>
        <v>418.48940742442966</v>
      </c>
      <c r="AM76" s="62">
        <f t="shared" si="59"/>
        <v>706.45712543932655</v>
      </c>
      <c r="AN76" s="62">
        <f ca="1">AVERAGE(OFFSET($AM$3,0,0,'Données projet'!$E$10+1,1))-AVERAGE(OFFSET($H$3,0,0,'Données projet'!$E$10+1,1))</f>
        <v>283.28499080043167</v>
      </c>
      <c r="AO76" s="62">
        <f t="shared" si="90"/>
        <v>278.56966286485783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0.83289297190931666</v>
      </c>
      <c r="AV76" s="23">
        <f>EXP(-LN(2)/25)*AV75+(1-EXP(-LN(2)/25))/(LN(2)/25)*Calculateur!AQ76*Calculateur!AS76*VLOOKUP('Données projet'!$B$10,Paramètres!$A$1:$I$89,3,0)*0.475*44/12</f>
        <v>2.6450418518429286</v>
      </c>
      <c r="AW76" s="23">
        <f>EXP(-LN(2)/2)*AW75+(1-EXP(-LN(2)/2))/(LN(2)/2)*AQ76*AT76*VLOOKUP('Données projet'!$B$10,Paramètres!$A$1:$I$89,3,0)*0.475*44/12</f>
        <v>4.3730301223604753E-6</v>
      </c>
      <c r="AX76" s="23">
        <f t="shared" si="60"/>
        <v>3.4779391967823678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262.19999999999982</v>
      </c>
      <c r="BE76" s="14">
        <f>BD76*VLOOKUP('Données projet'!$B$11,Paramètres!$A$1:$I$89,3,0)*VLOOKUP('Données projet'!$B$11,Paramètres!$A$1:$I$89,5,0)</f>
        <v>208.6063199999999</v>
      </c>
      <c r="BF76" s="14">
        <f t="shared" si="91"/>
        <v>51.630913628711831</v>
      </c>
      <c r="BG76" s="22">
        <f t="shared" si="61"/>
        <v>453.24651523667291</v>
      </c>
      <c r="BH76" s="62">
        <f t="shared" si="62"/>
        <v>741.21423325156979</v>
      </c>
      <c r="BI76" s="62">
        <f ca="1">AVERAGE(OFFSET($BH$3,0,0,'Données projet'!$E$11+1,1))-AVERAGE(OFFSET($H$3,0,0,'Données projet'!$E$11+1,1))</f>
        <v>303.91914071195419</v>
      </c>
      <c r="BJ76" s="62">
        <f t="shared" si="92"/>
        <v>298.30050362688769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0.78926134049082164</v>
      </c>
      <c r="BR76" s="23">
        <f>EXP(-LN(2)/2)*BR75+(1-EXP(-LN(2)/2))/(LN(2)/2)*BL76*BO76*VLOOKUP('Données projet'!$B$11,Paramètres!$A$1:$I$89,3,0)*0.475*44/12</f>
        <v>8.5822539247875705E-6</v>
      </c>
      <c r="BS76" s="24">
        <f t="shared" si="63"/>
        <v>0.78926992274474639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268.54464000000002</v>
      </c>
      <c r="CA76" s="14">
        <f t="shared" si="93"/>
        <v>64.54030807605065</v>
      </c>
      <c r="CB76" s="22">
        <f t="shared" si="64"/>
        <v>580.12295123245474</v>
      </c>
      <c r="CC76" s="62">
        <f t="shared" si="65"/>
        <v>868.09066924735157</v>
      </c>
      <c r="CD76" s="62">
        <f ca="1">AVERAGE(OFFSET($CC$3,0,0,'Données projet'!$E$12+1,1))-AVERAGE(OFFSET($H$3,0,0,'Données projet'!$E$12+1,1))</f>
        <v>446.15737983598251</v>
      </c>
      <c r="CE76" s="62">
        <f t="shared" si="94"/>
        <v>282.2299715529382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4.4337866711430253E-14</v>
      </c>
      <c r="CV76" s="14">
        <f t="shared" si="95"/>
        <v>7.3222115536967035E-13</v>
      </c>
      <c r="CW76" s="22">
        <f t="shared" si="67"/>
        <v>1.3525069634579169E-12</v>
      </c>
      <c r="CX76" s="62">
        <f t="shared" si="68"/>
        <v>287.96771801489825</v>
      </c>
      <c r="CY76" s="62">
        <f ca="1">AVERAGE(OFFSET($CX$3,0,0,'Données projet'!$E$13+1,1))-AVERAGE(OFFSET($H$3,0,0,'Données projet'!$E$13+1,1))</f>
        <v>293.03320024876842</v>
      </c>
      <c r="CZ76" s="62">
        <f t="shared" si="96"/>
        <v>287.49994652707915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1.382359673978315E-6</v>
      </c>
      <c r="DI76" s="24">
        <f t="shared" si="69"/>
        <v>1.382359673978315E-6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-1.7053025658242404E-13</v>
      </c>
      <c r="DP76" s="18">
        <f>DO76*VLOOKUP('Données projet'!$B$14,Paramètres!$A$1:$I$89,3,0)*VLOOKUP('Données projet'!$B$14,Paramètres!$A$1:$I$89,5,0)</f>
        <v>-9.3109520094003535E-14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253.0312006976271</v>
      </c>
      <c r="DU76" s="62">
        <f t="shared" si="98"/>
        <v>365.93937083714866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2.8504909744231446</v>
      </c>
      <c r="EB76" s="23">
        <f>EXP(-LN(2)/25)*EB75+(1-EXP(-LN(2)/25))/(LN(2)/25)*Calculateur!DW76*Calculateur!DY76*VLOOKUP('Données projet'!$B$14,Paramètres!$A$1:$I$89,3,0)*0.475*44/12</f>
        <v>2.9150171218210628</v>
      </c>
      <c r="EC76" s="23">
        <f>EXP(-LN(2)/2)*EC75+(1-EXP(-LN(2)/2))/(LN(2)/2)*DW76*DZ76*VLOOKUP('Données projet'!$B$14,Paramètres!$A$1:$I$89,3,0)*0.475*44/12</f>
        <v>5.8959592702961166E-6</v>
      </c>
      <c r="ED76" s="24">
        <f t="shared" si="72"/>
        <v>5.7655139922034779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1.05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3.85</v>
      </c>
      <c r="H77" s="70">
        <f t="shared" si="56"/>
        <v>241.26666666666665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288.06079944495491</v>
      </c>
      <c r="S77" s="62">
        <f ca="1">AVERAGE(OFFSET($R$3,0,0,'Données projet'!$E$9+1,1))-AVERAGE(OFFSET($H$3,0,0,'Données projet'!$E$9+1,1))</f>
        <v>393.3487617557011</v>
      </c>
      <c r="T77" s="62">
        <f t="shared" si="88"/>
        <v>360.09400083977084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2.2177079970590454</v>
      </c>
      <c r="AA77" s="23">
        <f>EXP(-LN(2)/25)*AA76+(1-EXP(-LN(2)/25))/(LN(2)/25)*Calculateur!V77*Calculateur!X77*VLOOKUP('Données projet'!$B$9,Paramètres!$A$1:$I$89,3,0)*0.475*44/12</f>
        <v>2.7414622752226201</v>
      </c>
      <c r="AB77" s="23">
        <f>EXP(-LN(2)/2)*AB76+(1-EXP(-LN(2)/2))/(LN(2)/2)*V77*Y77*VLOOKUP('Données projet'!$B$9,Paramètres!$A$1:$I$89,3,0)*0.475*44/12</f>
        <v>3.4052327001863401E-6</v>
      </c>
      <c r="AC77" s="24">
        <f t="shared" si="57"/>
        <v>4.9591736775143662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265.5999999999998</v>
      </c>
      <c r="AJ77" s="14">
        <f>AI77*VLOOKUP('Données projet'!$B$10,Paramètres!$A$1:$I$89,3,0)*VLOOKUP('Données projet'!$B$10,Paramètres!$A$1:$I$89,5,0)</f>
        <v>194.73791999999983</v>
      </c>
      <c r="AK77" s="14">
        <f t="shared" si="89"/>
        <v>48.585933399718442</v>
      </c>
      <c r="AL77" s="22">
        <f t="shared" si="58"/>
        <v>423.78904467117599</v>
      </c>
      <c r="AM77" s="62">
        <f t="shared" si="59"/>
        <v>711.84984411612902</v>
      </c>
      <c r="AN77" s="62">
        <f ca="1">AVERAGE(OFFSET($AM$3,0,0,'Données projet'!$E$10+1,1))-AVERAGE(OFFSET($H$3,0,0,'Données projet'!$E$10+1,1))</f>
        <v>283.28499080043167</v>
      </c>
      <c r="AO77" s="62">
        <f t="shared" si="90"/>
        <v>278.56966286485783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0.81656044874472555</v>
      </c>
      <c r="AV77" s="23">
        <f>EXP(-LN(2)/25)*AV76+(1-EXP(-LN(2)/25))/(LN(2)/25)*Calculateur!AQ77*Calculateur!AS77*VLOOKUP('Données projet'!$B$10,Paramètres!$A$1:$I$89,3,0)*0.475*44/12</f>
        <v>2.5727130433075782</v>
      </c>
      <c r="AW77" s="23">
        <f>EXP(-LN(2)/2)*AW76+(1-EXP(-LN(2)/2))/(LN(2)/2)*AQ77*AT77*VLOOKUP('Données projet'!$B$10,Paramètres!$A$1:$I$89,3,0)*0.475*44/12</f>
        <v>3.0921992538541298E-6</v>
      </c>
      <c r="AX77" s="23">
        <f t="shared" si="60"/>
        <v>3.389276584251558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265.5999999999998</v>
      </c>
      <c r="BE77" s="14">
        <f>BD77*VLOOKUP('Données projet'!$B$11,Paramètres!$A$1:$I$89,3,0)*VLOOKUP('Données projet'!$B$11,Paramètres!$A$1:$I$89,5,0)</f>
        <v>211.31135999999987</v>
      </c>
      <c r="BF77" s="14">
        <f t="shared" si="91"/>
        <v>52.222046945324379</v>
      </c>
      <c r="BG77" s="22">
        <f t="shared" si="61"/>
        <v>458.98735042977302</v>
      </c>
      <c r="BH77" s="62">
        <f t="shared" si="62"/>
        <v>747.04814987472605</v>
      </c>
      <c r="BI77" s="62">
        <f ca="1">AVERAGE(OFFSET($BH$3,0,0,'Données projet'!$E$11+1,1))-AVERAGE(OFFSET($H$3,0,0,'Données projet'!$E$11+1,1))</f>
        <v>303.91914071195419</v>
      </c>
      <c r="BJ77" s="62">
        <f t="shared" si="92"/>
        <v>298.30050362688769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0.76767894762965005</v>
      </c>
      <c r="BR77" s="23">
        <f>EXP(-LN(2)/2)*BR76+(1-EXP(-LN(2)/2))/(LN(2)/2)*BL77*BO77*VLOOKUP('Données projet'!$B$11,Paramètres!$A$1:$I$89,3,0)*0.475*44/12</f>
        <v>6.0685699480821534E-6</v>
      </c>
      <c r="BS77" s="24">
        <f t="shared" si="63"/>
        <v>0.76768501619959817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275.42112000000003</v>
      </c>
      <c r="CA77" s="14">
        <f t="shared" si="93"/>
        <v>65.998433293601067</v>
      </c>
      <c r="CB77" s="22">
        <f t="shared" si="64"/>
        <v>594.63905531968851</v>
      </c>
      <c r="CC77" s="62">
        <f t="shared" si="65"/>
        <v>882.69985476464149</v>
      </c>
      <c r="CD77" s="62">
        <f ca="1">AVERAGE(OFFSET($CC$3,0,0,'Données projet'!$E$12+1,1))-AVERAGE(OFFSET($H$3,0,0,'Données projet'!$E$12+1,1))</f>
        <v>446.15737983598251</v>
      </c>
      <c r="CE77" s="62">
        <f t="shared" si="94"/>
        <v>282.2299715529382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4.4337866711430253E-14</v>
      </c>
      <c r="CV77" s="14">
        <f t="shared" si="95"/>
        <v>7.3222115536967035E-13</v>
      </c>
      <c r="CW77" s="22">
        <f t="shared" si="67"/>
        <v>1.3525069634579169E-12</v>
      </c>
      <c r="CX77" s="62">
        <f t="shared" si="68"/>
        <v>288.0607994449544</v>
      </c>
      <c r="CY77" s="62">
        <f ca="1">AVERAGE(OFFSET($CX$3,0,0,'Données projet'!$E$13+1,1))-AVERAGE(OFFSET($H$3,0,0,'Données projet'!$E$13+1,1))</f>
        <v>293.03320024876842</v>
      </c>
      <c r="CZ77" s="62">
        <f t="shared" si="96"/>
        <v>287.49994652707915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9.7747589950889156E-7</v>
      </c>
      <c r="DI77" s="24">
        <f t="shared" si="69"/>
        <v>9.7747589950889156E-7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-1.7053025658242404E-13</v>
      </c>
      <c r="DP77" s="18">
        <f>DO77*VLOOKUP('Données projet'!$B$14,Paramètres!$A$1:$I$89,3,0)*VLOOKUP('Données projet'!$B$14,Paramètres!$A$1:$I$89,5,0)</f>
        <v>-9.3109520094003535E-14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253.0312006976271</v>
      </c>
      <c r="DU77" s="62">
        <f t="shared" si="98"/>
        <v>365.93937083714866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2.794594585042526</v>
      </c>
      <c r="EB77" s="23">
        <f>EXP(-LN(2)/25)*EB76+(1-EXP(-LN(2)/25))/(LN(2)/25)*Calculateur!DW77*Calculateur!DY77*VLOOKUP('Données projet'!$B$14,Paramètres!$A$1:$I$89,3,0)*0.475*44/12</f>
        <v>2.8353058253307779</v>
      </c>
      <c r="EC77" s="23">
        <f>EXP(-LN(2)/2)*EC76+(1-EXP(-LN(2)/2))/(LN(2)/2)*DW77*DZ77*VLOOKUP('Données projet'!$B$14,Paramètres!$A$1:$I$89,3,0)*0.475*44/12</f>
        <v>4.1690727816260724E-6</v>
      </c>
      <c r="ED77" s="24">
        <f t="shared" si="72"/>
        <v>5.6299045794460856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1.05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3.85</v>
      </c>
      <c r="H78" s="70">
        <f t="shared" si="56"/>
        <v>241.26666666666665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288.15226612029846</v>
      </c>
      <c r="S78" s="62">
        <f ca="1">AVERAGE(OFFSET($R$3,0,0,'Données projet'!$E$9+1,1))-AVERAGE(OFFSET($H$3,0,0,'Données projet'!$E$9+1,1))</f>
        <v>393.3487617557011</v>
      </c>
      <c r="T78" s="62">
        <f t="shared" si="88"/>
        <v>360.09400083977084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2.1742200959050306</v>
      </c>
      <c r="AA78" s="23">
        <f>EXP(-LN(2)/25)*AA77+(1-EXP(-LN(2)/25))/(LN(2)/25)*Calculateur!V78*Calculateur!X78*VLOOKUP('Données projet'!$B$9,Paramètres!$A$1:$I$89,3,0)*0.475*44/12</f>
        <v>2.666496845139422</v>
      </c>
      <c r="AB78" s="23">
        <f>EXP(-LN(2)/2)*AB77+(1-EXP(-LN(2)/2))/(LN(2)/2)*V78*Y78*VLOOKUP('Données projet'!$B$9,Paramètres!$A$1:$I$89,3,0)*0.475*44/12</f>
        <v>2.4078631338199387E-6</v>
      </c>
      <c r="AC78" s="24">
        <f t="shared" si="57"/>
        <v>4.8407193489075864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269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268.99999999999977</v>
      </c>
      <c r="AJ78" s="14">
        <f>AI78*VLOOKUP('Données projet'!$B$10,Paramètres!$A$1:$I$89,3,0)*VLOOKUP('Données projet'!$B$10,Paramètres!$A$1:$I$89,5,0)</f>
        <v>197.23079999999982</v>
      </c>
      <c r="AK78" s="14">
        <f t="shared" si="89"/>
        <v>49.135088413615115</v>
      </c>
      <c r="AL78" s="22">
        <f t="shared" si="58"/>
        <v>429.08725565371265</v>
      </c>
      <c r="AM78" s="62">
        <f t="shared" si="59"/>
        <v>717.23952177400929</v>
      </c>
      <c r="AN78" s="62">
        <f ca="1">AVERAGE(OFFSET($AM$3,0,0,'Données projet'!$E$10+1,1))-AVERAGE(OFFSET($H$3,0,0,'Données projet'!$E$10+1,1))</f>
        <v>283.28499080043167</v>
      </c>
      <c r="AO78" s="62">
        <f t="shared" si="90"/>
        <v>278.56966286485783</v>
      </c>
      <c r="AP78" s="16">
        <f>IF(ISNA(VLOOKUP(A78,'Données projet'!$A$61:$I$81,3,0)),0,VLOOKUP(A78,'Données projet'!$A$61:$I$81,3,0))</f>
        <v>13</v>
      </c>
      <c r="AQ78" s="16">
        <f>IF(ISNA(VLOOKUP(A78,'Données projet'!$A$61:$I$81,4,0)),0,VLOOKUP(A78,'Données projet'!$A$61:$I$81,4,0))</f>
        <v>9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0.8005481963975366</v>
      </c>
      <c r="AV78" s="23">
        <f>EXP(-LN(2)/25)*AV77+(1-EXP(-LN(2)/25))/(LN(2)/25)*Calculateur!AQ78*Calculateur!AS78*VLOOKUP('Données projet'!$B$10,Paramètres!$A$1:$I$89,3,0)*0.475*44/12</f>
        <v>2.5023620698452333</v>
      </c>
      <c r="AW78" s="23">
        <f>EXP(-LN(2)/2)*AW77+(1-EXP(-LN(2)/2))/(LN(2)/2)*AQ78*AT78*VLOOKUP('Données projet'!$B$10,Paramètres!$A$1:$I$89,3,0)*0.475*44/12</f>
        <v>2.1865150611802377E-6</v>
      </c>
      <c r="AX78" s="23">
        <f t="shared" si="60"/>
        <v>3.3029124527578309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268.99999999999977</v>
      </c>
      <c r="BE78" s="14">
        <f>BD78*VLOOKUP('Données projet'!$B$11,Paramètres!$A$1:$I$89,3,0)*VLOOKUP('Données projet'!$B$11,Paramètres!$A$1:$I$89,5,0)</f>
        <v>214.01639999999983</v>
      </c>
      <c r="BF78" s="14">
        <f t="shared" si="91"/>
        <v>52.812300068178622</v>
      </c>
      <c r="BG78" s="22">
        <f t="shared" si="61"/>
        <v>464.72665261874414</v>
      </c>
      <c r="BH78" s="62">
        <f t="shared" si="62"/>
        <v>752.87891873904073</v>
      </c>
      <c r="BI78" s="62">
        <f ca="1">AVERAGE(OFFSET($BH$3,0,0,'Données projet'!$E$11+1,1))-AVERAGE(OFFSET($H$3,0,0,'Données projet'!$E$11+1,1))</f>
        <v>303.91914071195419</v>
      </c>
      <c r="BJ78" s="62">
        <f t="shared" si="92"/>
        <v>298.30050362688769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9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0.74668672643623601</v>
      </c>
      <c r="BR78" s="23">
        <f>EXP(-LN(2)/2)*BR77+(1-EXP(-LN(2)/2))/(LN(2)/2)*BL78*BO78*VLOOKUP('Données projet'!$B$11,Paramètres!$A$1:$I$89,3,0)*0.475*44/12</f>
        <v>4.2911269623937853E-6</v>
      </c>
      <c r="BS78" s="24">
        <f t="shared" si="63"/>
        <v>0.74669101756319844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282.29760000000005</v>
      </c>
      <c r="CA78" s="14">
        <f t="shared" si="93"/>
        <v>67.452326629470178</v>
      </c>
      <c r="CB78" s="22">
        <f t="shared" si="64"/>
        <v>609.14778887966054</v>
      </c>
      <c r="CC78" s="62">
        <f t="shared" si="65"/>
        <v>897.30005499995718</v>
      </c>
      <c r="CD78" s="62">
        <f ca="1">AVERAGE(OFFSET($CC$3,0,0,'Données projet'!$E$12+1,1))-AVERAGE(OFFSET($H$3,0,0,'Données projet'!$E$12+1,1))</f>
        <v>446.15737983598251</v>
      </c>
      <c r="CE78" s="62">
        <f t="shared" si="94"/>
        <v>282.2299715529382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4.4337866711430253E-14</v>
      </c>
      <c r="CV78" s="14">
        <f t="shared" si="95"/>
        <v>7.3222115536967035E-13</v>
      </c>
      <c r="CW78" s="22">
        <f t="shared" si="67"/>
        <v>1.3525069634579169E-12</v>
      </c>
      <c r="CX78" s="62">
        <f t="shared" si="68"/>
        <v>288.15226612029795</v>
      </c>
      <c r="CY78" s="62">
        <f ca="1">AVERAGE(OFFSET($CX$3,0,0,'Données projet'!$E$13+1,1))-AVERAGE(OFFSET($H$3,0,0,'Données projet'!$E$13+1,1))</f>
        <v>293.03320024876842</v>
      </c>
      <c r="CZ78" s="62">
        <f t="shared" si="96"/>
        <v>287.49994652707915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6.9117983698915752E-7</v>
      </c>
      <c r="DI78" s="24">
        <f t="shared" si="69"/>
        <v>6.9117983698915752E-7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-1.7053025658242404E-13</v>
      </c>
      <c r="DP78" s="18">
        <f>DO78*VLOOKUP('Données projet'!$B$14,Paramètres!$A$1:$I$89,3,0)*VLOOKUP('Données projet'!$B$14,Paramètres!$A$1:$I$89,5,0)</f>
        <v>-9.3109520094003535E-14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253.0312006976271</v>
      </c>
      <c r="DU78" s="62">
        <f t="shared" si="98"/>
        <v>365.93937083714866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2.7397942897642302</v>
      </c>
      <c r="EB78" s="23">
        <f>EXP(-LN(2)/25)*EB77+(1-EXP(-LN(2)/25))/(LN(2)/25)*Calculateur!DW78*Calculateur!DY78*VLOOKUP('Données projet'!$B$14,Paramètres!$A$1:$I$89,3,0)*0.475*44/12</f>
        <v>2.7577742384348545</v>
      </c>
      <c r="EC78" s="23">
        <f>EXP(-LN(2)/2)*EC77+(1-EXP(-LN(2)/2))/(LN(2)/2)*DW78*DZ78*VLOOKUP('Données projet'!$B$14,Paramètres!$A$1:$I$89,3,0)*0.475*44/12</f>
        <v>2.9479796351480583E-6</v>
      </c>
      <c r="ED78" s="24">
        <f t="shared" si="72"/>
        <v>5.4975714761787202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1.05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3.85</v>
      </c>
      <c r="H79" s="70">
        <f t="shared" si="56"/>
        <v>241.26666666666665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288.2421460533136</v>
      </c>
      <c r="S79" s="62">
        <f ca="1">AVERAGE(OFFSET($R$3,0,0,'Données projet'!$E$9+1,1))-AVERAGE(OFFSET($H$3,0,0,'Données projet'!$E$9+1,1))</f>
        <v>393.3487617557011</v>
      </c>
      <c r="T79" s="62">
        <f t="shared" si="88"/>
        <v>360.09400083977084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2.1315849659676456</v>
      </c>
      <c r="AA79" s="23">
        <f>EXP(-LN(2)/25)*AA78+(1-EXP(-LN(2)/25))/(LN(2)/25)*Calculateur!V79*Calculateur!X79*VLOOKUP('Données projet'!$B$9,Paramètres!$A$1:$I$89,3,0)*0.475*44/12</f>
        <v>2.5935813486841099</v>
      </c>
      <c r="AB79" s="23">
        <f>EXP(-LN(2)/2)*AB78+(1-EXP(-LN(2)/2))/(LN(2)/2)*V79*Y79*VLOOKUP('Données projet'!$B$9,Paramètres!$A$1:$I$89,3,0)*0.475*44/12</f>
        <v>1.7026163500931701E-6</v>
      </c>
      <c r="AC79" s="24">
        <f t="shared" si="57"/>
        <v>4.7251680172681052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262.99999999999977</v>
      </c>
      <c r="AJ79" s="14">
        <f>AI79*VLOOKUP('Données projet'!$B$10,Paramètres!$A$1:$I$89,3,0)*VLOOKUP('Données projet'!$B$10,Paramètres!$A$1:$I$89,5,0)</f>
        <v>192.83159999999984</v>
      </c>
      <c r="AK79" s="14">
        <f t="shared" si="89"/>
        <v>48.165439402688776</v>
      </c>
      <c r="AL79" s="22">
        <f t="shared" si="58"/>
        <v>419.73651029301595</v>
      </c>
      <c r="AM79" s="62">
        <f t="shared" si="59"/>
        <v>707.97865634632763</v>
      </c>
      <c r="AN79" s="62">
        <f ca="1">AVERAGE(OFFSET($AM$3,0,0,'Données projet'!$E$10+1,1))-AVERAGE(OFFSET($H$3,0,0,'Données projet'!$E$10+1,1))</f>
        <v>283.28499080043167</v>
      </c>
      <c r="AO79" s="62">
        <f t="shared" si="90"/>
        <v>278.56966286485783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0.78484993455236651</v>
      </c>
      <c r="AV79" s="23">
        <f>EXP(-LN(2)/25)*AV78+(1-EXP(-LN(2)/25))/(LN(2)/25)*Calculateur!AQ79*Calculateur!AS79*VLOOKUP('Données projet'!$B$10,Paramètres!$A$1:$I$89,3,0)*0.475*44/12</f>
        <v>2.4339348474518134</v>
      </c>
      <c r="AW79" s="23">
        <f>EXP(-LN(2)/2)*AW78+(1-EXP(-LN(2)/2))/(LN(2)/2)*AQ79*AT79*VLOOKUP('Données projet'!$B$10,Paramètres!$A$1:$I$89,3,0)*0.475*44/12</f>
        <v>1.5460996269270649E-6</v>
      </c>
      <c r="AX79" s="23">
        <f t="shared" si="60"/>
        <v>3.2187863281038069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262.99999999999977</v>
      </c>
      <c r="BE79" s="14">
        <f>BD79*VLOOKUP('Données projet'!$B$11,Paramètres!$A$1:$I$89,3,0)*VLOOKUP('Données projet'!$B$11,Paramètres!$A$1:$I$89,5,0)</f>
        <v>209.24279999999982</v>
      </c>
      <c r="BF79" s="14">
        <f t="shared" si="91"/>
        <v>51.770083677016764</v>
      </c>
      <c r="BG79" s="22">
        <f t="shared" si="61"/>
        <v>454.59743907080389</v>
      </c>
      <c r="BH79" s="62">
        <f t="shared" si="62"/>
        <v>742.83958512411562</v>
      </c>
      <c r="BI79" s="62">
        <f ca="1">AVERAGE(OFFSET($BH$3,0,0,'Données projet'!$E$11+1,1))-AVERAGE(OFFSET($H$3,0,0,'Données projet'!$E$11+1,1))</f>
        <v>303.91914071195419</v>
      </c>
      <c r="BJ79" s="62">
        <f t="shared" si="92"/>
        <v>298.30050362688769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0.72626853863528873</v>
      </c>
      <c r="BR79" s="23">
        <f>EXP(-LN(2)/2)*BR78+(1-EXP(-LN(2)/2))/(LN(2)/2)*BL79*BO79*VLOOKUP('Données projet'!$B$11,Paramètres!$A$1:$I$89,3,0)*0.475*44/12</f>
        <v>3.0342849740410767E-6</v>
      </c>
      <c r="BS79" s="24">
        <f t="shared" si="63"/>
        <v>0.72627157292026279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263.47776000000005</v>
      </c>
      <c r="CA79" s="14">
        <f t="shared" si="93"/>
        <v>63.46312159763346</v>
      </c>
      <c r="CB79" s="22">
        <f t="shared" si="64"/>
        <v>569.42203544921165</v>
      </c>
      <c r="CC79" s="62">
        <f t="shared" si="65"/>
        <v>857.66418150252343</v>
      </c>
      <c r="CD79" s="62">
        <f ca="1">AVERAGE(OFFSET($CC$3,0,0,'Données projet'!$E$12+1,1))-AVERAGE(OFFSET($H$3,0,0,'Données projet'!$E$12+1,1))</f>
        <v>446.15737983598251</v>
      </c>
      <c r="CE79" s="62">
        <f t="shared" si="94"/>
        <v>282.2299715529382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4.4337866711430253E-14</v>
      </c>
      <c r="CV79" s="14">
        <f t="shared" si="95"/>
        <v>7.3222115536967035E-13</v>
      </c>
      <c r="CW79" s="22">
        <f t="shared" si="67"/>
        <v>1.3525069634579169E-12</v>
      </c>
      <c r="CX79" s="62">
        <f t="shared" si="68"/>
        <v>288.24214605331309</v>
      </c>
      <c r="CY79" s="62">
        <f ca="1">AVERAGE(OFFSET($CX$3,0,0,'Données projet'!$E$13+1,1))-AVERAGE(OFFSET($H$3,0,0,'Données projet'!$E$13+1,1))</f>
        <v>293.03320024876842</v>
      </c>
      <c r="CZ79" s="62">
        <f t="shared" si="96"/>
        <v>287.49994652707915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4.8873794975444578E-7</v>
      </c>
      <c r="DI79" s="24">
        <f t="shared" si="69"/>
        <v>4.8873794975444578E-7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-1.7053025658242404E-13</v>
      </c>
      <c r="DP79" s="18">
        <f>DO79*VLOOKUP('Données projet'!$B$14,Paramètres!$A$1:$I$89,3,0)*VLOOKUP('Données projet'!$B$14,Paramètres!$A$1:$I$89,5,0)</f>
        <v>-9.3109520094003535E-14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253.0312006976271</v>
      </c>
      <c r="DU79" s="62">
        <f t="shared" si="98"/>
        <v>365.93937083714866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2.686068594851462</v>
      </c>
      <c r="EB79" s="23">
        <f>EXP(-LN(2)/25)*EB78+(1-EXP(-LN(2)/25))/(LN(2)/25)*Calculateur!DW79*Calculateur!DY79*VLOOKUP('Données projet'!$B$14,Paramètres!$A$1:$I$89,3,0)*0.475*44/12</f>
        <v>2.682362756859809</v>
      </c>
      <c r="EC79" s="23">
        <f>EXP(-LN(2)/2)*EC78+(1-EXP(-LN(2)/2))/(LN(2)/2)*DW79*DZ79*VLOOKUP('Données projet'!$B$14,Paramètres!$A$1:$I$89,3,0)*0.475*44/12</f>
        <v>2.0845363908130362E-6</v>
      </c>
      <c r="ED79" s="24">
        <f t="shared" si="72"/>
        <v>5.3684334362476616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1.05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3.85</v>
      </c>
      <c r="H80" s="70">
        <f t="shared" si="56"/>
        <v>241.26666666666665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288.33046677043239</v>
      </c>
      <c r="S80" s="62">
        <f ca="1">AVERAGE(OFFSET($R$3,0,0,'Données projet'!$E$9+1,1))-AVERAGE(OFFSET($H$3,0,0,'Données projet'!$E$9+1,1))</f>
        <v>393.3487617557011</v>
      </c>
      <c r="T80" s="62">
        <f t="shared" si="88"/>
        <v>360.09400083977084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2.0897858849234714</v>
      </c>
      <c r="AA80" s="23">
        <f>EXP(-LN(2)/25)*AA79+(1-EXP(-LN(2)/25))/(LN(2)/25)*Calculateur!V80*Calculateur!X80*VLOOKUP('Données projet'!$B$9,Paramètres!$A$1:$I$89,3,0)*0.475*44/12</f>
        <v>2.5226597303138276</v>
      </c>
      <c r="AB80" s="23">
        <f>EXP(-LN(2)/2)*AB79+(1-EXP(-LN(2)/2))/(LN(2)/2)*V80*Y80*VLOOKUP('Données projet'!$B$9,Paramètres!$A$1:$I$89,3,0)*0.475*44/12</f>
        <v>1.2039315669099694E-6</v>
      </c>
      <c r="AC80" s="24">
        <f t="shared" si="57"/>
        <v>4.6124468191688655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265.99999999999977</v>
      </c>
      <c r="AJ80" s="14">
        <f>AI80*VLOOKUP('Données projet'!$B$10,Paramètres!$A$1:$I$89,3,0)*VLOOKUP('Données projet'!$B$10,Paramètres!$A$1:$I$89,5,0)</f>
        <v>195.03119999999981</v>
      </c>
      <c r="AK80" s="14">
        <f t="shared" si="89"/>
        <v>48.650582149676751</v>
      </c>
      <c r="AL80" s="22">
        <f t="shared" si="58"/>
        <v>424.41243724402005</v>
      </c>
      <c r="AM80" s="62">
        <f t="shared" si="59"/>
        <v>712.74290401445057</v>
      </c>
      <c r="AN80" s="62">
        <f ca="1">AVERAGE(OFFSET($AM$3,0,0,'Données projet'!$E$10+1,1))-AVERAGE(OFFSET($H$3,0,0,'Données projet'!$E$10+1,1))</f>
        <v>283.28499080043167</v>
      </c>
      <c r="AO80" s="62">
        <f t="shared" si="90"/>
        <v>278.56966286485783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0.76945950604698587</v>
      </c>
      <c r="AV80" s="23">
        <f>EXP(-LN(2)/25)*AV79+(1-EXP(-LN(2)/25))/(LN(2)/25)*Calculateur!AQ80*Calculateur!AS80*VLOOKUP('Données projet'!$B$10,Paramètres!$A$1:$I$89,3,0)*0.475*44/12</f>
        <v>2.3673787710531728</v>
      </c>
      <c r="AW80" s="23">
        <f>EXP(-LN(2)/2)*AW79+(1-EXP(-LN(2)/2))/(LN(2)/2)*AQ80*AT80*VLOOKUP('Données projet'!$B$10,Paramètres!$A$1:$I$89,3,0)*0.475*44/12</f>
        <v>1.0932575305901188E-6</v>
      </c>
      <c r="AX80" s="23">
        <f t="shared" si="60"/>
        <v>3.1368393703576896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265.99999999999977</v>
      </c>
      <c r="BE80" s="14">
        <f>BD80*VLOOKUP('Données projet'!$B$11,Paramètres!$A$1:$I$89,3,0)*VLOOKUP('Données projet'!$B$11,Paramètres!$A$1:$I$89,5,0)</f>
        <v>211.62959999999981</v>
      </c>
      <c r="BF80" s="14">
        <f t="shared" si="91"/>
        <v>52.291533930940183</v>
      </c>
      <c r="BG80" s="22">
        <f t="shared" si="61"/>
        <v>459.66264159638718</v>
      </c>
      <c r="BH80" s="62">
        <f t="shared" si="62"/>
        <v>747.99310836681775</v>
      </c>
      <c r="BI80" s="62">
        <f ca="1">AVERAGE(OFFSET($BH$3,0,0,'Données projet'!$E$11+1,1))-AVERAGE(OFFSET($H$3,0,0,'Données projet'!$E$11+1,1))</f>
        <v>303.91914071195419</v>
      </c>
      <c r="BJ80" s="62">
        <f t="shared" si="92"/>
        <v>298.30050362688769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0.70640868725350425</v>
      </c>
      <c r="BR80" s="23">
        <f>EXP(-LN(2)/2)*BR79+(1-EXP(-LN(2)/2))/(LN(2)/2)*BL80*BO80*VLOOKUP('Données projet'!$B$11,Paramètres!$A$1:$I$89,3,0)*0.475*44/12</f>
        <v>2.1455634811968926E-6</v>
      </c>
      <c r="BS80" s="24">
        <f t="shared" si="63"/>
        <v>0.70641083281698547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269.99232000000001</v>
      </c>
      <c r="CA80" s="14">
        <f t="shared" si="93"/>
        <v>64.847639395310296</v>
      </c>
      <c r="CB80" s="22">
        <f t="shared" si="64"/>
        <v>583.17959594683214</v>
      </c>
      <c r="CC80" s="62">
        <f t="shared" si="65"/>
        <v>871.5100627172626</v>
      </c>
      <c r="CD80" s="62">
        <f ca="1">AVERAGE(OFFSET($CC$3,0,0,'Données projet'!$E$12+1,1))-AVERAGE(OFFSET($H$3,0,0,'Données projet'!$E$12+1,1))</f>
        <v>446.15737983598251</v>
      </c>
      <c r="CE80" s="62">
        <f t="shared" si="94"/>
        <v>282.2299715529382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4.4337866711430253E-14</v>
      </c>
      <c r="CV80" s="14">
        <f t="shared" si="95"/>
        <v>7.3222115536967035E-13</v>
      </c>
      <c r="CW80" s="22">
        <f t="shared" si="67"/>
        <v>1.3525069634579169E-12</v>
      </c>
      <c r="CX80" s="62">
        <f t="shared" si="68"/>
        <v>288.33046677043188</v>
      </c>
      <c r="CY80" s="62">
        <f ca="1">AVERAGE(OFFSET($CX$3,0,0,'Données projet'!$E$13+1,1))-AVERAGE(OFFSET($H$3,0,0,'Données projet'!$E$13+1,1))</f>
        <v>293.03320024876842</v>
      </c>
      <c r="CZ80" s="62">
        <f t="shared" si="96"/>
        <v>287.49994652707915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3.4558991849457876E-7</v>
      </c>
      <c r="DI80" s="24">
        <f t="shared" si="69"/>
        <v>3.4558991849457876E-7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-1.7053025658242404E-13</v>
      </c>
      <c r="DP80" s="18">
        <f>DO80*VLOOKUP('Données projet'!$B$14,Paramètres!$A$1:$I$89,3,0)*VLOOKUP('Données projet'!$B$14,Paramètres!$A$1:$I$89,5,0)</f>
        <v>-9.3109520094003535E-14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253.0312006976271</v>
      </c>
      <c r="DU80" s="62">
        <f t="shared" si="98"/>
        <v>365.93937083714866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2.633396428046495</v>
      </c>
      <c r="EB80" s="23">
        <f>EXP(-LN(2)/25)*EB79+(1-EXP(-LN(2)/25))/(LN(2)/25)*Calculateur!DW80*Calculateur!DY80*VLOOKUP('Données projet'!$B$14,Paramètres!$A$1:$I$89,3,0)*0.475*44/12</f>
        <v>2.6090134062141508</v>
      </c>
      <c r="EC80" s="23">
        <f>EXP(-LN(2)/2)*EC79+(1-EXP(-LN(2)/2))/(LN(2)/2)*DW80*DZ80*VLOOKUP('Données projet'!$B$14,Paramètres!$A$1:$I$89,3,0)*0.475*44/12</f>
        <v>1.4739898175740291E-6</v>
      </c>
      <c r="ED80" s="24">
        <f t="shared" si="72"/>
        <v>5.2424113082504631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1.05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3.85</v>
      </c>
      <c r="H81" s="70">
        <f t="shared" si="56"/>
        <v>241.26666666666665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288.41725532056478</v>
      </c>
      <c r="S81" s="62">
        <f ca="1">AVERAGE(OFFSET($R$3,0,0,'Données projet'!$E$9+1,1))-AVERAGE(OFFSET($H$3,0,0,'Données projet'!$E$9+1,1))</f>
        <v>393.3487617557011</v>
      </c>
      <c r="T81" s="62">
        <f t="shared" si="88"/>
        <v>360.09400083977084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2.0488064583636514</v>
      </c>
      <c r="AA81" s="23">
        <f>EXP(-LN(2)/25)*AA80+(1-EXP(-LN(2)/25))/(LN(2)/25)*Calculateur!V81*Calculateur!X81*VLOOKUP('Données projet'!$B$9,Paramètres!$A$1:$I$89,3,0)*0.475*44/12</f>
        <v>2.4536774673274864</v>
      </c>
      <c r="AB81" s="23">
        <f>EXP(-LN(2)/2)*AB80+(1-EXP(-LN(2)/2))/(LN(2)/2)*V81*Y81*VLOOKUP('Données projet'!$B$9,Paramètres!$A$1:$I$89,3,0)*0.475*44/12</f>
        <v>8.5130817504658503E-7</v>
      </c>
      <c r="AC81" s="24">
        <f t="shared" si="57"/>
        <v>4.5024847769993128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268.99999999999977</v>
      </c>
      <c r="AJ81" s="14">
        <f>AI81*VLOOKUP('Données projet'!$B$10,Paramètres!$A$1:$I$89,3,0)*VLOOKUP('Données projet'!$B$10,Paramètres!$A$1:$I$89,5,0)</f>
        <v>197.23079999999982</v>
      </c>
      <c r="AK81" s="14">
        <f t="shared" si="89"/>
        <v>49.135088413615115</v>
      </c>
      <c r="AL81" s="22">
        <f t="shared" si="58"/>
        <v>429.08725565371265</v>
      </c>
      <c r="AM81" s="62">
        <f t="shared" si="59"/>
        <v>717.50451097427549</v>
      </c>
      <c r="AN81" s="62">
        <f ca="1">AVERAGE(OFFSET($AM$3,0,0,'Données projet'!$E$10+1,1))-AVERAGE(OFFSET($H$3,0,0,'Données projet'!$E$10+1,1))</f>
        <v>283.28499080043167</v>
      </c>
      <c r="AO81" s="62">
        <f t="shared" si="90"/>
        <v>278.56966286485783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0.75437087445736128</v>
      </c>
      <c r="AV81" s="23">
        <f>EXP(-LN(2)/25)*AV80+(1-EXP(-LN(2)/25))/(LN(2)/25)*Calculateur!AQ81*Calculateur!AS81*VLOOKUP('Données projet'!$B$10,Paramètres!$A$1:$I$89,3,0)*0.475*44/12</f>
        <v>2.3026426740636849</v>
      </c>
      <c r="AW81" s="23">
        <f>EXP(-LN(2)/2)*AW80+(1-EXP(-LN(2)/2))/(LN(2)/2)*AQ81*AT81*VLOOKUP('Données projet'!$B$10,Paramètres!$A$1:$I$89,3,0)*0.475*44/12</f>
        <v>7.7304981346353244E-7</v>
      </c>
      <c r="AX81" s="23">
        <f t="shared" si="60"/>
        <v>3.0570143215708598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268.99999999999977</v>
      </c>
      <c r="BE81" s="14">
        <f>BD81*VLOOKUP('Données projet'!$B$11,Paramètres!$A$1:$I$89,3,0)*VLOOKUP('Données projet'!$B$11,Paramètres!$A$1:$I$89,5,0)</f>
        <v>214.01639999999983</v>
      </c>
      <c r="BF81" s="14">
        <f t="shared" si="91"/>
        <v>52.812300068178622</v>
      </c>
      <c r="BG81" s="22">
        <f t="shared" si="61"/>
        <v>464.72665261874414</v>
      </c>
      <c r="BH81" s="62">
        <f t="shared" si="62"/>
        <v>753.14390793930704</v>
      </c>
      <c r="BI81" s="62">
        <f ca="1">AVERAGE(OFFSET($BH$3,0,0,'Données projet'!$E$11+1,1))-AVERAGE(OFFSET($H$3,0,0,'Données projet'!$E$11+1,1))</f>
        <v>303.91914071195419</v>
      </c>
      <c r="BJ81" s="62">
        <f t="shared" si="92"/>
        <v>298.30050362688769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0.68709190455213887</v>
      </c>
      <c r="BR81" s="23">
        <f>EXP(-LN(2)/2)*BR80+(1-EXP(-LN(2)/2))/(LN(2)/2)*BL81*BO81*VLOOKUP('Données projet'!$B$11,Paramètres!$A$1:$I$89,3,0)*0.475*44/12</f>
        <v>1.5171424870205383E-6</v>
      </c>
      <c r="BS81" s="24">
        <f t="shared" si="63"/>
        <v>0.68709342169462584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276.50687999999997</v>
      </c>
      <c r="CA81" s="14">
        <f t="shared" si="93"/>
        <v>66.228273722513677</v>
      </c>
      <c r="CB81" s="22">
        <f t="shared" si="64"/>
        <v>596.93039273337797</v>
      </c>
      <c r="CC81" s="62">
        <f t="shared" si="65"/>
        <v>885.34764805394093</v>
      </c>
      <c r="CD81" s="62">
        <f ca="1">AVERAGE(OFFSET($CC$3,0,0,'Données projet'!$E$12+1,1))-AVERAGE(OFFSET($H$3,0,0,'Données projet'!$E$12+1,1))</f>
        <v>446.15737983598251</v>
      </c>
      <c r="CE81" s="62">
        <f t="shared" si="94"/>
        <v>282.2299715529382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4.4337866711430253E-14</v>
      </c>
      <c r="CV81" s="14">
        <f t="shared" si="95"/>
        <v>7.3222115536967035E-13</v>
      </c>
      <c r="CW81" s="22">
        <f t="shared" si="67"/>
        <v>1.3525069634579169E-12</v>
      </c>
      <c r="CX81" s="62">
        <f t="shared" si="68"/>
        <v>288.41725532056427</v>
      </c>
      <c r="CY81" s="62">
        <f ca="1">AVERAGE(OFFSET($CX$3,0,0,'Données projet'!$E$13+1,1))-AVERAGE(OFFSET($H$3,0,0,'Données projet'!$E$13+1,1))</f>
        <v>293.03320024876842</v>
      </c>
      <c r="CZ81" s="62">
        <f t="shared" si="96"/>
        <v>287.49994652707915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2.4436897487722289E-7</v>
      </c>
      <c r="DI81" s="24">
        <f t="shared" si="69"/>
        <v>2.4436897487722289E-7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-1.7053025658242404E-13</v>
      </c>
      <c r="DP81" s="18">
        <f>DO81*VLOOKUP('Données projet'!$B$14,Paramètres!$A$1:$I$89,3,0)*VLOOKUP('Données projet'!$B$14,Paramètres!$A$1:$I$89,5,0)</f>
        <v>-9.3109520094003535E-14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253.0312006976271</v>
      </c>
      <c r="DU81" s="62">
        <f t="shared" si="98"/>
        <v>365.93937083714866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2.5817571303057241</v>
      </c>
      <c r="EB81" s="23">
        <f>EXP(-LN(2)/25)*EB80+(1-EXP(-LN(2)/25))/(LN(2)/25)*Calculateur!DW81*Calculateur!DY81*VLOOKUP('Données projet'!$B$14,Paramètres!$A$1:$I$89,3,0)*0.475*44/12</f>
        <v>2.5376697974191726</v>
      </c>
      <c r="EC81" s="23">
        <f>EXP(-LN(2)/2)*EC80+(1-EXP(-LN(2)/2))/(LN(2)/2)*DW81*DZ81*VLOOKUP('Données projet'!$B$14,Paramètres!$A$1:$I$89,3,0)*0.475*44/12</f>
        <v>1.0422681954065181E-6</v>
      </c>
      <c r="ED81" s="24">
        <f t="shared" si="72"/>
        <v>5.119427969993092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1.05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3.85</v>
      </c>
      <c r="H82" s="70">
        <f t="shared" si="56"/>
        <v>241.26666666666665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288.50253828338236</v>
      </c>
      <c r="S82" s="62">
        <f ca="1">AVERAGE(OFFSET($R$3,0,0,'Données projet'!$E$9+1,1))-AVERAGE(OFFSET($H$3,0,0,'Données projet'!$E$9+1,1))</f>
        <v>393.3487617557011</v>
      </c>
      <c r="T82" s="62">
        <f t="shared" si="88"/>
        <v>360.09400083977084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2.0086306133636871</v>
      </c>
      <c r="AA82" s="23">
        <f>EXP(-LN(2)/25)*AA81+(1-EXP(-LN(2)/25))/(LN(2)/25)*Calculateur!V82*Calculateur!X82*VLOOKUP('Données projet'!$B$9,Paramètres!$A$1:$I$89,3,0)*0.475*44/12</f>
        <v>2.3865815279501263</v>
      </c>
      <c r="AB82" s="23">
        <f>EXP(-LN(2)/2)*AB81+(1-EXP(-LN(2)/2))/(LN(2)/2)*V82*Y82*VLOOKUP('Données projet'!$B$9,Paramètres!$A$1:$I$89,3,0)*0.475*44/12</f>
        <v>6.0196578345498469E-7</v>
      </c>
      <c r="AC82" s="24">
        <f t="shared" si="57"/>
        <v>4.3952127432795969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271.99999999999977</v>
      </c>
      <c r="AJ82" s="14">
        <f>AI82*VLOOKUP('Données projet'!$B$10,Paramètres!$A$1:$I$89,3,0)*VLOOKUP('Données projet'!$B$10,Paramètres!$A$1:$I$89,5,0)</f>
        <v>199.43039999999982</v>
      </c>
      <c r="AK82" s="14">
        <f t="shared" si="89"/>
        <v>49.618966114261433</v>
      </c>
      <c r="AL82" s="22">
        <f t="shared" si="58"/>
        <v>433.76097931567165</v>
      </c>
      <c r="AM82" s="62">
        <f t="shared" si="59"/>
        <v>722.26351759905219</v>
      </c>
      <c r="AN82" s="62">
        <f ca="1">AVERAGE(OFFSET($AM$3,0,0,'Données projet'!$E$10+1,1))-AVERAGE(OFFSET($H$3,0,0,'Données projet'!$E$10+1,1))</f>
        <v>283.28499080043167</v>
      </c>
      <c r="AO82" s="62">
        <f t="shared" si="90"/>
        <v>278.56966286485783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0.73957812173005266</v>
      </c>
      <c r="AV82" s="23">
        <f>EXP(-LN(2)/25)*AV81+(1-EXP(-LN(2)/25))/(LN(2)/25)*Calculateur!AQ82*Calculateur!AS82*VLOOKUP('Données projet'!$B$10,Paramètres!$A$1:$I$89,3,0)*0.475*44/12</f>
        <v>2.2396767890506979</v>
      </c>
      <c r="AW82" s="23">
        <f>EXP(-LN(2)/2)*AW81+(1-EXP(-LN(2)/2))/(LN(2)/2)*AQ82*AT82*VLOOKUP('Données projet'!$B$10,Paramètres!$A$1:$I$89,3,0)*0.475*44/12</f>
        <v>5.4662876529505941E-7</v>
      </c>
      <c r="AX82" s="23">
        <f t="shared" si="60"/>
        <v>2.9792554574095158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271.99999999999977</v>
      </c>
      <c r="BE82" s="14">
        <f>BD82*VLOOKUP('Données projet'!$B$11,Paramètres!$A$1:$I$89,3,0)*VLOOKUP('Données projet'!$B$11,Paramètres!$A$1:$I$89,5,0)</f>
        <v>216.40319999999983</v>
      </c>
      <c r="BF82" s="14">
        <f t="shared" si="91"/>
        <v>53.332390601194746</v>
      </c>
      <c r="BG82" s="22">
        <f t="shared" si="61"/>
        <v>469.78948696374727</v>
      </c>
      <c r="BH82" s="62">
        <f t="shared" si="62"/>
        <v>758.29202524712775</v>
      </c>
      <c r="BI82" s="62">
        <f ca="1">AVERAGE(OFFSET($BH$3,0,0,'Données projet'!$E$11+1,1))-AVERAGE(OFFSET($H$3,0,0,'Données projet'!$E$11+1,1))</f>
        <v>303.91914071195419</v>
      </c>
      <c r="BJ82" s="62">
        <f t="shared" si="92"/>
        <v>298.30050362688769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0.66830334028956773</v>
      </c>
      <c r="BR82" s="23">
        <f>EXP(-LN(2)/2)*BR81+(1-EXP(-LN(2)/2))/(LN(2)/2)*BL82*BO82*VLOOKUP('Données projet'!$B$11,Paramètres!$A$1:$I$89,3,0)*0.475*44/12</f>
        <v>1.0727817405984463E-6</v>
      </c>
      <c r="BS82" s="24">
        <f t="shared" si="63"/>
        <v>0.66830441307130828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283.02144000000004</v>
      </c>
      <c r="CA82" s="14">
        <f t="shared" si="93"/>
        <v>67.605126603830598</v>
      </c>
      <c r="CB82" s="22">
        <f t="shared" si="64"/>
        <v>610.67460350167164</v>
      </c>
      <c r="CC82" s="62">
        <f t="shared" si="65"/>
        <v>899.17714178505207</v>
      </c>
      <c r="CD82" s="62">
        <f ca="1">AVERAGE(OFFSET($CC$3,0,0,'Données projet'!$E$12+1,1))-AVERAGE(OFFSET($H$3,0,0,'Données projet'!$E$12+1,1))</f>
        <v>446.15737983598251</v>
      </c>
      <c r="CE82" s="62">
        <f t="shared" si="94"/>
        <v>282.2299715529382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4.4337866711430253E-14</v>
      </c>
      <c r="CV82" s="14">
        <f t="shared" si="95"/>
        <v>7.3222115536967035E-13</v>
      </c>
      <c r="CW82" s="22">
        <f t="shared" si="67"/>
        <v>1.3525069634579169E-12</v>
      </c>
      <c r="CX82" s="62">
        <f t="shared" si="68"/>
        <v>288.50253828338185</v>
      </c>
      <c r="CY82" s="62">
        <f ca="1">AVERAGE(OFFSET($CX$3,0,0,'Données projet'!$E$13+1,1))-AVERAGE(OFFSET($H$3,0,0,'Données projet'!$E$13+1,1))</f>
        <v>293.03320024876842</v>
      </c>
      <c r="CZ82" s="62">
        <f t="shared" si="96"/>
        <v>287.49994652707915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1.7279495924728938E-7</v>
      </c>
      <c r="DI82" s="24">
        <f t="shared" si="69"/>
        <v>1.7279495924728938E-7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-1.7053025658242404E-13</v>
      </c>
      <c r="DP82" s="18">
        <f>DO82*VLOOKUP('Données projet'!$B$14,Paramètres!$A$1:$I$89,3,0)*VLOOKUP('Données projet'!$B$14,Paramètres!$A$1:$I$89,5,0)</f>
        <v>-9.3109520094003535E-14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253.0312006976271</v>
      </c>
      <c r="DU82" s="62">
        <f t="shared" si="98"/>
        <v>365.93937083714866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2.5311304476967882</v>
      </c>
      <c r="EB82" s="23">
        <f>EXP(-LN(2)/25)*EB81+(1-EXP(-LN(2)/25))/(LN(2)/25)*Calculateur!DW82*Calculateur!DY82*VLOOKUP('Données projet'!$B$14,Paramètres!$A$1:$I$89,3,0)*0.475*44/12</f>
        <v>2.4682770833584908</v>
      </c>
      <c r="EC82" s="23">
        <f>EXP(-LN(2)/2)*EC81+(1-EXP(-LN(2)/2))/(LN(2)/2)*DW82*DZ82*VLOOKUP('Données projet'!$B$14,Paramètres!$A$1:$I$89,3,0)*0.475*44/12</f>
        <v>7.3699490878701457E-7</v>
      </c>
      <c r="ED82" s="24">
        <f t="shared" si="72"/>
        <v>4.9994082680501881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1.05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3.85</v>
      </c>
      <c r="H83" s="70">
        <f t="shared" si="56"/>
        <v>241.26666666666665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288.58634177745932</v>
      </c>
      <c r="S83" s="62">
        <f ca="1">AVERAGE(OFFSET($R$3,0,0,'Données projet'!$E$9+1,1))-AVERAGE(OFFSET($H$3,0,0,'Données projet'!$E$9+1,1))</f>
        <v>393.3487617557011</v>
      </c>
      <c r="T83" s="62">
        <f t="shared" si="88"/>
        <v>360.09400083977084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1.9692425921793264</v>
      </c>
      <c r="AA83" s="23">
        <f>EXP(-LN(2)/25)*AA82+(1-EXP(-LN(2)/25))/(LN(2)/25)*Calculateur!V83*Calculateur!X83*VLOOKUP('Données projet'!$B$9,Paramètres!$A$1:$I$89,3,0)*0.475*44/12</f>
        <v>2.321320330563462</v>
      </c>
      <c r="AB83" s="23">
        <f>EXP(-LN(2)/2)*AB82+(1-EXP(-LN(2)/2))/(LN(2)/2)*V83*Y83*VLOOKUP('Données projet'!$B$9,Paramètres!$A$1:$I$89,3,0)*0.475*44/12</f>
        <v>4.2565408752329251E-7</v>
      </c>
      <c r="AC83" s="24">
        <f t="shared" si="57"/>
        <v>4.2905633483968755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275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274.99999999999977</v>
      </c>
      <c r="AJ83" s="14">
        <f>AI83*VLOOKUP('Données projet'!$B$10,Paramètres!$A$1:$I$89,3,0)*VLOOKUP('Données projet'!$B$10,Paramètres!$A$1:$I$89,5,0)</f>
        <v>201.62999999999982</v>
      </c>
      <c r="AK83" s="14">
        <f t="shared" si="89"/>
        <v>50.102222986612503</v>
      </c>
      <c r="AL83" s="22">
        <f t="shared" si="58"/>
        <v>438.43362170168308</v>
      </c>
      <c r="AM83" s="62">
        <f t="shared" si="59"/>
        <v>727.01996347914053</v>
      </c>
      <c r="AN83" s="62">
        <f ca="1">AVERAGE(OFFSET($AM$3,0,0,'Données projet'!$E$10+1,1))-AVERAGE(OFFSET($H$3,0,0,'Données projet'!$E$10+1,1))</f>
        <v>283.28499080043167</v>
      </c>
      <c r="AO83" s="62">
        <f t="shared" si="90"/>
        <v>278.56966286485783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275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0.72507544586103834</v>
      </c>
      <c r="AV83" s="23">
        <f>EXP(-LN(2)/25)*AV82+(1-EXP(-LN(2)/25))/(LN(2)/25)*Calculateur!AQ83*Calculateur!AS83*VLOOKUP('Données projet'!$B$10,Paramètres!$A$1:$I$89,3,0)*0.475*44/12</f>
        <v>2.178432709474623</v>
      </c>
      <c r="AW83" s="23">
        <f>EXP(-LN(2)/2)*AW82+(1-EXP(-LN(2)/2))/(LN(2)/2)*AQ83*AT83*VLOOKUP('Données projet'!$B$10,Paramètres!$A$1:$I$89,3,0)*0.475*44/12</f>
        <v>3.8652490673176622E-7</v>
      </c>
      <c r="AX83" s="23">
        <f t="shared" si="60"/>
        <v>2.9035085418605679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275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274.99999999999977</v>
      </c>
      <c r="BE83" s="14">
        <f>BD83*VLOOKUP('Données projet'!$B$11,Paramètres!$A$1:$I$89,3,0)*VLOOKUP('Données projet'!$B$11,Paramètres!$A$1:$I$89,5,0)</f>
        <v>218.78999999999982</v>
      </c>
      <c r="BF83" s="14">
        <f t="shared" si="91"/>
        <v>53.851813843863468</v>
      </c>
      <c r="BG83" s="22">
        <f t="shared" si="61"/>
        <v>474.85115911139525</v>
      </c>
      <c r="BH83" s="62">
        <f t="shared" si="62"/>
        <v>763.4375008888527</v>
      </c>
      <c r="BI83" s="62">
        <f ca="1">AVERAGE(OFFSET($BH$3,0,0,'Données projet'!$E$11+1,1))-AVERAGE(OFFSET($H$3,0,0,'Données projet'!$E$11+1,1))</f>
        <v>303.91914071195419</v>
      </c>
      <c r="BJ83" s="62">
        <f t="shared" si="92"/>
        <v>298.30050362688769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275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0.65002855030480422</v>
      </c>
      <c r="BR83" s="23">
        <f>EXP(-LN(2)/2)*BR82+(1-EXP(-LN(2)/2))/(LN(2)/2)*BL83*BO83*VLOOKUP('Données projet'!$B$11,Paramètres!$A$1:$I$89,3,0)*0.475*44/12</f>
        <v>7.5857124351026917E-7</v>
      </c>
      <c r="BS83" s="24">
        <f t="shared" si="63"/>
        <v>0.65002930887604771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289.536</v>
      </c>
      <c r="CA83" s="14">
        <f t="shared" si="93"/>
        <v>68.97829509904436</v>
      </c>
      <c r="CB83" s="22">
        <f t="shared" si="64"/>
        <v>624.41239729750225</v>
      </c>
      <c r="CC83" s="62">
        <f t="shared" si="65"/>
        <v>912.99873907495976</v>
      </c>
      <c r="CD83" s="62">
        <f ca="1">AVERAGE(OFFSET($CC$3,0,0,'Données projet'!$E$12+1,1))-AVERAGE(OFFSET($H$3,0,0,'Données projet'!$E$12+1,1))</f>
        <v>446.15737983598251</v>
      </c>
      <c r="CE83" s="62">
        <f t="shared" si="94"/>
        <v>282.2299715529382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4.4337866711430253E-14</v>
      </c>
      <c r="CV83" s="14">
        <f t="shared" si="95"/>
        <v>7.3222115536967035E-13</v>
      </c>
      <c r="CW83" s="22">
        <f t="shared" si="67"/>
        <v>1.3525069634579169E-12</v>
      </c>
      <c r="CX83" s="62">
        <f t="shared" si="68"/>
        <v>288.58634177745881</v>
      </c>
      <c r="CY83" s="62">
        <f ca="1">AVERAGE(OFFSET($CX$3,0,0,'Données projet'!$E$13+1,1))-AVERAGE(OFFSET($H$3,0,0,'Données projet'!$E$13+1,1))</f>
        <v>293.03320024876842</v>
      </c>
      <c r="CZ83" s="62">
        <f t="shared" si="96"/>
        <v>287.49994652707915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1.2218448743861144E-7</v>
      </c>
      <c r="DI83" s="24">
        <f t="shared" si="69"/>
        <v>1.2218448743861144E-7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-1.7053025658242404E-13</v>
      </c>
      <c r="DP83" s="18">
        <f>DO83*VLOOKUP('Données projet'!$B$14,Paramètres!$A$1:$I$89,3,0)*VLOOKUP('Données projet'!$B$14,Paramètres!$A$1:$I$89,5,0)</f>
        <v>-9.3109520094003535E-14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253.0312006976271</v>
      </c>
      <c r="DU83" s="62">
        <f t="shared" si="98"/>
        <v>365.93937083714866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2.4814965234545858</v>
      </c>
      <c r="EB83" s="23">
        <f>EXP(-LN(2)/25)*EB82+(1-EXP(-LN(2)/25))/(LN(2)/25)*Calculateur!DW83*Calculateur!DY83*VLOOKUP('Données projet'!$B$14,Paramètres!$A$1:$I$89,3,0)*0.475*44/12</f>
        <v>2.4007819167130022</v>
      </c>
      <c r="EC83" s="23">
        <f>EXP(-LN(2)/2)*EC82+(1-EXP(-LN(2)/2))/(LN(2)/2)*DW83*DZ83*VLOOKUP('Données projet'!$B$14,Paramètres!$A$1:$I$89,3,0)*0.475*44/12</f>
        <v>5.2113409770325905E-7</v>
      </c>
      <c r="ED83" s="24">
        <f t="shared" si="72"/>
        <v>4.8822789613016857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1.05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3.85</v>
      </c>
      <c r="H84" s="70">
        <f t="shared" si="56"/>
        <v>241.26666666666665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288.66869146827054</v>
      </c>
      <c r="S84" s="62">
        <f ca="1">AVERAGE(OFFSET($R$3,0,0,'Données projet'!$E$9+1,1))-AVERAGE(OFFSET($H$3,0,0,'Données projet'!$E$9+1,1))</f>
        <v>393.3487617557011</v>
      </c>
      <c r="T84" s="62">
        <f t="shared" si="88"/>
        <v>360.09400083977084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1.9306269460660703</v>
      </c>
      <c r="AA84" s="23">
        <f>EXP(-LN(2)/25)*AA83+(1-EXP(-LN(2)/25))/(LN(2)/25)*Calculateur!V84*Calculateur!X84*VLOOKUP('Données projet'!$B$9,Paramètres!$A$1:$I$89,3,0)*0.475*44/12</f>
        <v>2.2578437040512735</v>
      </c>
      <c r="AB84" s="23">
        <f>EXP(-LN(2)/2)*AB83+(1-EXP(-LN(2)/2))/(LN(2)/2)*V84*Y84*VLOOKUP('Données projet'!$B$9,Paramètres!$A$1:$I$89,3,0)*0.475*44/12</f>
        <v>3.0098289172749234E-7</v>
      </c>
      <c r="AC84" s="24">
        <f t="shared" si="57"/>
        <v>4.1884709511002356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-1.6671037883497774E-13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283.28499080043167</v>
      </c>
      <c r="AO84" s="62">
        <f t="shared" si="90"/>
        <v>278.56966286485783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0.71085715862005661</v>
      </c>
      <c r="AV84" s="23">
        <f>EXP(-LN(2)/25)*AV83+(1-EXP(-LN(2)/25))/(LN(2)/25)*Calculateur!AQ84*Calculateur!AS84*VLOOKUP('Données projet'!$B$10,Paramètres!$A$1:$I$89,3,0)*0.475*44/12</f>
        <v>2.118863352475242</v>
      </c>
      <c r="AW84" s="23">
        <f>EXP(-LN(2)/2)*AW83+(1-EXP(-LN(2)/2))/(LN(2)/2)*AQ84*AT84*VLOOKUP('Données projet'!$B$10,Paramètres!$A$1:$I$89,3,0)*0.475*44/12</f>
        <v>2.7331438264752971E-7</v>
      </c>
      <c r="AX84" s="23">
        <f t="shared" si="60"/>
        <v>2.8297207844096812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-1.8089849618263545E-13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303.91914071195419</v>
      </c>
      <c r="BJ84" s="62">
        <f t="shared" si="92"/>
        <v>298.30050362688769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0.63225348541320359</v>
      </c>
      <c r="BR84" s="23">
        <f>EXP(-LN(2)/2)*BR83+(1-EXP(-LN(2)/2))/(LN(2)/2)*BL84*BO84*VLOOKUP('Données projet'!$B$11,Paramètres!$A$1:$I$89,3,0)*0.475*44/12</f>
        <v>5.3639087029922316E-7</v>
      </c>
      <c r="BS84" s="24">
        <f t="shared" si="63"/>
        <v>0.63225402180407386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270.35424</v>
      </c>
      <c r="CA84" s="14">
        <f t="shared" si="93"/>
        <v>64.924442218534367</v>
      </c>
      <c r="CB84" s="22">
        <f t="shared" si="64"/>
        <v>583.94370486394735</v>
      </c>
      <c r="CC84" s="62">
        <f t="shared" si="65"/>
        <v>872.61239633221601</v>
      </c>
      <c r="CD84" s="62">
        <f ca="1">AVERAGE(OFFSET($CC$3,0,0,'Données projet'!$E$12+1,1))-AVERAGE(OFFSET($H$3,0,0,'Données projet'!$E$12+1,1))</f>
        <v>446.15737983598251</v>
      </c>
      <c r="CE84" s="62">
        <f t="shared" si="94"/>
        <v>282.2299715529382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4.4337866711430253E-14</v>
      </c>
      <c r="CV84" s="14">
        <f t="shared" si="95"/>
        <v>7.3222115536967035E-13</v>
      </c>
      <c r="CW84" s="22">
        <f t="shared" si="67"/>
        <v>1.3525069634579169E-12</v>
      </c>
      <c r="CX84" s="62">
        <f t="shared" si="68"/>
        <v>288.66869146827003</v>
      </c>
      <c r="CY84" s="62">
        <f ca="1">AVERAGE(OFFSET($CX$3,0,0,'Données projet'!$E$13+1,1))-AVERAGE(OFFSET($H$3,0,0,'Données projet'!$E$13+1,1))</f>
        <v>293.03320024876842</v>
      </c>
      <c r="CZ84" s="62">
        <f t="shared" si="96"/>
        <v>287.49994652707915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8.639747962364469E-8</v>
      </c>
      <c r="DI84" s="24">
        <f t="shared" si="69"/>
        <v>8.639747962364469E-8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-1.7053025658242404E-13</v>
      </c>
      <c r="DP84" s="18">
        <f>DO84*VLOOKUP('Données projet'!$B$14,Paramètres!$A$1:$I$89,3,0)*VLOOKUP('Données projet'!$B$14,Paramètres!$A$1:$I$89,5,0)</f>
        <v>-9.3109520094003535E-14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253.0312006976271</v>
      </c>
      <c r="DU84" s="62">
        <f t="shared" si="98"/>
        <v>365.93937083714866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2.4328358901930689</v>
      </c>
      <c r="EB84" s="23">
        <f>EXP(-LN(2)/25)*EB83+(1-EXP(-LN(2)/25))/(LN(2)/25)*Calculateur!DW84*Calculateur!DY84*VLOOKUP('Données projet'!$B$14,Paramètres!$A$1:$I$89,3,0)*0.475*44/12</f>
        <v>2.3351324089488514</v>
      </c>
      <c r="EC84" s="23">
        <f>EXP(-LN(2)/2)*EC83+(1-EXP(-LN(2)/2))/(LN(2)/2)*DW84*DZ84*VLOOKUP('Données projet'!$B$14,Paramètres!$A$1:$I$89,3,0)*0.475*44/12</f>
        <v>3.6849745439350729E-7</v>
      </c>
      <c r="ED84" s="24">
        <f t="shared" si="72"/>
        <v>4.7679686676393747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1.05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3.85</v>
      </c>
      <c r="H85" s="70">
        <f t="shared" si="56"/>
        <v>241.26666666666665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288.74961257605253</v>
      </c>
      <c r="S85" s="62">
        <f ca="1">AVERAGE(OFFSET($R$3,0,0,'Données projet'!$E$9+1,1))-AVERAGE(OFFSET($H$3,0,0,'Données projet'!$E$9+1,1))</f>
        <v>393.3487617557011</v>
      </c>
      <c r="T85" s="62">
        <f t="shared" si="88"/>
        <v>360.09400083977084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1.8927685292198768</v>
      </c>
      <c r="AA85" s="23">
        <f>EXP(-LN(2)/25)*AA84+(1-EXP(-LN(2)/25))/(LN(2)/25)*Calculateur!V85*Calculateur!X85*VLOOKUP('Données projet'!$B$9,Paramètres!$A$1:$I$89,3,0)*0.475*44/12</f>
        <v>2.1961028492291517</v>
      </c>
      <c r="AB85" s="23">
        <f>EXP(-LN(2)/2)*AB84+(1-EXP(-LN(2)/2))/(LN(2)/2)*V85*Y85*VLOOKUP('Données projet'!$B$9,Paramètres!$A$1:$I$89,3,0)*0.475*44/12</f>
        <v>2.1282704376164626E-7</v>
      </c>
      <c r="AC85" s="24">
        <f t="shared" si="57"/>
        <v>4.0888715912760727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-1.6671037883497774E-13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283.28499080043167</v>
      </c>
      <c r="AO85" s="62">
        <f t="shared" si="90"/>
        <v>278.56966286485783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0.6969176833195716</v>
      </c>
      <c r="AV85" s="23">
        <f>EXP(-LN(2)/25)*AV84+(1-EXP(-LN(2)/25))/(LN(2)/25)*Calculateur!AQ85*Calculateur!AS85*VLOOKUP('Données projet'!$B$10,Paramètres!$A$1:$I$89,3,0)*0.475*44/12</f>
        <v>2.0609229226756254</v>
      </c>
      <c r="AW85" s="23">
        <f>EXP(-LN(2)/2)*AW84+(1-EXP(-LN(2)/2))/(LN(2)/2)*AQ85*AT85*VLOOKUP('Données projet'!$B$10,Paramètres!$A$1:$I$89,3,0)*0.475*44/12</f>
        <v>1.9326245336588311E-7</v>
      </c>
      <c r="AX85" s="23">
        <f t="shared" si="60"/>
        <v>2.7578407992576501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-1.8089849618263545E-13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303.91914071195419</v>
      </c>
      <c r="BJ85" s="62">
        <f t="shared" si="92"/>
        <v>298.30050362688769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0.61496448060581377</v>
      </c>
      <c r="BR85" s="23">
        <f>EXP(-LN(2)/2)*BR84+(1-EXP(-LN(2)/2))/(LN(2)/2)*BL85*BO85*VLOOKUP('Données projet'!$B$11,Paramètres!$A$1:$I$89,3,0)*0.475*44/12</f>
        <v>3.7928562175513458E-7</v>
      </c>
      <c r="BS85" s="24">
        <f t="shared" si="63"/>
        <v>0.61496485989143557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276.50687999999997</v>
      </c>
      <c r="CA85" s="14">
        <f t="shared" si="93"/>
        <v>66.228273722513677</v>
      </c>
      <c r="CB85" s="22">
        <f t="shared" si="64"/>
        <v>596.93039273337797</v>
      </c>
      <c r="CC85" s="62">
        <f t="shared" si="65"/>
        <v>885.68000530942868</v>
      </c>
      <c r="CD85" s="62">
        <f ca="1">AVERAGE(OFFSET($CC$3,0,0,'Données projet'!$E$12+1,1))-AVERAGE(OFFSET($H$3,0,0,'Données projet'!$E$12+1,1))</f>
        <v>446.15737983598251</v>
      </c>
      <c r="CE85" s="62">
        <f t="shared" si="94"/>
        <v>282.2299715529382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4.4337866711430253E-14</v>
      </c>
      <c r="CV85" s="14">
        <f t="shared" si="95"/>
        <v>7.3222115536967035E-13</v>
      </c>
      <c r="CW85" s="22">
        <f t="shared" si="67"/>
        <v>1.3525069634579169E-12</v>
      </c>
      <c r="CX85" s="62">
        <f t="shared" si="68"/>
        <v>288.74961257605202</v>
      </c>
      <c r="CY85" s="62">
        <f ca="1">AVERAGE(OFFSET($CX$3,0,0,'Données projet'!$E$13+1,1))-AVERAGE(OFFSET($H$3,0,0,'Données projet'!$E$13+1,1))</f>
        <v>293.03320024876842</v>
      </c>
      <c r="CZ85" s="62">
        <f t="shared" si="96"/>
        <v>287.49994652707915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6.1092243719305722E-8</v>
      </c>
      <c r="DI85" s="24">
        <f t="shared" si="69"/>
        <v>6.1092243719305722E-8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-1.7053025658242404E-13</v>
      </c>
      <c r="DP85" s="18">
        <f>DO85*VLOOKUP('Données projet'!$B$14,Paramètres!$A$1:$I$89,3,0)*VLOOKUP('Données projet'!$B$14,Paramètres!$A$1:$I$89,5,0)</f>
        <v>-9.3109520094003535E-14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253.0312006976271</v>
      </c>
      <c r="DU85" s="62">
        <f t="shared" si="98"/>
        <v>365.93937083714866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2.3851294622697545</v>
      </c>
      <c r="EB85" s="23">
        <f>EXP(-LN(2)/25)*EB84+(1-EXP(-LN(2)/25))/(LN(2)/25)*Calculateur!DW85*Calculateur!DY85*VLOOKUP('Données projet'!$B$14,Paramètres!$A$1:$I$89,3,0)*0.475*44/12</f>
        <v>2.2712780904268688</v>
      </c>
      <c r="EC85" s="23">
        <f>EXP(-LN(2)/2)*EC84+(1-EXP(-LN(2)/2))/(LN(2)/2)*DW85*DZ85*VLOOKUP('Données projet'!$B$14,Paramètres!$A$1:$I$89,3,0)*0.475*44/12</f>
        <v>2.6056704885162953E-7</v>
      </c>
      <c r="ED85" s="24">
        <f t="shared" si="72"/>
        <v>4.6564078132636721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1.05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3.85</v>
      </c>
      <c r="H86" s="70">
        <f t="shared" si="56"/>
        <v>241.26666666666665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288.82912988352695</v>
      </c>
      <c r="S86" s="62">
        <f ca="1">AVERAGE(OFFSET($R$3,0,0,'Données projet'!$E$9+1,1))-AVERAGE(OFFSET($H$3,0,0,'Données projet'!$E$9+1,1))</f>
        <v>393.3487617557011</v>
      </c>
      <c r="T86" s="62">
        <f t="shared" si="88"/>
        <v>360.09400083977084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1.8556524928366829</v>
      </c>
      <c r="AA86" s="23">
        <f>EXP(-LN(2)/25)*AA85+(1-EXP(-LN(2)/25))/(LN(2)/25)*Calculateur!V86*Calculateur!X86*VLOOKUP('Données projet'!$B$9,Paramètres!$A$1:$I$89,3,0)*0.475*44/12</f>
        <v>2.1360503013289511</v>
      </c>
      <c r="AB86" s="23">
        <f>EXP(-LN(2)/2)*AB85+(1-EXP(-LN(2)/2))/(LN(2)/2)*V86*Y86*VLOOKUP('Données projet'!$B$9,Paramètres!$A$1:$I$89,3,0)*0.475*44/12</f>
        <v>1.5049144586374617E-7</v>
      </c>
      <c r="AC86" s="24">
        <f t="shared" si="57"/>
        <v>3.9917029446570798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-1.6671037883497774E-13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283.28499080043167</v>
      </c>
      <c r="AO86" s="62">
        <f t="shared" si="90"/>
        <v>278.56966286485783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0.68325155262748871</v>
      </c>
      <c r="AV86" s="23">
        <f>EXP(-LN(2)/25)*AV85+(1-EXP(-LN(2)/25))/(LN(2)/25)*Calculateur!AQ86*Calculateur!AS86*VLOOKUP('Données projet'!$B$10,Paramètres!$A$1:$I$89,3,0)*0.475*44/12</f>
        <v>2.0045668769758342</v>
      </c>
      <c r="AW86" s="23">
        <f>EXP(-LN(2)/2)*AW85+(1-EXP(-LN(2)/2))/(LN(2)/2)*AQ86*AT86*VLOOKUP('Données projet'!$B$10,Paramètres!$A$1:$I$89,3,0)*0.475*44/12</f>
        <v>1.3665719132376485E-7</v>
      </c>
      <c r="AX86" s="23">
        <f t="shared" si="60"/>
        <v>2.6878185662605141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-1.8089849618263545E-13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303.91914071195419</v>
      </c>
      <c r="BJ86" s="62">
        <f t="shared" si="92"/>
        <v>298.30050362688769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0.59814824454407123</v>
      </c>
      <c r="BR86" s="23">
        <f>EXP(-LN(2)/2)*BR85+(1-EXP(-LN(2)/2))/(LN(2)/2)*BL86*BO86*VLOOKUP('Données projet'!$B$11,Paramètres!$A$1:$I$89,3,0)*0.475*44/12</f>
        <v>2.6819543514961158E-7</v>
      </c>
      <c r="BS86" s="24">
        <f t="shared" si="63"/>
        <v>0.59814851273950642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282.65952000000004</v>
      </c>
      <c r="CA86" s="14">
        <f t="shared" si="93"/>
        <v>67.528732309967324</v>
      </c>
      <c r="CB86" s="22">
        <f t="shared" si="64"/>
        <v>609.91120610652649</v>
      </c>
      <c r="CC86" s="62">
        <f t="shared" si="65"/>
        <v>898.74033599005156</v>
      </c>
      <c r="CD86" s="62">
        <f ca="1">AVERAGE(OFFSET($CC$3,0,0,'Données projet'!$E$12+1,1))-AVERAGE(OFFSET($H$3,0,0,'Données projet'!$E$12+1,1))</f>
        <v>446.15737983598251</v>
      </c>
      <c r="CE86" s="62">
        <f t="shared" si="94"/>
        <v>282.2299715529382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4.4337866711430253E-14</v>
      </c>
      <c r="CV86" s="14">
        <f t="shared" si="95"/>
        <v>7.3222115536967035E-13</v>
      </c>
      <c r="CW86" s="22">
        <f t="shared" si="67"/>
        <v>1.3525069634579169E-12</v>
      </c>
      <c r="CX86" s="62">
        <f t="shared" si="68"/>
        <v>288.82912988352643</v>
      </c>
      <c r="CY86" s="62">
        <f ca="1">AVERAGE(OFFSET($CX$3,0,0,'Données projet'!$E$13+1,1))-AVERAGE(OFFSET($H$3,0,0,'Données projet'!$E$13+1,1))</f>
        <v>293.03320024876842</v>
      </c>
      <c r="CZ86" s="62">
        <f t="shared" si="96"/>
        <v>287.49994652707915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4.3198739811822345E-8</v>
      </c>
      <c r="DI86" s="24">
        <f t="shared" si="69"/>
        <v>4.3198739811822345E-8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-1.7053025658242404E-13</v>
      </c>
      <c r="DP86" s="18">
        <f>DO86*VLOOKUP('Données projet'!$B$14,Paramètres!$A$1:$I$89,3,0)*VLOOKUP('Données projet'!$B$14,Paramètres!$A$1:$I$89,5,0)</f>
        <v>-9.3109520094003535E-14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253.0312006976271</v>
      </c>
      <c r="DU86" s="62">
        <f t="shared" si="98"/>
        <v>365.93937083714866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2.3383585282999686</v>
      </c>
      <c r="EB86" s="23">
        <f>EXP(-LN(2)/25)*EB85+(1-EXP(-LN(2)/25))/(LN(2)/25)*Calculateur!DW86*Calculateur!DY86*VLOOKUP('Données projet'!$B$14,Paramètres!$A$1:$I$89,3,0)*0.475*44/12</f>
        <v>2.2091698716028225</v>
      </c>
      <c r="EC86" s="23">
        <f>EXP(-LN(2)/2)*EC85+(1-EXP(-LN(2)/2))/(LN(2)/2)*DW86*DZ86*VLOOKUP('Données projet'!$B$14,Paramètres!$A$1:$I$89,3,0)*0.475*44/12</f>
        <v>1.8424872719675364E-7</v>
      </c>
      <c r="ED86" s="24">
        <f t="shared" si="72"/>
        <v>4.5475285841515189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1.05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3.85</v>
      </c>
      <c r="H87" s="70">
        <f t="shared" si="56"/>
        <v>241.26666666666665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288.90726774349082</v>
      </c>
      <c r="S87" s="62">
        <f ca="1">AVERAGE(OFFSET($R$3,0,0,'Données projet'!$E$9+1,1))-AVERAGE(OFFSET($H$3,0,0,'Données projet'!$E$9+1,1))</f>
        <v>393.3487617557011</v>
      </c>
      <c r="T87" s="62">
        <f t="shared" si="88"/>
        <v>360.09400083977084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1.8192642792884166</v>
      </c>
      <c r="AA87" s="23">
        <f>EXP(-LN(2)/25)*AA86+(1-EXP(-LN(2)/25))/(LN(2)/25)*Calculateur!V87*Calculateur!X87*VLOOKUP('Données projet'!$B$9,Paramètres!$A$1:$I$89,3,0)*0.475*44/12</f>
        <v>2.0776398935091076</v>
      </c>
      <c r="AB87" s="23">
        <f>EXP(-LN(2)/2)*AB86+(1-EXP(-LN(2)/2))/(LN(2)/2)*V87*Y87*VLOOKUP('Données projet'!$B$9,Paramètres!$A$1:$I$89,3,0)*0.475*44/12</f>
        <v>1.0641352188082313E-7</v>
      </c>
      <c r="AC87" s="24">
        <f t="shared" si="57"/>
        <v>3.896904279211046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-1.6671037883497774E-13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283.28499080043167</v>
      </c>
      <c r="AO87" s="62">
        <f t="shared" si="90"/>
        <v>278.56966286485783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0.66985340642276092</v>
      </c>
      <c r="AV87" s="23">
        <f>EXP(-LN(2)/25)*AV86+(1-EXP(-LN(2)/25))/(LN(2)/25)*Calculateur!AQ87*Calculateur!AS87*VLOOKUP('Données projet'!$B$10,Paramètres!$A$1:$I$89,3,0)*0.475*44/12</f>
        <v>1.9497518903093396</v>
      </c>
      <c r="AW87" s="23">
        <f>EXP(-LN(2)/2)*AW86+(1-EXP(-LN(2)/2))/(LN(2)/2)*AQ87*AT87*VLOOKUP('Données projet'!$B$10,Paramètres!$A$1:$I$89,3,0)*0.475*44/12</f>
        <v>9.6631226682941555E-8</v>
      </c>
      <c r="AX87" s="23">
        <f t="shared" si="60"/>
        <v>2.6196053933633272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-1.8089849618263545E-13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303.91914071195419</v>
      </c>
      <c r="BJ87" s="62">
        <f t="shared" si="92"/>
        <v>298.30050362688769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0.58179184934176453</v>
      </c>
      <c r="BR87" s="23">
        <f>EXP(-LN(2)/2)*BR86+(1-EXP(-LN(2)/2))/(LN(2)/2)*BL87*BO87*VLOOKUP('Données projet'!$B$11,Paramètres!$A$1:$I$89,3,0)*0.475*44/12</f>
        <v>1.8964281087756729E-7</v>
      </c>
      <c r="BS87" s="24">
        <f t="shared" si="63"/>
        <v>0.58179203898457543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288.81216000000006</v>
      </c>
      <c r="CA87" s="14">
        <f t="shared" si="93"/>
        <v>68.825899854238159</v>
      </c>
      <c r="CB87" s="22">
        <f t="shared" si="64"/>
        <v>622.88628757946492</v>
      </c>
      <c r="CC87" s="62">
        <f t="shared" si="65"/>
        <v>911.79355532295381</v>
      </c>
      <c r="CD87" s="62">
        <f ca="1">AVERAGE(OFFSET($CC$3,0,0,'Données projet'!$E$12+1,1))-AVERAGE(OFFSET($H$3,0,0,'Données projet'!$E$12+1,1))</f>
        <v>446.15737983598251</v>
      </c>
      <c r="CE87" s="62">
        <f t="shared" si="94"/>
        <v>282.2299715529382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4.4337866711430253E-14</v>
      </c>
      <c r="CV87" s="14">
        <f t="shared" si="95"/>
        <v>7.3222115536967035E-13</v>
      </c>
      <c r="CW87" s="22">
        <f t="shared" si="67"/>
        <v>1.3525069634579169E-12</v>
      </c>
      <c r="CX87" s="62">
        <f t="shared" si="68"/>
        <v>288.90726774349031</v>
      </c>
      <c r="CY87" s="62">
        <f ca="1">AVERAGE(OFFSET($CX$3,0,0,'Données projet'!$E$13+1,1))-AVERAGE(OFFSET($H$3,0,0,'Données projet'!$E$13+1,1))</f>
        <v>293.03320024876842</v>
      </c>
      <c r="CZ87" s="62">
        <f t="shared" si="96"/>
        <v>287.49994652707915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3.0546121859652861E-8</v>
      </c>
      <c r="DI87" s="24">
        <f t="shared" si="69"/>
        <v>3.0546121859652861E-8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-1.7053025658242404E-13</v>
      </c>
      <c r="DP87" s="18">
        <f>DO87*VLOOKUP('Données projet'!$B$14,Paramètres!$A$1:$I$89,3,0)*VLOOKUP('Données projet'!$B$14,Paramètres!$A$1:$I$89,5,0)</f>
        <v>-9.3109520094003535E-14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253.0312006976271</v>
      </c>
      <c r="DU87" s="62">
        <f t="shared" si="98"/>
        <v>365.93937083714866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2.2925047438178772</v>
      </c>
      <c r="EB87" s="23">
        <f>EXP(-LN(2)/25)*EB86+(1-EXP(-LN(2)/25))/(LN(2)/25)*Calculateur!DW87*Calculateur!DY87*VLOOKUP('Données projet'!$B$14,Paramètres!$A$1:$I$89,3,0)*0.475*44/12</f>
        <v>2.1487600052886489</v>
      </c>
      <c r="EC87" s="23">
        <f>EXP(-LN(2)/2)*EC86+(1-EXP(-LN(2)/2))/(LN(2)/2)*DW87*DZ87*VLOOKUP('Données projet'!$B$14,Paramètres!$A$1:$I$89,3,0)*0.475*44/12</f>
        <v>1.3028352442581476E-7</v>
      </c>
      <c r="ED87" s="24">
        <f t="shared" si="72"/>
        <v>4.4412648793900509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1.05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3.85</v>
      </c>
      <c r="H88" s="70">
        <f t="shared" si="56"/>
        <v>241.26666666666665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288.98405008627435</v>
      </c>
      <c r="S88" s="62">
        <f ca="1">AVERAGE(OFFSET($R$3,0,0,'Données projet'!$E$9+1,1))-AVERAGE(OFFSET($H$3,0,0,'Données projet'!$E$9+1,1))</f>
        <v>393.3487617557011</v>
      </c>
      <c r="T88" s="62">
        <f t="shared" si="88"/>
        <v>360.09400083977084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1.783589616413213</v>
      </c>
      <c r="AA88" s="23">
        <f>EXP(-LN(2)/25)*AA87+(1-EXP(-LN(2)/25))/(LN(2)/25)*Calculateur!V88*Calculateur!X88*VLOOKUP('Données projet'!$B$9,Paramètres!$A$1:$I$89,3,0)*0.475*44/12</f>
        <v>2.0208267213627678</v>
      </c>
      <c r="AB88" s="23">
        <f>EXP(-LN(2)/2)*AB87+(1-EXP(-LN(2)/2))/(LN(2)/2)*V88*Y88*VLOOKUP('Données projet'!$B$9,Paramètres!$A$1:$I$89,3,0)*0.475*44/12</f>
        <v>7.5245722931873086E-8</v>
      </c>
      <c r="AC88" s="24">
        <f t="shared" si="57"/>
        <v>3.8044164130217037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-1.6671037883497774E-13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283.28499080043167</v>
      </c>
      <c r="AO88" s="62">
        <f t="shared" si="90"/>
        <v>278.56966286485783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0.65671798969304551</v>
      </c>
      <c r="AV88" s="23">
        <f>EXP(-LN(2)/25)*AV87+(1-EXP(-LN(2)/25))/(LN(2)/25)*Calculateur!AQ88*Calculateur!AS88*VLOOKUP('Données projet'!$B$10,Paramètres!$A$1:$I$89,3,0)*0.475*44/12</f>
        <v>1.8964358223358351</v>
      </c>
      <c r="AW88" s="23">
        <f>EXP(-LN(2)/2)*AW87+(1-EXP(-LN(2)/2))/(LN(2)/2)*AQ88*AT88*VLOOKUP('Données projet'!$B$10,Paramètres!$A$1:$I$89,3,0)*0.475*44/12</f>
        <v>6.8328595661882427E-8</v>
      </c>
      <c r="AX88" s="23">
        <f t="shared" si="60"/>
        <v>2.5531538803574763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-1.8089849618263545E-13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303.91914071195419</v>
      </c>
      <c r="BJ88" s="62">
        <f t="shared" si="92"/>
        <v>298.30050362688769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0.56588272062641032</v>
      </c>
      <c r="BR88" s="23">
        <f>EXP(-LN(2)/2)*BR87+(1-EXP(-LN(2)/2))/(LN(2)/2)*BL88*BO88*VLOOKUP('Données projet'!$B$11,Paramètres!$A$1:$I$89,3,0)*0.475*44/12</f>
        <v>1.3409771757480579E-7</v>
      </c>
      <c r="BS88" s="24">
        <f t="shared" si="63"/>
        <v>0.56588285472412791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294.96480000000003</v>
      </c>
      <c r="CA88" s="14">
        <f t="shared" si="93"/>
        <v>70.119854541045001</v>
      </c>
      <c r="CB88" s="22">
        <f t="shared" si="64"/>
        <v>635.85577332565333</v>
      </c>
      <c r="CC88" s="62">
        <f t="shared" si="65"/>
        <v>924.83982341192586</v>
      </c>
      <c r="CD88" s="62">
        <f ca="1">AVERAGE(OFFSET($CC$3,0,0,'Données projet'!$E$12+1,1))-AVERAGE(OFFSET($H$3,0,0,'Données projet'!$E$12+1,1))</f>
        <v>446.15737983598251</v>
      </c>
      <c r="CE88" s="62">
        <f t="shared" si="94"/>
        <v>282.2299715529382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4.4337866711430253E-14</v>
      </c>
      <c r="CV88" s="14">
        <f t="shared" si="95"/>
        <v>7.3222115536967035E-13</v>
      </c>
      <c r="CW88" s="22">
        <f t="shared" si="67"/>
        <v>1.3525069634579169E-12</v>
      </c>
      <c r="CX88" s="62">
        <f t="shared" si="68"/>
        <v>288.98405008627384</v>
      </c>
      <c r="CY88" s="62">
        <f ca="1">AVERAGE(OFFSET($CX$3,0,0,'Données projet'!$E$13+1,1))-AVERAGE(OFFSET($H$3,0,0,'Données projet'!$E$13+1,1))</f>
        <v>293.03320024876842</v>
      </c>
      <c r="CZ88" s="62">
        <f t="shared" si="96"/>
        <v>287.49994652707915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2.1599369905911172E-8</v>
      </c>
      <c r="DI88" s="24">
        <f t="shared" si="69"/>
        <v>2.1599369905911172E-8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-1.7053025658242404E-13</v>
      </c>
      <c r="DP88" s="18">
        <f>DO88*VLOOKUP('Données projet'!$B$14,Paramètres!$A$1:$I$89,3,0)*VLOOKUP('Données projet'!$B$14,Paramètres!$A$1:$I$89,5,0)</f>
        <v>-9.3109520094003535E-14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253.0312006976271</v>
      </c>
      <c r="DU88" s="62">
        <f t="shared" si="98"/>
        <v>365.93937083714866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2.2475501240814326</v>
      </c>
      <c r="EB88" s="23">
        <f>EXP(-LN(2)/25)*EB87+(1-EXP(-LN(2)/25))/(LN(2)/25)*Calculateur!DW88*Calculateur!DY88*VLOOKUP('Données projet'!$B$14,Paramètres!$A$1:$I$89,3,0)*0.475*44/12</f>
        <v>2.0900020499456531</v>
      </c>
      <c r="EC88" s="23">
        <f>EXP(-LN(2)/2)*EC87+(1-EXP(-LN(2)/2))/(LN(2)/2)*DW88*DZ88*VLOOKUP('Données projet'!$B$14,Paramètres!$A$1:$I$89,3,0)*0.475*44/12</f>
        <v>9.2124363598376822E-8</v>
      </c>
      <c r="ED88" s="24">
        <f t="shared" si="72"/>
        <v>4.337552266151449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1.05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3.85</v>
      </c>
      <c r="H89" s="70">
        <f t="shared" si="56"/>
        <v>241.26666666666665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289.05950042707019</v>
      </c>
      <c r="S89" s="62">
        <f ca="1">AVERAGE(OFFSET($R$3,0,0,'Données projet'!$E$9+1,1))-AVERAGE(OFFSET($H$3,0,0,'Données projet'!$E$9+1,1))</f>
        <v>393.3487617557011</v>
      </c>
      <c r="T89" s="62">
        <f t="shared" si="88"/>
        <v>360.09400083977084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1.7486145119175964</v>
      </c>
      <c r="AA89" s="23">
        <f>EXP(-LN(2)/25)*AA88+(1-EXP(-LN(2)/25))/(LN(2)/25)*Calculateur!V89*Calculateur!X89*VLOOKUP('Données projet'!$B$9,Paramètres!$A$1:$I$89,3,0)*0.475*44/12</f>
        <v>1.9655671083964443</v>
      </c>
      <c r="AB89" s="23">
        <f>EXP(-LN(2)/2)*AB88+(1-EXP(-LN(2)/2))/(LN(2)/2)*V89*Y89*VLOOKUP('Données projet'!$B$9,Paramètres!$A$1:$I$89,3,0)*0.475*44/12</f>
        <v>5.3206760940411564E-8</v>
      </c>
      <c r="AC89" s="24">
        <f t="shared" si="57"/>
        <v>3.7141816735208018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-1.6671037883497774E-13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283.28499080043167</v>
      </c>
      <c r="AO89" s="62">
        <f t="shared" si="90"/>
        <v>278.56966286485783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0.64384015047358678</v>
      </c>
      <c r="AV89" s="23">
        <f>EXP(-LN(2)/25)*AV88+(1-EXP(-LN(2)/25))/(LN(2)/25)*Calculateur!AQ89*Calculateur!AS89*VLOOKUP('Données projet'!$B$10,Paramètres!$A$1:$I$89,3,0)*0.475*44/12</f>
        <v>1.8445776850448361</v>
      </c>
      <c r="AW89" s="23">
        <f>EXP(-LN(2)/2)*AW88+(1-EXP(-LN(2)/2))/(LN(2)/2)*AQ89*AT89*VLOOKUP('Données projet'!$B$10,Paramètres!$A$1:$I$89,3,0)*0.475*44/12</f>
        <v>4.8315613341470778E-8</v>
      </c>
      <c r="AX89" s="23">
        <f t="shared" si="60"/>
        <v>2.4884178838340363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-1.8089849618263545E-13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303.91914071195419</v>
      </c>
      <c r="BJ89" s="62">
        <f t="shared" si="92"/>
        <v>298.30050362688769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0.55040862787240219</v>
      </c>
      <c r="BR89" s="23">
        <f>EXP(-LN(2)/2)*BR88+(1-EXP(-LN(2)/2))/(LN(2)/2)*BL89*BO89*VLOOKUP('Données projet'!$B$11,Paramètres!$A$1:$I$89,3,0)*0.475*44/12</f>
        <v>9.4821405438783646E-8</v>
      </c>
      <c r="BS89" s="24">
        <f t="shared" si="63"/>
        <v>0.55040872269380758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275.42112000000003</v>
      </c>
      <c r="CA89" s="14">
        <f t="shared" si="93"/>
        <v>65.998433293601067</v>
      </c>
      <c r="CB89" s="22">
        <f t="shared" si="64"/>
        <v>594.63905531968851</v>
      </c>
      <c r="CC89" s="62">
        <f t="shared" si="65"/>
        <v>883.69855574675682</v>
      </c>
      <c r="CD89" s="62">
        <f ca="1">AVERAGE(OFFSET($CC$3,0,0,'Données projet'!$E$12+1,1))-AVERAGE(OFFSET($H$3,0,0,'Données projet'!$E$12+1,1))</f>
        <v>446.15737983598251</v>
      </c>
      <c r="CE89" s="62">
        <f t="shared" si="94"/>
        <v>282.2299715529382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4.4337866711430253E-14</v>
      </c>
      <c r="CV89" s="14">
        <f t="shared" si="95"/>
        <v>7.3222115536967035E-13</v>
      </c>
      <c r="CW89" s="22">
        <f t="shared" si="67"/>
        <v>1.3525069634579169E-12</v>
      </c>
      <c r="CX89" s="62">
        <f t="shared" si="68"/>
        <v>289.05950042706968</v>
      </c>
      <c r="CY89" s="62">
        <f ca="1">AVERAGE(OFFSET($CX$3,0,0,'Données projet'!$E$13+1,1))-AVERAGE(OFFSET($H$3,0,0,'Données projet'!$E$13+1,1))</f>
        <v>293.03320024876842</v>
      </c>
      <c r="CZ89" s="62">
        <f t="shared" si="96"/>
        <v>287.49994652707915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1.5273060929826431E-8</v>
      </c>
      <c r="DI89" s="24">
        <f t="shared" si="69"/>
        <v>1.5273060929826431E-8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-1.7053025658242404E-13</v>
      </c>
      <c r="DP89" s="18">
        <f>DO89*VLOOKUP('Données projet'!$B$14,Paramètres!$A$1:$I$89,3,0)*VLOOKUP('Données projet'!$B$14,Paramètres!$A$1:$I$89,5,0)</f>
        <v>-9.3109520094003535E-14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253.0312006976271</v>
      </c>
      <c r="DU89" s="62">
        <f t="shared" si="98"/>
        <v>365.93937083714866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2.2034770370184091</v>
      </c>
      <c r="EB89" s="23">
        <f>EXP(-LN(2)/25)*EB88+(1-EXP(-LN(2)/25))/(LN(2)/25)*Calculateur!DW89*Calculateur!DY89*VLOOKUP('Données projet'!$B$14,Paramètres!$A$1:$I$89,3,0)*0.475*44/12</f>
        <v>2.0328508339814579</v>
      </c>
      <c r="EC89" s="23">
        <f>EXP(-LN(2)/2)*EC88+(1-EXP(-LN(2)/2))/(LN(2)/2)*DW89*DZ89*VLOOKUP('Données projet'!$B$14,Paramètres!$A$1:$I$89,3,0)*0.475*44/12</f>
        <v>6.5141762212907381E-8</v>
      </c>
      <c r="ED89" s="24">
        <f t="shared" si="72"/>
        <v>4.2363279361416293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1.05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3.85</v>
      </c>
      <c r="H90" s="70">
        <f t="shared" si="56"/>
        <v>241.26666666666665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289.13364187313493</v>
      </c>
      <c r="S90" s="62">
        <f ca="1">AVERAGE(OFFSET($R$3,0,0,'Données projet'!$E$9+1,1))-AVERAGE(OFFSET($H$3,0,0,'Données projet'!$E$9+1,1))</f>
        <v>393.3487617557011</v>
      </c>
      <c r="T90" s="62">
        <f t="shared" si="88"/>
        <v>360.09400083977084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1.7143252478884317</v>
      </c>
      <c r="AA90" s="23">
        <f>EXP(-LN(2)/25)*AA89+(1-EXP(-LN(2)/25))/(LN(2)/25)*Calculateur!V90*Calculateur!X90*VLOOKUP('Données projet'!$B$9,Paramètres!$A$1:$I$89,3,0)*0.475*44/12</f>
        <v>1.9118185724526617</v>
      </c>
      <c r="AB90" s="23">
        <f>EXP(-LN(2)/2)*AB89+(1-EXP(-LN(2)/2))/(LN(2)/2)*V90*Y90*VLOOKUP('Données projet'!$B$9,Paramètres!$A$1:$I$89,3,0)*0.475*44/12</f>
        <v>3.7622861465936543E-8</v>
      </c>
      <c r="AC90" s="24">
        <f t="shared" si="57"/>
        <v>3.6261438579639549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-1.6671037883497774E-13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283.28499080043167</v>
      </c>
      <c r="AO90" s="62">
        <f t="shared" si="90"/>
        <v>278.56966286485783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0.63121483782651522</v>
      </c>
      <c r="AV90" s="23">
        <f>EXP(-LN(2)/25)*AV89+(1-EXP(-LN(2)/25))/(LN(2)/25)*Calculateur!AQ90*Calculateur!AS90*VLOOKUP('Données projet'!$B$10,Paramètres!$A$1:$I$89,3,0)*0.475*44/12</f>
        <v>1.7941376112451604</v>
      </c>
      <c r="AW90" s="23">
        <f>EXP(-LN(2)/2)*AW89+(1-EXP(-LN(2)/2))/(LN(2)/2)*AQ90*AT90*VLOOKUP('Données projet'!$B$10,Paramètres!$A$1:$I$89,3,0)*0.475*44/12</f>
        <v>3.4164297830941213E-8</v>
      </c>
      <c r="AX90" s="23">
        <f t="shared" si="60"/>
        <v>2.4253524832359732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-1.8089849618263545E-13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303.91914071195419</v>
      </c>
      <c r="BJ90" s="62">
        <f t="shared" si="92"/>
        <v>298.30050362688769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0.53535767499849962</v>
      </c>
      <c r="BR90" s="23">
        <f>EXP(-LN(2)/2)*BR89+(1-EXP(-LN(2)/2))/(LN(2)/2)*BL90*BO90*VLOOKUP('Données projet'!$B$11,Paramètres!$A$1:$I$89,3,0)*0.475*44/12</f>
        <v>6.7048858787402895E-8</v>
      </c>
      <c r="BS90" s="24">
        <f t="shared" si="63"/>
        <v>0.53535774204735842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281.21184</v>
      </c>
      <c r="CA90" s="14">
        <f t="shared" si="93"/>
        <v>67.22304110496664</v>
      </c>
      <c r="CB90" s="22">
        <f t="shared" si="64"/>
        <v>606.85741792448357</v>
      </c>
      <c r="CC90" s="62">
        <f t="shared" si="65"/>
        <v>895.99105979761657</v>
      </c>
      <c r="CD90" s="62">
        <f ca="1">AVERAGE(OFFSET($CC$3,0,0,'Données projet'!$E$12+1,1))-AVERAGE(OFFSET($H$3,0,0,'Données projet'!$E$12+1,1))</f>
        <v>446.15737983598251</v>
      </c>
      <c r="CE90" s="62">
        <f t="shared" si="94"/>
        <v>282.2299715529382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4.4337866711430253E-14</v>
      </c>
      <c r="CV90" s="14">
        <f t="shared" si="95"/>
        <v>7.3222115536967035E-13</v>
      </c>
      <c r="CW90" s="22">
        <f t="shared" si="67"/>
        <v>1.3525069634579169E-12</v>
      </c>
      <c r="CX90" s="62">
        <f t="shared" si="68"/>
        <v>289.13364187313442</v>
      </c>
      <c r="CY90" s="62">
        <f ca="1">AVERAGE(OFFSET($CX$3,0,0,'Données projet'!$E$13+1,1))-AVERAGE(OFFSET($H$3,0,0,'Données projet'!$E$13+1,1))</f>
        <v>293.03320024876842</v>
      </c>
      <c r="CZ90" s="62">
        <f t="shared" si="96"/>
        <v>287.49994652707915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1.0799684952955586E-8</v>
      </c>
      <c r="DI90" s="24">
        <f t="shared" si="69"/>
        <v>1.0799684952955586E-8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-1.7053025658242404E-13</v>
      </c>
      <c r="DP90" s="18">
        <f>DO90*VLOOKUP('Données projet'!$B$14,Paramètres!$A$1:$I$89,3,0)*VLOOKUP('Données projet'!$B$14,Paramètres!$A$1:$I$89,5,0)</f>
        <v>-9.3109520094003535E-14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253.0312006976271</v>
      </c>
      <c r="DU90" s="62">
        <f t="shared" si="98"/>
        <v>365.93937083714866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2.1602681963107631</v>
      </c>
      <c r="EB90" s="23">
        <f>EXP(-LN(2)/25)*EB89+(1-EXP(-LN(2)/25))/(LN(2)/25)*Calculateur!DW90*Calculateur!DY90*VLOOKUP('Données projet'!$B$14,Paramètres!$A$1:$I$89,3,0)*0.475*44/12</f>
        <v>1.9772624210232557</v>
      </c>
      <c r="EC90" s="23">
        <f>EXP(-LN(2)/2)*EC89+(1-EXP(-LN(2)/2))/(LN(2)/2)*DW90*DZ90*VLOOKUP('Données projet'!$B$14,Paramètres!$A$1:$I$89,3,0)*0.475*44/12</f>
        <v>4.6062181799188411E-8</v>
      </c>
      <c r="ED90" s="24">
        <f t="shared" si="72"/>
        <v>4.1375306633962001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1.05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3.85</v>
      </c>
      <c r="H91" s="70">
        <f t="shared" si="56"/>
        <v>241.26666666666665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289.2064971308659</v>
      </c>
      <c r="S91" s="62">
        <f ca="1">AVERAGE(OFFSET($R$3,0,0,'Données projet'!$E$9+1,1))-AVERAGE(OFFSET($H$3,0,0,'Données projet'!$E$9+1,1))</f>
        <v>393.3487617557011</v>
      </c>
      <c r="T91" s="62">
        <f t="shared" si="88"/>
        <v>360.09400083977084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1.6807083754124927</v>
      </c>
      <c r="AA91" s="23">
        <f>EXP(-LN(2)/25)*AA90+(1-EXP(-LN(2)/25))/(LN(2)/25)*Calculateur!V91*Calculateur!X91*VLOOKUP('Données projet'!$B$9,Paramètres!$A$1:$I$89,3,0)*0.475*44/12</f>
        <v>1.8595397930507744</v>
      </c>
      <c r="AB91" s="23">
        <f>EXP(-LN(2)/2)*AB90+(1-EXP(-LN(2)/2))/(LN(2)/2)*V91*Y91*VLOOKUP('Données projet'!$B$9,Paramètres!$A$1:$I$89,3,0)*0.475*44/12</f>
        <v>2.6603380470205782E-8</v>
      </c>
      <c r="AC91" s="24">
        <f t="shared" si="57"/>
        <v>3.5402481950666478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-1.6671037883497774E-13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283.28499080043167</v>
      </c>
      <c r="AO91" s="62">
        <f t="shared" si="90"/>
        <v>278.56966286485783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0.61883709985977242</v>
      </c>
      <c r="AV91" s="23">
        <f>EXP(-LN(2)/25)*AV90+(1-EXP(-LN(2)/25))/(LN(2)/25)*Calculateur!AQ91*Calculateur!AS91*VLOOKUP('Données projet'!$B$10,Paramètres!$A$1:$I$89,3,0)*0.475*44/12</f>
        <v>1.745076823916065</v>
      </c>
      <c r="AW91" s="23">
        <f>EXP(-LN(2)/2)*AW90+(1-EXP(-LN(2)/2))/(LN(2)/2)*AQ91*AT91*VLOOKUP('Données projet'!$B$10,Paramètres!$A$1:$I$89,3,0)*0.475*44/12</f>
        <v>2.4157806670735389E-8</v>
      </c>
      <c r="AX91" s="23">
        <f t="shared" si="60"/>
        <v>2.3639139479336442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-1.8089849618263545E-13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303.91914071195419</v>
      </c>
      <c r="BJ91" s="62">
        <f t="shared" si="92"/>
        <v>298.30050362688769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0.52071829122242907</v>
      </c>
      <c r="BR91" s="23">
        <f>EXP(-LN(2)/2)*BR90+(1-EXP(-LN(2)/2))/(LN(2)/2)*BL91*BO91*VLOOKUP('Données projet'!$B$11,Paramètres!$A$1:$I$89,3,0)*0.475*44/12</f>
        <v>4.7410702719391823E-8</v>
      </c>
      <c r="BS91" s="24">
        <f t="shared" si="63"/>
        <v>0.52071833863313177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287.00255999999996</v>
      </c>
      <c r="CA91" s="14">
        <f t="shared" si="93"/>
        <v>68.444716936118553</v>
      </c>
      <c r="CB91" s="22">
        <f t="shared" si="64"/>
        <v>619.07067399707296</v>
      </c>
      <c r="CC91" s="62">
        <f t="shared" si="65"/>
        <v>908.27717112793698</v>
      </c>
      <c r="CD91" s="62">
        <f ca="1">AVERAGE(OFFSET($CC$3,0,0,'Données projet'!$E$12+1,1))-AVERAGE(OFFSET($H$3,0,0,'Données projet'!$E$12+1,1))</f>
        <v>446.15737983598251</v>
      </c>
      <c r="CE91" s="62">
        <f t="shared" si="94"/>
        <v>282.2299715529382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4.4337866711430253E-14</v>
      </c>
      <c r="CV91" s="14">
        <f t="shared" si="95"/>
        <v>7.3222115536967035E-13</v>
      </c>
      <c r="CW91" s="22">
        <f t="shared" si="67"/>
        <v>1.3525069634579169E-12</v>
      </c>
      <c r="CX91" s="62">
        <f t="shared" si="68"/>
        <v>289.20649713086539</v>
      </c>
      <c r="CY91" s="62">
        <f ca="1">AVERAGE(OFFSET($CX$3,0,0,'Données projet'!$E$13+1,1))-AVERAGE(OFFSET($H$3,0,0,'Données projet'!$E$13+1,1))</f>
        <v>293.03320024876842</v>
      </c>
      <c r="CZ91" s="62">
        <f t="shared" si="96"/>
        <v>287.49994652707915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7.6365304649132153E-9</v>
      </c>
      <c r="DI91" s="24">
        <f t="shared" si="69"/>
        <v>7.6365304649132153E-9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-1.7053025658242404E-13</v>
      </c>
      <c r="DP91" s="18">
        <f>DO91*VLOOKUP('Données projet'!$B$14,Paramètres!$A$1:$I$89,3,0)*VLOOKUP('Données projet'!$B$14,Paramètres!$A$1:$I$89,5,0)</f>
        <v>-9.3109520094003535E-14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253.0312006976271</v>
      </c>
      <c r="DU91" s="62">
        <f t="shared" si="98"/>
        <v>365.93937083714866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2.117906654614603</v>
      </c>
      <c r="EB91" s="23">
        <f>EXP(-LN(2)/25)*EB90+(1-EXP(-LN(2)/25))/(LN(2)/25)*Calculateur!DW91*Calculateur!DY91*VLOOKUP('Données projet'!$B$14,Paramètres!$A$1:$I$89,3,0)*0.475*44/12</f>
        <v>1.9231940761406632</v>
      </c>
      <c r="EC91" s="23">
        <f>EXP(-LN(2)/2)*EC90+(1-EXP(-LN(2)/2))/(LN(2)/2)*DW91*DZ91*VLOOKUP('Données projet'!$B$14,Paramètres!$A$1:$I$89,3,0)*0.475*44/12</f>
        <v>3.2570881106453691E-8</v>
      </c>
      <c r="ED91" s="24">
        <f t="shared" si="72"/>
        <v>4.0411007633261473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1.05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3.85</v>
      </c>
      <c r="H92" s="70">
        <f t="shared" si="56"/>
        <v>241.26666666666665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289.27808851275518</v>
      </c>
      <c r="S92" s="62">
        <f ca="1">AVERAGE(OFFSET($R$3,0,0,'Données projet'!$E$9+1,1))-AVERAGE(OFFSET($H$3,0,0,'Données projet'!$E$9+1,1))</f>
        <v>393.3487617557011</v>
      </c>
      <c r="T92" s="62">
        <f t="shared" si="88"/>
        <v>360.09400083977084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1.6477507093015396</v>
      </c>
      <c r="AA92" s="23">
        <f>EXP(-LN(2)/25)*AA91+(1-EXP(-LN(2)/25))/(LN(2)/25)*Calculateur!V92*Calculateur!X92*VLOOKUP('Données projet'!$B$9,Paramètres!$A$1:$I$89,3,0)*0.475*44/12</f>
        <v>1.8086905796208532</v>
      </c>
      <c r="AB92" s="23">
        <f>EXP(-LN(2)/2)*AB91+(1-EXP(-LN(2)/2))/(LN(2)/2)*V92*Y92*VLOOKUP('Données projet'!$B$9,Paramètres!$A$1:$I$89,3,0)*0.475*44/12</f>
        <v>1.8811430732968271E-8</v>
      </c>
      <c r="AC92" s="24">
        <f t="shared" si="57"/>
        <v>3.4564413077338232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-1.6671037883497774E-13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283.28499080043167</v>
      </c>
      <c r="AO92" s="62">
        <f t="shared" si="90"/>
        <v>278.56966286485783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0.60670208178488283</v>
      </c>
      <c r="AV92" s="23">
        <f>EXP(-LN(2)/25)*AV91+(1-EXP(-LN(2)/25))/(LN(2)/25)*Calculateur!AQ92*Calculateur!AS92*VLOOKUP('Données projet'!$B$10,Paramètres!$A$1:$I$89,3,0)*0.475*44/12</f>
        <v>1.6973576063964784</v>
      </c>
      <c r="AW92" s="23">
        <f>EXP(-LN(2)/2)*AW91+(1-EXP(-LN(2)/2))/(LN(2)/2)*AQ92*AT92*VLOOKUP('Données projet'!$B$10,Paramètres!$A$1:$I$89,3,0)*0.475*44/12</f>
        <v>1.7082148915470607E-8</v>
      </c>
      <c r="AX92" s="23">
        <f t="shared" si="60"/>
        <v>2.3040597052635103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-1.8089849618263545E-13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303.91914071195419</v>
      </c>
      <c r="BJ92" s="62">
        <f t="shared" si="92"/>
        <v>298.30050362688769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0.50647922216556696</v>
      </c>
      <c r="BR92" s="23">
        <f>EXP(-LN(2)/2)*BR91+(1-EXP(-LN(2)/2))/(LN(2)/2)*BL92*BO92*VLOOKUP('Données projet'!$B$11,Paramètres!$A$1:$I$89,3,0)*0.475*44/12</f>
        <v>3.3524429393701447E-8</v>
      </c>
      <c r="BS92" s="24">
        <f t="shared" si="63"/>
        <v>0.5064792556899963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292.79327999999992</v>
      </c>
      <c r="CA92" s="14">
        <f t="shared" si="93"/>
        <v>69.663526761731433</v>
      </c>
      <c r="CB92" s="22">
        <f t="shared" si="64"/>
        <v>631.27893844334869</v>
      </c>
      <c r="CC92" s="62">
        <f t="shared" si="65"/>
        <v>920.55702695610194</v>
      </c>
      <c r="CD92" s="62">
        <f ca="1">AVERAGE(OFFSET($CC$3,0,0,'Données projet'!$E$12+1,1))-AVERAGE(OFFSET($H$3,0,0,'Données projet'!$E$12+1,1))</f>
        <v>446.15737983598251</v>
      </c>
      <c r="CE92" s="62">
        <f t="shared" si="94"/>
        <v>282.2299715529382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4.4337866711430253E-14</v>
      </c>
      <c r="CV92" s="14">
        <f t="shared" si="95"/>
        <v>7.3222115536967035E-13</v>
      </c>
      <c r="CW92" s="22">
        <f t="shared" si="67"/>
        <v>1.3525069634579169E-12</v>
      </c>
      <c r="CX92" s="62">
        <f t="shared" si="68"/>
        <v>289.27808851275466</v>
      </c>
      <c r="CY92" s="62">
        <f ca="1">AVERAGE(OFFSET($CX$3,0,0,'Données projet'!$E$13+1,1))-AVERAGE(OFFSET($H$3,0,0,'Données projet'!$E$13+1,1))</f>
        <v>293.03320024876842</v>
      </c>
      <c r="CZ92" s="62">
        <f t="shared" si="96"/>
        <v>287.49994652707915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5.3998424764777931E-9</v>
      </c>
      <c r="DI92" s="24">
        <f t="shared" si="69"/>
        <v>5.3998424764777931E-9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-1.7053025658242404E-13</v>
      </c>
      <c r="DP92" s="18">
        <f>DO92*VLOOKUP('Données projet'!$B$14,Paramètres!$A$1:$I$89,3,0)*VLOOKUP('Données projet'!$B$14,Paramètres!$A$1:$I$89,5,0)</f>
        <v>-9.3109520094003535E-14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253.0312006976271</v>
      </c>
      <c r="DU92" s="62">
        <f t="shared" si="98"/>
        <v>365.93937083714866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2.0763757969131156</v>
      </c>
      <c r="EB92" s="23">
        <f>EXP(-LN(2)/25)*EB91+(1-EXP(-LN(2)/25))/(LN(2)/25)*Calculateur!DW92*Calculateur!DY92*VLOOKUP('Données projet'!$B$14,Paramètres!$A$1:$I$89,3,0)*0.475*44/12</f>
        <v>1.8706042329922159</v>
      </c>
      <c r="EC92" s="23">
        <f>EXP(-LN(2)/2)*EC91+(1-EXP(-LN(2)/2))/(LN(2)/2)*DW92*DZ92*VLOOKUP('Données projet'!$B$14,Paramètres!$A$1:$I$89,3,0)*0.475*44/12</f>
        <v>2.3031090899594205E-8</v>
      </c>
      <c r="ED92" s="24">
        <f t="shared" si="72"/>
        <v>3.9469800529364223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1.05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3.85</v>
      </c>
      <c r="H93" s="70">
        <f t="shared" si="56"/>
        <v>241.26666666666665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289.34843794422306</v>
      </c>
      <c r="S93" s="62">
        <f ca="1">AVERAGE(OFFSET($R$3,0,0,'Données projet'!$E$9+1,1))-AVERAGE(OFFSET($H$3,0,0,'Données projet'!$E$9+1,1))</f>
        <v>393.3487617557011</v>
      </c>
      <c r="T93" s="62">
        <f t="shared" si="88"/>
        <v>360.09400083977084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1.6154393229208306</v>
      </c>
      <c r="AA93" s="23">
        <f>EXP(-LN(2)/25)*AA92+(1-EXP(-LN(2)/25))/(LN(2)/25)*Calculateur!V93*Calculateur!X93*VLOOKUP('Données projet'!$B$9,Paramètres!$A$1:$I$89,3,0)*0.475*44/12</f>
        <v>1.7592318406062173</v>
      </c>
      <c r="AB93" s="23">
        <f>EXP(-LN(2)/2)*AB92+(1-EXP(-LN(2)/2))/(LN(2)/2)*V93*Y93*VLOOKUP('Données projet'!$B$9,Paramètres!$A$1:$I$89,3,0)*0.475*44/12</f>
        <v>1.3301690235102891E-8</v>
      </c>
      <c r="AC93" s="24">
        <f t="shared" si="57"/>
        <v>3.3746711768287385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-1.6671037883497774E-13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283.28499080043167</v>
      </c>
      <c r="AO93" s="62">
        <f t="shared" si="90"/>
        <v>278.56966286485783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0.59480502401281155</v>
      </c>
      <c r="AV93" s="23">
        <f>EXP(-LN(2)/25)*AV92+(1-EXP(-LN(2)/25))/(LN(2)/25)*Calculateur!AQ93*Calculateur!AS93*VLOOKUP('Données projet'!$B$10,Paramètres!$A$1:$I$89,3,0)*0.475*44/12</f>
        <v>1.6509432733894096</v>
      </c>
      <c r="AW93" s="23">
        <f>EXP(-LN(2)/2)*AW92+(1-EXP(-LN(2)/2))/(LN(2)/2)*AQ93*AT93*VLOOKUP('Données projet'!$B$10,Paramètres!$A$1:$I$89,3,0)*0.475*44/12</f>
        <v>1.2078903335367694E-8</v>
      </c>
      <c r="AX93" s="23">
        <f t="shared" si="60"/>
        <v>2.2457483094811241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-1.8089849618263545E-13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303.91914071195419</v>
      </c>
      <c r="BJ93" s="62">
        <f t="shared" si="92"/>
        <v>298.30050362688769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0.49262952120086478</v>
      </c>
      <c r="BR93" s="23">
        <f>EXP(-LN(2)/2)*BR92+(1-EXP(-LN(2)/2))/(LN(2)/2)*BL93*BO93*VLOOKUP('Données projet'!$B$11,Paramètres!$A$1:$I$89,3,0)*0.475*44/12</f>
        <v>2.3705351359695912E-8</v>
      </c>
      <c r="BS93" s="24">
        <f t="shared" si="63"/>
        <v>0.49262954490621613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298.58399999999995</v>
      </c>
      <c r="CA93" s="14">
        <f t="shared" si="93"/>
        <v>70.879533797607607</v>
      </c>
      <c r="CB93" s="22">
        <f t="shared" si="64"/>
        <v>643.48232136416652</v>
      </c>
      <c r="CC93" s="62">
        <f t="shared" si="65"/>
        <v>932.83075930838777</v>
      </c>
      <c r="CD93" s="62">
        <f ca="1">AVERAGE(OFFSET($CC$3,0,0,'Données projet'!$E$12+1,1))-AVERAGE(OFFSET($H$3,0,0,'Données projet'!$E$12+1,1))</f>
        <v>446.15737983598251</v>
      </c>
      <c r="CE93" s="62">
        <f t="shared" si="94"/>
        <v>282.2299715529382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4.4337866711430253E-14</v>
      </c>
      <c r="CV93" s="14">
        <f t="shared" si="95"/>
        <v>7.3222115536967035E-13</v>
      </c>
      <c r="CW93" s="22">
        <f t="shared" si="67"/>
        <v>1.3525069634579169E-12</v>
      </c>
      <c r="CX93" s="62">
        <f t="shared" si="68"/>
        <v>289.34843794422255</v>
      </c>
      <c r="CY93" s="62">
        <f ca="1">AVERAGE(OFFSET($CX$3,0,0,'Données projet'!$E$13+1,1))-AVERAGE(OFFSET($H$3,0,0,'Données projet'!$E$13+1,1))</f>
        <v>293.03320024876842</v>
      </c>
      <c r="CZ93" s="62">
        <f t="shared" si="96"/>
        <v>287.49994652707915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3.8182652324566077E-9</v>
      </c>
      <c r="DI93" s="24">
        <f t="shared" si="69"/>
        <v>3.8182652324566077E-9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-1.7053025658242404E-13</v>
      </c>
      <c r="DP93" s="18">
        <f>DO93*VLOOKUP('Données projet'!$B$14,Paramètres!$A$1:$I$89,3,0)*VLOOKUP('Données projet'!$B$14,Paramètres!$A$1:$I$89,5,0)</f>
        <v>-9.3109520094003535E-14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253.0312006976271</v>
      </c>
      <c r="DU93" s="62">
        <f t="shared" si="98"/>
        <v>365.93937083714866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2.0356593339998326</v>
      </c>
      <c r="EB93" s="23">
        <f>EXP(-LN(2)/25)*EB92+(1-EXP(-LN(2)/25))/(LN(2)/25)*Calculateur!DW93*Calculateur!DY93*VLOOKUP('Données projet'!$B$14,Paramètres!$A$1:$I$89,3,0)*0.475*44/12</f>
        <v>1.8194524618702426</v>
      </c>
      <c r="EC93" s="23">
        <f>EXP(-LN(2)/2)*EC92+(1-EXP(-LN(2)/2))/(LN(2)/2)*DW93*DZ93*VLOOKUP('Données projet'!$B$14,Paramètres!$A$1:$I$89,3,0)*0.475*44/12</f>
        <v>1.6285440553226845E-8</v>
      </c>
      <c r="ED93" s="24">
        <f t="shared" si="72"/>
        <v>3.8551118121555157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1.05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3.85</v>
      </c>
      <c r="H94" s="70">
        <f t="shared" si="56"/>
        <v>241.26666666666665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289.4175669703327</v>
      </c>
      <c r="S94" s="62">
        <f ca="1">AVERAGE(OFFSET($R$3,0,0,'Données projet'!$E$9+1,1))-AVERAGE(OFFSET($H$3,0,0,'Données projet'!$E$9+1,1))</f>
        <v>393.3487617557011</v>
      </c>
      <c r="T94" s="62">
        <f t="shared" si="88"/>
        <v>360.09400083977084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1.5837615431190477</v>
      </c>
      <c r="AA94" s="23">
        <f>EXP(-LN(2)/25)*AA93+(1-EXP(-LN(2)/25))/(LN(2)/25)*Calculateur!V94*Calculateur!X94*VLOOKUP('Données projet'!$B$9,Paramètres!$A$1:$I$89,3,0)*0.475*44/12</f>
        <v>1.7111255534108585</v>
      </c>
      <c r="AB94" s="23">
        <f>EXP(-LN(2)/2)*AB93+(1-EXP(-LN(2)/2))/(LN(2)/2)*V94*Y94*VLOOKUP('Données projet'!$B$9,Paramètres!$A$1:$I$89,3,0)*0.475*44/12</f>
        <v>9.4057153664841357E-9</v>
      </c>
      <c r="AC94" s="24">
        <f t="shared" si="57"/>
        <v>3.2948871059356213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-1.6671037883497774E-13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283.28499080043167</v>
      </c>
      <c r="AO94" s="62">
        <f t="shared" si="90"/>
        <v>278.56966286485783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0.58314126028716196</v>
      </c>
      <c r="AV94" s="23">
        <f>EXP(-LN(2)/25)*AV93+(1-EXP(-LN(2)/25))/(LN(2)/25)*Calculateur!AQ94*Calculateur!AS94*VLOOKUP('Données projet'!$B$10,Paramètres!$A$1:$I$89,3,0)*0.475*44/12</f>
        <v>1.6057981427592427</v>
      </c>
      <c r="AW94" s="23">
        <f>EXP(-LN(2)/2)*AW93+(1-EXP(-LN(2)/2))/(LN(2)/2)*AQ94*AT94*VLOOKUP('Données projet'!$B$10,Paramètres!$A$1:$I$89,3,0)*0.475*44/12</f>
        <v>8.5410744577353033E-9</v>
      </c>
      <c r="AX94" s="23">
        <f t="shared" si="60"/>
        <v>2.1889394115874792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-1.8089849618263545E-13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303.91914071195419</v>
      </c>
      <c r="BJ94" s="62">
        <f t="shared" si="92"/>
        <v>298.30050362688769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0.47915854103736655</v>
      </c>
      <c r="BR94" s="23">
        <f>EXP(-LN(2)/2)*BR93+(1-EXP(-LN(2)/2))/(LN(2)/2)*BL94*BO94*VLOOKUP('Données projet'!$B$11,Paramètres!$A$1:$I$89,3,0)*0.475*44/12</f>
        <v>1.6762214696850724E-8</v>
      </c>
      <c r="BS94" s="24">
        <f t="shared" si="63"/>
        <v>0.47915855779958122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278.67839999999995</v>
      </c>
      <c r="CA94" s="14">
        <f t="shared" si="93"/>
        <v>66.687639951856809</v>
      </c>
      <c r="CB94" s="22">
        <f t="shared" si="64"/>
        <v>601.51251958281716</v>
      </c>
      <c r="CC94" s="62">
        <f t="shared" si="65"/>
        <v>890.93008655314793</v>
      </c>
      <c r="CD94" s="62">
        <f ca="1">AVERAGE(OFFSET($CC$3,0,0,'Données projet'!$E$12+1,1))-AVERAGE(OFFSET($H$3,0,0,'Données projet'!$E$12+1,1))</f>
        <v>446.15737983598251</v>
      </c>
      <c r="CE94" s="62">
        <f t="shared" si="94"/>
        <v>282.2299715529382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4.4337866711430253E-14</v>
      </c>
      <c r="CV94" s="14">
        <f t="shared" si="95"/>
        <v>7.3222115536967035E-13</v>
      </c>
      <c r="CW94" s="22">
        <f t="shared" si="67"/>
        <v>1.3525069634579169E-12</v>
      </c>
      <c r="CX94" s="62">
        <f t="shared" si="68"/>
        <v>289.41756697033219</v>
      </c>
      <c r="CY94" s="62">
        <f ca="1">AVERAGE(OFFSET($CX$3,0,0,'Données projet'!$E$13+1,1))-AVERAGE(OFFSET($H$3,0,0,'Données projet'!$E$13+1,1))</f>
        <v>293.03320024876842</v>
      </c>
      <c r="CZ94" s="62">
        <f t="shared" si="96"/>
        <v>287.49994652707915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2.6999212382388966E-9</v>
      </c>
      <c r="DI94" s="24">
        <f t="shared" si="69"/>
        <v>2.6999212382388966E-9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-1.7053025658242404E-13</v>
      </c>
      <c r="DP94" s="18">
        <f>DO94*VLOOKUP('Données projet'!$B$14,Paramètres!$A$1:$I$89,3,0)*VLOOKUP('Données projet'!$B$14,Paramètres!$A$1:$I$89,5,0)</f>
        <v>-9.3109520094003535E-14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253.0312006976271</v>
      </c>
      <c r="DU94" s="62">
        <f t="shared" si="98"/>
        <v>365.93937083714866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1.9957412960896888</v>
      </c>
      <c r="EB94" s="23">
        <f>EXP(-LN(2)/25)*EB93+(1-EXP(-LN(2)/25))/(LN(2)/25)*Calculateur!DW94*Calculateur!DY94*VLOOKUP('Données projet'!$B$14,Paramètres!$A$1:$I$89,3,0)*0.475*44/12</f>
        <v>1.7696994386195541</v>
      </c>
      <c r="EC94" s="23">
        <f>EXP(-LN(2)/2)*EC93+(1-EXP(-LN(2)/2))/(LN(2)/2)*DW94*DZ94*VLOOKUP('Données projet'!$B$14,Paramètres!$A$1:$I$89,3,0)*0.475*44/12</f>
        <v>1.1515545449797103E-8</v>
      </c>
      <c r="ED94" s="24">
        <f t="shared" si="72"/>
        <v>3.7654407462247881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1.05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3.85</v>
      </c>
      <c r="H95" s="70">
        <f t="shared" si="56"/>
        <v>241.26666666666665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289.48549676238866</v>
      </c>
      <c r="S95" s="62">
        <f ca="1">AVERAGE(OFFSET($R$3,0,0,'Données projet'!$E$9+1,1))-AVERAGE(OFFSET($H$3,0,0,'Données projet'!$E$9+1,1))</f>
        <v>393.3487617557011</v>
      </c>
      <c r="T95" s="62">
        <f t="shared" si="88"/>
        <v>360.09400083977084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1.55270494525764</v>
      </c>
      <c r="AA95" s="23">
        <f>EXP(-LN(2)/25)*AA94+(1-EXP(-LN(2)/25))/(LN(2)/25)*Calculateur!V95*Calculateur!X95*VLOOKUP('Données projet'!$B$9,Paramètres!$A$1:$I$89,3,0)*0.475*44/12</f>
        <v>1.6643347351686566</v>
      </c>
      <c r="AB95" s="23">
        <f>EXP(-LN(2)/2)*AB94+(1-EXP(-LN(2)/2))/(LN(2)/2)*V95*Y95*VLOOKUP('Données projet'!$B$9,Paramètres!$A$1:$I$89,3,0)*0.475*44/12</f>
        <v>6.6508451175514455E-9</v>
      </c>
      <c r="AC95" s="24">
        <f t="shared" si="57"/>
        <v>3.2170396870771416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-1.6671037883497774E-13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283.28499080043167</v>
      </c>
      <c r="AO95" s="62">
        <f t="shared" si="90"/>
        <v>278.56966286485783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0.57170621585397885</v>
      </c>
      <c r="AV95" s="23">
        <f>EXP(-LN(2)/25)*AV94+(1-EXP(-LN(2)/25))/(LN(2)/25)*Calculateur!AQ95*Calculateur!AS95*VLOOKUP('Données projet'!$B$10,Paramètres!$A$1:$I$89,3,0)*0.475*44/12</f>
        <v>1.561887508100237</v>
      </c>
      <c r="AW95" s="23">
        <f>EXP(-LN(2)/2)*AW94+(1-EXP(-LN(2)/2))/(LN(2)/2)*AQ95*AT95*VLOOKUP('Données projet'!$B$10,Paramètres!$A$1:$I$89,3,0)*0.475*44/12</f>
        <v>6.0394516676838472E-9</v>
      </c>
      <c r="AX95" s="23">
        <f t="shared" si="60"/>
        <v>2.1335937299936676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-1.8089849618263545E-13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303.91914071195419</v>
      </c>
      <c r="BJ95" s="62">
        <f t="shared" si="92"/>
        <v>298.30050362688769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0.4660559255348472</v>
      </c>
      <c r="BR95" s="23">
        <f>EXP(-LN(2)/2)*BR94+(1-EXP(-LN(2)/2))/(LN(2)/2)*BL95*BO95*VLOOKUP('Données projet'!$B$11,Paramètres!$A$1:$I$89,3,0)*0.475*44/12</f>
        <v>1.1852675679847956E-8</v>
      </c>
      <c r="BS95" s="24">
        <f t="shared" si="63"/>
        <v>0.46605593738752288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284.10719999999992</v>
      </c>
      <c r="CA95" s="14">
        <f t="shared" si="93"/>
        <v>67.834241327943715</v>
      </c>
      <c r="CB95" s="22">
        <f t="shared" si="64"/>
        <v>612.96467697950186</v>
      </c>
      <c r="CC95" s="62">
        <f t="shared" si="65"/>
        <v>902.45017374188865</v>
      </c>
      <c r="CD95" s="62">
        <f ca="1">AVERAGE(OFFSET($CC$3,0,0,'Données projet'!$E$12+1,1))-AVERAGE(OFFSET($H$3,0,0,'Données projet'!$E$12+1,1))</f>
        <v>446.15737983598251</v>
      </c>
      <c r="CE95" s="62">
        <f t="shared" si="94"/>
        <v>282.2299715529382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4.4337866711430253E-14</v>
      </c>
      <c r="CV95" s="14">
        <f t="shared" si="95"/>
        <v>7.3222115536967035E-13</v>
      </c>
      <c r="CW95" s="22">
        <f t="shared" si="67"/>
        <v>1.3525069634579169E-12</v>
      </c>
      <c r="CX95" s="62">
        <f t="shared" si="68"/>
        <v>289.48549676238815</v>
      </c>
      <c r="CY95" s="62">
        <f ca="1">AVERAGE(OFFSET($CX$3,0,0,'Données projet'!$E$13+1,1))-AVERAGE(OFFSET($H$3,0,0,'Données projet'!$E$13+1,1))</f>
        <v>293.03320024876842</v>
      </c>
      <c r="CZ95" s="62">
        <f t="shared" si="96"/>
        <v>287.49994652707915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1.9091326162283038E-9</v>
      </c>
      <c r="DI95" s="24">
        <f t="shared" si="69"/>
        <v>1.9091326162283038E-9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-1.7053025658242404E-13</v>
      </c>
      <c r="DP95" s="18">
        <f>DO95*VLOOKUP('Données projet'!$B$14,Paramètres!$A$1:$I$89,3,0)*VLOOKUP('Données projet'!$B$14,Paramètres!$A$1:$I$89,5,0)</f>
        <v>-9.3109520094003535E-14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253.0312006976271</v>
      </c>
      <c r="DU95" s="62">
        <f t="shared" si="98"/>
        <v>365.93937083714866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1.956606026555364</v>
      </c>
      <c r="EB95" s="23">
        <f>EXP(-LN(2)/25)*EB94+(1-EXP(-LN(2)/25))/(LN(2)/25)*Calculateur!DW95*Calculateur!DY95*VLOOKUP('Données projet'!$B$14,Paramètres!$A$1:$I$89,3,0)*0.475*44/12</f>
        <v>1.7213069144060538</v>
      </c>
      <c r="EC95" s="23">
        <f>EXP(-LN(2)/2)*EC94+(1-EXP(-LN(2)/2))/(LN(2)/2)*DW95*DZ95*VLOOKUP('Données projet'!$B$14,Paramètres!$A$1:$I$89,3,0)*0.475*44/12</f>
        <v>8.1427202766134227E-9</v>
      </c>
      <c r="ED95" s="24">
        <f t="shared" si="72"/>
        <v>3.677912949104138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1.05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3.85</v>
      </c>
      <c r="H96" s="70">
        <f t="shared" si="56"/>
        <v>241.26666666666665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289.55224812442077</v>
      </c>
      <c r="S96" s="62">
        <f ca="1">AVERAGE(OFFSET($R$3,0,0,'Données projet'!$E$9+1,1))-AVERAGE(OFFSET($H$3,0,0,'Données projet'!$E$9+1,1))</f>
        <v>393.3487617557011</v>
      </c>
      <c r="T96" s="62">
        <f t="shared" si="88"/>
        <v>360.09400083977084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1.5222573483376403</v>
      </c>
      <c r="AA96" s="23">
        <f>EXP(-LN(2)/25)*AA95+(1-EXP(-LN(2)/25))/(LN(2)/25)*Calculateur!V96*Calculateur!X96*VLOOKUP('Données projet'!$B$9,Paramètres!$A$1:$I$89,3,0)*0.475*44/12</f>
        <v>1.6188234143119098</v>
      </c>
      <c r="AB96" s="23">
        <f>EXP(-LN(2)/2)*AB95+(1-EXP(-LN(2)/2))/(LN(2)/2)*V96*Y96*VLOOKUP('Données projet'!$B$9,Paramètres!$A$1:$I$89,3,0)*0.475*44/12</f>
        <v>4.7028576832420679E-9</v>
      </c>
      <c r="AC96" s="24">
        <f t="shared" si="57"/>
        <v>3.1410807673524079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-1.6671037883497774E-13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283.28499080043167</v>
      </c>
      <c r="AO96" s="62">
        <f t="shared" si="90"/>
        <v>278.56966286485783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0.56049540566744205</v>
      </c>
      <c r="AV96" s="23">
        <f>EXP(-LN(2)/25)*AV95+(1-EXP(-LN(2)/25))/(LN(2)/25)*Calculateur!AQ96*Calculateur!AS96*VLOOKUP('Données projet'!$B$10,Paramètres!$A$1:$I$89,3,0)*0.475*44/12</f>
        <v>1.5191776120551417</v>
      </c>
      <c r="AW96" s="23">
        <f>EXP(-LN(2)/2)*AW95+(1-EXP(-LN(2)/2))/(LN(2)/2)*AQ96*AT96*VLOOKUP('Données projet'!$B$10,Paramètres!$A$1:$I$89,3,0)*0.475*44/12</f>
        <v>4.2705372288676517E-9</v>
      </c>
      <c r="AX96" s="23">
        <f t="shared" si="60"/>
        <v>2.0796730219931212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-1.8089849618263545E-13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303.91914071195419</v>
      </c>
      <c r="BJ96" s="62">
        <f t="shared" si="92"/>
        <v>298.30050362688769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0.45331160174228086</v>
      </c>
      <c r="BR96" s="23">
        <f>EXP(-LN(2)/2)*BR95+(1-EXP(-LN(2)/2))/(LN(2)/2)*BL96*BO96*VLOOKUP('Données projet'!$B$11,Paramètres!$A$1:$I$89,3,0)*0.475*44/12</f>
        <v>8.3811073484253618E-9</v>
      </c>
      <c r="BS96" s="24">
        <f t="shared" si="63"/>
        <v>0.45331161012338822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289.53599999999994</v>
      </c>
      <c r="CA96" s="14">
        <f t="shared" si="93"/>
        <v>68.97829509904436</v>
      </c>
      <c r="CB96" s="22">
        <f t="shared" si="64"/>
        <v>624.41239729750214</v>
      </c>
      <c r="CC96" s="62">
        <f t="shared" si="65"/>
        <v>913.96464542192098</v>
      </c>
      <c r="CD96" s="62">
        <f ca="1">AVERAGE(OFFSET($CC$3,0,0,'Données projet'!$E$12+1,1))-AVERAGE(OFFSET($H$3,0,0,'Données projet'!$E$12+1,1))</f>
        <v>446.15737983598251</v>
      </c>
      <c r="CE96" s="62">
        <f t="shared" si="94"/>
        <v>282.2299715529382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4.4337866711430253E-14</v>
      </c>
      <c r="CV96" s="14">
        <f t="shared" si="95"/>
        <v>7.3222115536967035E-13</v>
      </c>
      <c r="CW96" s="22">
        <f t="shared" si="67"/>
        <v>1.3525069634579169E-12</v>
      </c>
      <c r="CX96" s="62">
        <f t="shared" si="68"/>
        <v>289.55224812442026</v>
      </c>
      <c r="CY96" s="62">
        <f ca="1">AVERAGE(OFFSET($CX$3,0,0,'Données projet'!$E$13+1,1))-AVERAGE(OFFSET($H$3,0,0,'Données projet'!$E$13+1,1))</f>
        <v>293.03320024876842</v>
      </c>
      <c r="CZ96" s="62">
        <f t="shared" si="96"/>
        <v>287.49994652707915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1.3499606191194483E-9</v>
      </c>
      <c r="DI96" s="24">
        <f t="shared" si="69"/>
        <v>1.3499606191194483E-9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-1.7053025658242404E-13</v>
      </c>
      <c r="DP96" s="18">
        <f>DO96*VLOOKUP('Données projet'!$B$14,Paramètres!$A$1:$I$89,3,0)*VLOOKUP('Données projet'!$B$14,Paramètres!$A$1:$I$89,5,0)</f>
        <v>-9.3109520094003535E-14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253.0312006976271</v>
      </c>
      <c r="DU96" s="62">
        <f t="shared" si="98"/>
        <v>365.93937083714866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1.91823817578645</v>
      </c>
      <c r="EB96" s="23">
        <f>EXP(-LN(2)/25)*EB95+(1-EXP(-LN(2)/25))/(LN(2)/25)*Calculateur!DW96*Calculateur!DY96*VLOOKUP('Données projet'!$B$14,Paramètres!$A$1:$I$89,3,0)*0.475*44/12</f>
        <v>1.6742376863120236</v>
      </c>
      <c r="EC96" s="23">
        <f>EXP(-LN(2)/2)*EC95+(1-EXP(-LN(2)/2))/(LN(2)/2)*DW96*DZ96*VLOOKUP('Données projet'!$B$14,Paramètres!$A$1:$I$89,3,0)*0.475*44/12</f>
        <v>5.7577727248985514E-9</v>
      </c>
      <c r="ED96" s="24">
        <f t="shared" si="72"/>
        <v>3.5924758678562467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1.05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3.85</v>
      </c>
      <c r="H97" s="70">
        <f t="shared" si="56"/>
        <v>241.26666666666665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289.61784149955531</v>
      </c>
      <c r="S97" s="62">
        <f ca="1">AVERAGE(OFFSET($R$3,0,0,'Données projet'!$E$9+1,1))-AVERAGE(OFFSET($H$3,0,0,'Données projet'!$E$9+1,1))</f>
        <v>393.3487617557011</v>
      </c>
      <c r="T97" s="62">
        <f t="shared" si="88"/>
        <v>360.09400083977084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1.4924068102220414</v>
      </c>
      <c r="AA97" s="23">
        <f>EXP(-LN(2)/25)*AA96+(1-EXP(-LN(2)/25))/(LN(2)/25)*Calculateur!V97*Calculateur!X97*VLOOKUP('Données projet'!$B$9,Paramètres!$A$1:$I$89,3,0)*0.475*44/12</f>
        <v>1.5745566029173272</v>
      </c>
      <c r="AB97" s="23">
        <f>EXP(-LN(2)/2)*AB96+(1-EXP(-LN(2)/2))/(LN(2)/2)*V97*Y97*VLOOKUP('Données projet'!$B$9,Paramètres!$A$1:$I$89,3,0)*0.475*44/12</f>
        <v>3.3254225587757228E-9</v>
      </c>
      <c r="AC97" s="24">
        <f t="shared" si="57"/>
        <v>3.066963416464791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-1.6671037883497774E-13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283.28499080043167</v>
      </c>
      <c r="AO97" s="62">
        <f t="shared" si="90"/>
        <v>278.56966286485783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0.54950443263074422</v>
      </c>
      <c r="AV97" s="23">
        <f>EXP(-LN(2)/25)*AV96+(1-EXP(-LN(2)/25))/(LN(2)/25)*Calculateur!AQ97*Calculateur!AS97*VLOOKUP('Données projet'!$B$10,Paramètres!$A$1:$I$89,3,0)*0.475*44/12</f>
        <v>1.4776356203634153</v>
      </c>
      <c r="AW97" s="23">
        <f>EXP(-LN(2)/2)*AW96+(1-EXP(-LN(2)/2))/(LN(2)/2)*AQ97*AT97*VLOOKUP('Données projet'!$B$10,Paramètres!$A$1:$I$89,3,0)*0.475*44/12</f>
        <v>3.0197258338419236E-9</v>
      </c>
      <c r="AX97" s="23">
        <f t="shared" si="60"/>
        <v>2.0271400560138852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-1.8089849618263545E-13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303.91914071195419</v>
      </c>
      <c r="BJ97" s="62">
        <f t="shared" si="92"/>
        <v>298.30050362688769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0.44091577215401712</v>
      </c>
      <c r="BR97" s="23">
        <f>EXP(-LN(2)/2)*BR96+(1-EXP(-LN(2)/2))/(LN(2)/2)*BL97*BO97*VLOOKUP('Données projet'!$B$11,Paramètres!$A$1:$I$89,3,0)*0.475*44/12</f>
        <v>5.9263378399239779E-9</v>
      </c>
      <c r="BS97" s="24">
        <f t="shared" si="63"/>
        <v>0.44091577808035498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294.96479999999997</v>
      </c>
      <c r="CA97" s="14">
        <f t="shared" si="93"/>
        <v>70.119854541045001</v>
      </c>
      <c r="CB97" s="22">
        <f t="shared" si="64"/>
        <v>635.85577332565333</v>
      </c>
      <c r="CC97" s="62">
        <f t="shared" si="65"/>
        <v>925.47361482520682</v>
      </c>
      <c r="CD97" s="62">
        <f ca="1">AVERAGE(OFFSET($CC$3,0,0,'Données projet'!$E$12+1,1))-AVERAGE(OFFSET($H$3,0,0,'Données projet'!$E$12+1,1))</f>
        <v>446.15737983598251</v>
      </c>
      <c r="CE97" s="62">
        <f t="shared" si="94"/>
        <v>282.2299715529382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4.4337866711430253E-14</v>
      </c>
      <c r="CV97" s="14">
        <f t="shared" si="95"/>
        <v>7.3222115536967035E-13</v>
      </c>
      <c r="CW97" s="22">
        <f t="shared" si="67"/>
        <v>1.3525069634579169E-12</v>
      </c>
      <c r="CX97" s="62">
        <f t="shared" si="68"/>
        <v>289.6178414995548</v>
      </c>
      <c r="CY97" s="62">
        <f ca="1">AVERAGE(OFFSET($CX$3,0,0,'Données projet'!$E$13+1,1))-AVERAGE(OFFSET($H$3,0,0,'Données projet'!$E$13+1,1))</f>
        <v>293.03320024876842</v>
      </c>
      <c r="CZ97" s="62">
        <f t="shared" si="96"/>
        <v>287.49994652707915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9.5456630811415191E-10</v>
      </c>
      <c r="DI97" s="24">
        <f t="shared" si="69"/>
        <v>9.5456630811415191E-10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-1.7053025658242404E-13</v>
      </c>
      <c r="DP97" s="18">
        <f>DO97*VLOOKUP('Données projet'!$B$14,Paramètres!$A$1:$I$89,3,0)*VLOOKUP('Données projet'!$B$14,Paramètres!$A$1:$I$89,5,0)</f>
        <v>-9.3109520094003535E-14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253.0312006976271</v>
      </c>
      <c r="DU97" s="62">
        <f t="shared" si="98"/>
        <v>365.93937083714866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1.8806226951690361</v>
      </c>
      <c r="EB97" s="23">
        <f>EXP(-LN(2)/25)*EB96+(1-EXP(-LN(2)/25))/(LN(2)/25)*Calculateur!DW97*Calculateur!DY97*VLOOKUP('Données projet'!$B$14,Paramètres!$A$1:$I$89,3,0)*0.475*44/12</f>
        <v>1.628455568735488</v>
      </c>
      <c r="EC97" s="23">
        <f>EXP(-LN(2)/2)*EC96+(1-EXP(-LN(2)/2))/(LN(2)/2)*DW97*DZ97*VLOOKUP('Données projet'!$B$14,Paramètres!$A$1:$I$89,3,0)*0.475*44/12</f>
        <v>4.0713601383067113E-9</v>
      </c>
      <c r="ED97" s="24">
        <f t="shared" si="72"/>
        <v>3.5090782679758843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1.05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3.85</v>
      </c>
      <c r="H98" s="70">
        <f t="shared" si="56"/>
        <v>241.26666666666665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289.68229697627606</v>
      </c>
      <c r="S98" s="62">
        <f ca="1">AVERAGE(OFFSET($R$3,0,0,'Données projet'!$E$9+1,1))-AVERAGE(OFFSET($H$3,0,0,'Données projet'!$E$9+1,1))</f>
        <v>393.3487617557011</v>
      </c>
      <c r="T98" s="62">
        <f t="shared" si="88"/>
        <v>360.09400083977084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1.4631416229518588</v>
      </c>
      <c r="AA98" s="23">
        <f>EXP(-LN(2)/25)*AA97+(1-EXP(-LN(2)/25))/(LN(2)/25)*Calculateur!V98*Calculateur!X98*VLOOKUP('Données projet'!$B$9,Paramètres!$A$1:$I$89,3,0)*0.475*44/12</f>
        <v>1.5315002698082198</v>
      </c>
      <c r="AB98" s="23">
        <f>EXP(-LN(2)/2)*AB97+(1-EXP(-LN(2)/2))/(LN(2)/2)*V98*Y98*VLOOKUP('Données projet'!$B$9,Paramètres!$A$1:$I$89,3,0)*0.475*44/12</f>
        <v>2.3514288416210339E-9</v>
      </c>
      <c r="AC98" s="24">
        <f t="shared" si="57"/>
        <v>2.9946418951115077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-1.6671037883497774E-13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283.28499080043167</v>
      </c>
      <c r="AO98" s="62">
        <f t="shared" si="90"/>
        <v>278.56966286485783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0.53872898587146445</v>
      </c>
      <c r="AV98" s="23">
        <f>EXP(-LN(2)/25)*AV97+(1-EXP(-LN(2)/25))/(LN(2)/25)*Calculateur!AQ98*Calculateur!AS98*VLOOKUP('Données projet'!$B$10,Paramètres!$A$1:$I$89,3,0)*0.475*44/12</f>
        <v>1.4372295966190975</v>
      </c>
      <c r="AW98" s="23">
        <f>EXP(-LN(2)/2)*AW97+(1-EXP(-LN(2)/2))/(LN(2)/2)*AQ98*AT98*VLOOKUP('Données projet'!$B$10,Paramètres!$A$1:$I$89,3,0)*0.475*44/12</f>
        <v>2.1352686144338258E-9</v>
      </c>
      <c r="AX98" s="23">
        <f t="shared" si="60"/>
        <v>1.9759585846258305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-1.8089849618263545E-13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303.91914071195419</v>
      </c>
      <c r="BJ98" s="62">
        <f t="shared" si="92"/>
        <v>298.30050362688769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0.4288589071777128</v>
      </c>
      <c r="BR98" s="23">
        <f>EXP(-LN(2)/2)*BR97+(1-EXP(-LN(2)/2))/(LN(2)/2)*BL98*BO98*VLOOKUP('Données projet'!$B$11,Paramètres!$A$1:$I$89,3,0)*0.475*44/12</f>
        <v>4.1905536742126809E-9</v>
      </c>
      <c r="BS98" s="24">
        <f t="shared" si="63"/>
        <v>0.42885891136826648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300.39359999999994</v>
      </c>
      <c r="CA98" s="14">
        <f t="shared" si="93"/>
        <v>71.258970856492667</v>
      </c>
      <c r="CB98" s="22">
        <f t="shared" si="64"/>
        <v>647.29489424172459</v>
      </c>
      <c r="CC98" s="62">
        <f t="shared" si="65"/>
        <v>936.97719121799878</v>
      </c>
      <c r="CD98" s="62">
        <f ca="1">AVERAGE(OFFSET($CC$3,0,0,'Données projet'!$E$12+1,1))-AVERAGE(OFFSET($H$3,0,0,'Données projet'!$E$12+1,1))</f>
        <v>446.15737983598251</v>
      </c>
      <c r="CE98" s="62">
        <f t="shared" si="94"/>
        <v>282.2299715529382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4.4337866711430253E-14</v>
      </c>
      <c r="CV98" s="14">
        <f t="shared" si="95"/>
        <v>7.3222115536967035E-13</v>
      </c>
      <c r="CW98" s="22">
        <f t="shared" si="67"/>
        <v>1.3525069634579169E-12</v>
      </c>
      <c r="CX98" s="62">
        <f t="shared" si="68"/>
        <v>289.68229697627555</v>
      </c>
      <c r="CY98" s="62">
        <f ca="1">AVERAGE(OFFSET($CX$3,0,0,'Données projet'!$E$13+1,1))-AVERAGE(OFFSET($H$3,0,0,'Données projet'!$E$13+1,1))</f>
        <v>293.03320024876842</v>
      </c>
      <c r="CZ98" s="62">
        <f t="shared" si="96"/>
        <v>287.49994652707915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6.7498030955972414E-10</v>
      </c>
      <c r="DI98" s="24">
        <f t="shared" si="69"/>
        <v>6.7498030955972414E-10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-1.7053025658242404E-13</v>
      </c>
      <c r="DP98" s="18">
        <f>DO98*VLOOKUP('Données projet'!$B$14,Paramètres!$A$1:$I$89,3,0)*VLOOKUP('Données projet'!$B$14,Paramètres!$A$1:$I$89,5,0)</f>
        <v>-9.3109520094003535E-14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253.0312006976271</v>
      </c>
      <c r="DU98" s="62">
        <f t="shared" si="98"/>
        <v>365.93937083714866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1.843744831183352</v>
      </c>
      <c r="EB98" s="23">
        <f>EXP(-LN(2)/25)*EB97+(1-EXP(-LN(2)/25))/(LN(2)/25)*Calculateur!DW98*Calculateur!DY98*VLOOKUP('Données projet'!$B$14,Paramètres!$A$1:$I$89,3,0)*0.475*44/12</f>
        <v>1.5839253655716596</v>
      </c>
      <c r="EC98" s="23">
        <f>EXP(-LN(2)/2)*EC97+(1-EXP(-LN(2)/2))/(LN(2)/2)*DW98*DZ98*VLOOKUP('Données projet'!$B$14,Paramètres!$A$1:$I$89,3,0)*0.475*44/12</f>
        <v>2.8788863624492757E-9</v>
      </c>
      <c r="ED98" s="24">
        <f t="shared" si="72"/>
        <v>3.4276701996338979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1.05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3.85</v>
      </c>
      <c r="H99" s="70">
        <f t="shared" si="56"/>
        <v>241.26666666666665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289.74563429457658</v>
      </c>
      <c r="S99" s="62">
        <f ca="1">AVERAGE(OFFSET($R$3,0,0,'Données projet'!$E$9+1,1))-AVERAGE(OFFSET($H$3,0,0,'Données projet'!$E$9+1,1))</f>
        <v>393.3487617557011</v>
      </c>
      <c r="T99" s="62">
        <f t="shared" si="88"/>
        <v>360.09400083977084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1.434450308154043</v>
      </c>
      <c r="AA99" s="23">
        <f>EXP(-LN(2)/25)*AA98+(1-EXP(-LN(2)/25))/(LN(2)/25)*Calculateur!V99*Calculateur!X99*VLOOKUP('Données projet'!$B$9,Paramètres!$A$1:$I$89,3,0)*0.475*44/12</f>
        <v>1.4896213143922152</v>
      </c>
      <c r="AB99" s="23">
        <f>EXP(-LN(2)/2)*AB98+(1-EXP(-LN(2)/2))/(LN(2)/2)*V99*Y99*VLOOKUP('Données projet'!$B$9,Paramètres!$A$1:$I$89,3,0)*0.475*44/12</f>
        <v>1.6627112793878614E-9</v>
      </c>
      <c r="AC99" s="24">
        <f t="shared" si="57"/>
        <v>2.9240716242089695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-1.6671037883497774E-13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283.28499080043167</v>
      </c>
      <c r="AO99" s="62">
        <f t="shared" si="90"/>
        <v>278.56966286485783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0.52816483905076062</v>
      </c>
      <c r="AV99" s="23">
        <f>EXP(-LN(2)/25)*AV98+(1-EXP(-LN(2)/25))/(LN(2)/25)*Calculateur!AQ99*Calculateur!AS99*VLOOKUP('Données projet'!$B$10,Paramètres!$A$1:$I$89,3,0)*0.475*44/12</f>
        <v>1.3979284777189287</v>
      </c>
      <c r="AW99" s="23">
        <f>EXP(-LN(2)/2)*AW98+(1-EXP(-LN(2)/2))/(LN(2)/2)*AQ99*AT99*VLOOKUP('Données projet'!$B$10,Paramètres!$A$1:$I$89,3,0)*0.475*44/12</f>
        <v>1.5098629169209618E-9</v>
      </c>
      <c r="AX99" s="23">
        <f t="shared" si="60"/>
        <v>1.9260933182795523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-1.8089849618263545E-13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303.91914071195419</v>
      </c>
      <c r="BJ99" s="62">
        <f t="shared" si="92"/>
        <v>298.30050362688769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0.41713173780822849</v>
      </c>
      <c r="BR99" s="23">
        <f>EXP(-LN(2)/2)*BR98+(1-EXP(-LN(2)/2))/(LN(2)/2)*BL99*BO99*VLOOKUP('Données projet'!$B$11,Paramètres!$A$1:$I$89,3,0)*0.475*44/12</f>
        <v>2.9631689199619889E-9</v>
      </c>
      <c r="BS99" s="24">
        <f t="shared" si="63"/>
        <v>0.41713174077139742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280.30703999999997</v>
      </c>
      <c r="CA99" s="14">
        <f t="shared" si="93"/>
        <v>67.03189112007388</v>
      </c>
      <c r="CB99" s="22">
        <f t="shared" si="64"/>
        <v>604.94863836746197</v>
      </c>
      <c r="CC99" s="62">
        <f t="shared" si="65"/>
        <v>894.69427266203661</v>
      </c>
      <c r="CD99" s="62">
        <f ca="1">AVERAGE(OFFSET($CC$3,0,0,'Données projet'!$E$12+1,1))-AVERAGE(OFFSET($H$3,0,0,'Données projet'!$E$12+1,1))</f>
        <v>446.15737983598251</v>
      </c>
      <c r="CE99" s="62">
        <f t="shared" si="94"/>
        <v>282.2299715529382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4.4337866711430253E-14</v>
      </c>
      <c r="CV99" s="14">
        <f t="shared" si="95"/>
        <v>7.3222115536967035E-13</v>
      </c>
      <c r="CW99" s="22">
        <f t="shared" si="67"/>
        <v>1.3525069634579169E-12</v>
      </c>
      <c r="CX99" s="62">
        <f t="shared" si="68"/>
        <v>289.74563429457606</v>
      </c>
      <c r="CY99" s="62">
        <f ca="1">AVERAGE(OFFSET($CX$3,0,0,'Données projet'!$E$13+1,1))-AVERAGE(OFFSET($H$3,0,0,'Données projet'!$E$13+1,1))</f>
        <v>293.03320024876842</v>
      </c>
      <c r="CZ99" s="62">
        <f t="shared" si="96"/>
        <v>287.49994652707915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4.7728315405707596E-10</v>
      </c>
      <c r="DI99" s="24">
        <f t="shared" si="69"/>
        <v>4.7728315405707596E-10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-1.7053025658242404E-13</v>
      </c>
      <c r="DP99" s="18">
        <f>DO99*VLOOKUP('Données projet'!$B$14,Paramètres!$A$1:$I$89,3,0)*VLOOKUP('Données projet'!$B$14,Paramètres!$A$1:$I$89,5,0)</f>
        <v>-9.3109520094003535E-14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253.0312006976271</v>
      </c>
      <c r="DU99" s="62">
        <f t="shared" si="98"/>
        <v>365.93937083714866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1.8075901196171511</v>
      </c>
      <c r="EB99" s="23">
        <f>EXP(-LN(2)/25)*EB98+(1-EXP(-LN(2)/25))/(LN(2)/25)*Calculateur!DW99*Calculateur!DY99*VLOOKUP('Données projet'!$B$14,Paramètres!$A$1:$I$89,3,0)*0.475*44/12</f>
        <v>1.5406128431550878</v>
      </c>
      <c r="EC99" s="23">
        <f>EXP(-LN(2)/2)*EC98+(1-EXP(-LN(2)/2))/(LN(2)/2)*DW99*DZ99*VLOOKUP('Données projet'!$B$14,Paramètres!$A$1:$I$89,3,0)*0.475*44/12</f>
        <v>2.0356800691533557E-9</v>
      </c>
      <c r="ED99" s="24">
        <f t="shared" si="72"/>
        <v>3.348202964807919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1.05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3.85</v>
      </c>
      <c r="H100" s="70">
        <f t="shared" si="56"/>
        <v>241.26666666666665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289.80787285200563</v>
      </c>
      <c r="S100" s="62">
        <f ca="1">AVERAGE(OFFSET($R$3,0,0,'Données projet'!$E$9+1,1))-AVERAGE(OFFSET($H$3,0,0,'Données projet'!$E$9+1,1))</f>
        <v>393.3487617557011</v>
      </c>
      <c r="T100" s="62">
        <f t="shared" si="88"/>
        <v>360.09400083977084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1.4063216125394382</v>
      </c>
      <c r="AA100" s="23">
        <f>EXP(-LN(2)/25)*AA99+(1-EXP(-LN(2)/25))/(LN(2)/25)*Calculateur!V100*Calculateur!X100*VLOOKUP('Données projet'!$B$9,Paramètres!$A$1:$I$89,3,0)*0.475*44/12</f>
        <v>1.4488875412143798</v>
      </c>
      <c r="AB100" s="23">
        <f>EXP(-LN(2)/2)*AB99+(1-EXP(-LN(2)/2))/(LN(2)/2)*V100*Y100*VLOOKUP('Données projet'!$B$9,Paramètres!$A$1:$I$89,3,0)*0.475*44/12</f>
        <v>1.175714420810517E-9</v>
      </c>
      <c r="AC100" s="24">
        <f t="shared" si="57"/>
        <v>2.8552091549295326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-1.6671037883497774E-13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283.28499080043167</v>
      </c>
      <c r="AO100" s="62">
        <f t="shared" si="90"/>
        <v>278.56966286485783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0.5178078487057175</v>
      </c>
      <c r="AV100" s="23">
        <f>EXP(-LN(2)/25)*AV99+(1-EXP(-LN(2)/25))/(LN(2)/25)*Calculateur!AQ100*Calculateur!AS100*VLOOKUP('Données projet'!$B$10,Paramètres!$A$1:$I$89,3,0)*0.475*44/12</f>
        <v>1.3597020499818409</v>
      </c>
      <c r="AW100" s="23">
        <f>EXP(-LN(2)/2)*AW99+(1-EXP(-LN(2)/2))/(LN(2)/2)*AQ100*AT100*VLOOKUP('Données projet'!$B$10,Paramètres!$A$1:$I$89,3,0)*0.475*44/12</f>
        <v>1.0676343072169129E-9</v>
      </c>
      <c r="AX100" s="23">
        <f t="shared" si="60"/>
        <v>1.8775098997551927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-1.8089849618263545E-13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303.91914071195419</v>
      </c>
      <c r="BJ100" s="62">
        <f t="shared" si="92"/>
        <v>298.30050362688769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0.40572524850185776</v>
      </c>
      <c r="BR100" s="23">
        <f>EXP(-LN(2)/2)*BR99+(1-EXP(-LN(2)/2))/(LN(2)/2)*BL100*BO100*VLOOKUP('Données projet'!$B$11,Paramètres!$A$1:$I$89,3,0)*0.475*44/12</f>
        <v>2.0952768371063405E-9</v>
      </c>
      <c r="BS100" s="24">
        <f t="shared" si="63"/>
        <v>0.4057252505971346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285.55487999999997</v>
      </c>
      <c r="CA100" s="14">
        <f t="shared" si="93"/>
        <v>68.139569194998018</v>
      </c>
      <c r="CB100" s="22">
        <f t="shared" si="64"/>
        <v>616.01783234795482</v>
      </c>
      <c r="CC100" s="62">
        <f t="shared" si="65"/>
        <v>905.82570519995852</v>
      </c>
      <c r="CD100" s="62">
        <f ca="1">AVERAGE(OFFSET($CC$3,0,0,'Données projet'!$E$12+1,1))-AVERAGE(OFFSET($H$3,0,0,'Données projet'!$E$12+1,1))</f>
        <v>446.15737983598251</v>
      </c>
      <c r="CE100" s="62">
        <f t="shared" si="94"/>
        <v>282.2299715529382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4.4337866711430253E-14</v>
      </c>
      <c r="CV100" s="14">
        <f t="shared" si="95"/>
        <v>7.3222115536967035E-13</v>
      </c>
      <c r="CW100" s="22">
        <f t="shared" si="67"/>
        <v>1.3525069634579169E-12</v>
      </c>
      <c r="CX100" s="62">
        <f t="shared" si="68"/>
        <v>289.80787285200512</v>
      </c>
      <c r="CY100" s="62">
        <f ca="1">AVERAGE(OFFSET($CX$3,0,0,'Données projet'!$E$13+1,1))-AVERAGE(OFFSET($H$3,0,0,'Données projet'!$E$13+1,1))</f>
        <v>293.03320024876842</v>
      </c>
      <c r="CZ100" s="62">
        <f t="shared" si="96"/>
        <v>287.49994652707915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3.3749015477986207E-10</v>
      </c>
      <c r="DI100" s="24">
        <f t="shared" si="69"/>
        <v>3.3749015477986207E-10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-1.7053025658242404E-13</v>
      </c>
      <c r="DP100" s="18">
        <f>DO100*VLOOKUP('Données projet'!$B$14,Paramètres!$A$1:$I$89,3,0)*VLOOKUP('Données projet'!$B$14,Paramètres!$A$1:$I$89,5,0)</f>
        <v>-9.3109520094003535E-14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253.0312006976271</v>
      </c>
      <c r="DU100" s="62">
        <f t="shared" si="98"/>
        <v>365.93937083714866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1.7721443798925669</v>
      </c>
      <c r="EB100" s="23">
        <f>EXP(-LN(2)/25)*EB99+(1-EXP(-LN(2)/25))/(LN(2)/25)*Calculateur!DW100*Calculateur!DY100*VLOOKUP('Données projet'!$B$14,Paramètres!$A$1:$I$89,3,0)*0.475*44/12</f>
        <v>1.4984847039417037</v>
      </c>
      <c r="EC100" s="23">
        <f>EXP(-LN(2)/2)*EC99+(1-EXP(-LN(2)/2))/(LN(2)/2)*DW100*DZ100*VLOOKUP('Données projet'!$B$14,Paramètres!$A$1:$I$89,3,0)*0.475*44/12</f>
        <v>1.4394431812246378E-9</v>
      </c>
      <c r="ED100" s="24">
        <f t="shared" si="72"/>
        <v>3.2706290852737139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1.05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3.85</v>
      </c>
      <c r="H101" s="70">
        <f t="shared" si="56"/>
        <v>241.26666666666665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289.86903170960784</v>
      </c>
      <c r="S101" s="62">
        <f ca="1">AVERAGE(OFFSET($R$3,0,0,'Données projet'!$E$9+1,1))-AVERAGE(OFFSET($H$3,0,0,'Données projet'!$E$9+1,1))</f>
        <v>393.3487617557011</v>
      </c>
      <c r="T101" s="62">
        <f t="shared" si="88"/>
        <v>360.09400083977084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1.3787445034890256</v>
      </c>
      <c r="AA101" s="23">
        <f>EXP(-LN(2)/25)*AA100+(1-EXP(-LN(2)/25))/(LN(2)/25)*Calculateur!V101*Calculateur!X101*VLOOKUP('Données projet'!$B$9,Paramètres!$A$1:$I$89,3,0)*0.475*44/12</f>
        <v>1.4092676352061884</v>
      </c>
      <c r="AB101" s="23">
        <f>EXP(-LN(2)/2)*AB100+(1-EXP(-LN(2)/2))/(LN(2)/2)*V101*Y101*VLOOKUP('Données projet'!$B$9,Paramètres!$A$1:$I$89,3,0)*0.475*44/12</f>
        <v>8.3135563969393069E-10</v>
      </c>
      <c r="AC101" s="24">
        <f t="shared" si="57"/>
        <v>2.7880121395265691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-1.6671037883497774E-13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283.28499080043167</v>
      </c>
      <c r="AO101" s="62">
        <f t="shared" si="90"/>
        <v>278.56966286485783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0.50765395262420032</v>
      </c>
      <c r="AV101" s="23">
        <f>EXP(-LN(2)/25)*AV100+(1-EXP(-LN(2)/25))/(LN(2)/25)*Calculateur!AQ101*Calculateur!AS101*VLOOKUP('Données projet'!$B$10,Paramètres!$A$1:$I$89,3,0)*0.475*44/12</f>
        <v>1.3225209259214643</v>
      </c>
      <c r="AW101" s="23">
        <f>EXP(-LN(2)/2)*AW100+(1-EXP(-LN(2)/2))/(LN(2)/2)*AQ101*AT101*VLOOKUP('Données projet'!$B$10,Paramètres!$A$1:$I$89,3,0)*0.475*44/12</f>
        <v>7.549314584604809E-10</v>
      </c>
      <c r="AX101" s="23">
        <f t="shared" si="60"/>
        <v>1.8301748793005961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-1.8089849618263545E-13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303.91914071195419</v>
      </c>
      <c r="BJ101" s="62">
        <f t="shared" si="92"/>
        <v>298.30050362688769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0.39463067024541093</v>
      </c>
      <c r="BR101" s="23">
        <f>EXP(-LN(2)/2)*BR100+(1-EXP(-LN(2)/2))/(LN(2)/2)*BL101*BO101*VLOOKUP('Données projet'!$B$11,Paramètres!$A$1:$I$89,3,0)*0.475*44/12</f>
        <v>1.4815844599809945E-9</v>
      </c>
      <c r="BS101" s="24">
        <f t="shared" si="63"/>
        <v>0.3946306717269954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290.80271999999997</v>
      </c>
      <c r="CA101" s="14">
        <f t="shared" si="93"/>
        <v>69.244880157128961</v>
      </c>
      <c r="CB101" s="22">
        <f t="shared" si="64"/>
        <v>627.08290360699959</v>
      </c>
      <c r="CC101" s="62">
        <f t="shared" si="65"/>
        <v>916.95193531660561</v>
      </c>
      <c r="CD101" s="62">
        <f ca="1">AVERAGE(OFFSET($CC$3,0,0,'Données projet'!$E$12+1,1))-AVERAGE(OFFSET($H$3,0,0,'Données projet'!$E$12+1,1))</f>
        <v>446.15737983598251</v>
      </c>
      <c r="CE101" s="62">
        <f t="shared" si="94"/>
        <v>282.2299715529382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4.4337866711430253E-14</v>
      </c>
      <c r="CV101" s="14">
        <f t="shared" si="95"/>
        <v>7.3222115536967035E-13</v>
      </c>
      <c r="CW101" s="22">
        <f t="shared" si="67"/>
        <v>1.3525069634579169E-12</v>
      </c>
      <c r="CX101" s="62">
        <f t="shared" si="68"/>
        <v>289.86903170960733</v>
      </c>
      <c r="CY101" s="62">
        <f ca="1">AVERAGE(OFFSET($CX$3,0,0,'Données projet'!$E$13+1,1))-AVERAGE(OFFSET($H$3,0,0,'Données projet'!$E$13+1,1))</f>
        <v>293.03320024876842</v>
      </c>
      <c r="CZ101" s="62">
        <f t="shared" si="96"/>
        <v>287.49994652707915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2.3864157702853798E-10</v>
      </c>
      <c r="DI101" s="24">
        <f t="shared" si="69"/>
        <v>2.3864157702853798E-10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-1.7053025658242404E-13</v>
      </c>
      <c r="DP101" s="18">
        <f>DO101*VLOOKUP('Données projet'!$B$14,Paramètres!$A$1:$I$89,3,0)*VLOOKUP('Données projet'!$B$14,Paramètres!$A$1:$I$89,5,0)</f>
        <v>-9.3109520094003535E-14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253.0312006976271</v>
      </c>
      <c r="DU101" s="62">
        <f t="shared" si="98"/>
        <v>365.93937083714866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1.7373937095042153</v>
      </c>
      <c r="EB101" s="23">
        <f>EXP(-LN(2)/25)*EB100+(1-EXP(-LN(2)/25))/(LN(2)/25)*Calculateur!DW101*Calculateur!DY101*VLOOKUP('Données projet'!$B$14,Paramètres!$A$1:$I$89,3,0)*0.475*44/12</f>
        <v>1.457508560910532</v>
      </c>
      <c r="EC101" s="23">
        <f>EXP(-LN(2)/2)*EC100+(1-EXP(-LN(2)/2))/(LN(2)/2)*DW101*DZ101*VLOOKUP('Données projet'!$B$14,Paramètres!$A$1:$I$89,3,0)*0.475*44/12</f>
        <v>1.0178400345766778E-9</v>
      </c>
      <c r="ED101" s="24">
        <f t="shared" si="72"/>
        <v>3.1949022714325874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1.05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3.85</v>
      </c>
      <c r="H102" s="70">
        <f t="shared" si="56"/>
        <v>241.26666666666665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289.92912959776129</v>
      </c>
      <c r="S102" s="62">
        <f ca="1">AVERAGE(OFFSET($R$3,0,0,'Données projet'!$E$9+1,1))-AVERAGE(OFFSET($H$3,0,0,'Données projet'!$E$9+1,1))</f>
        <v>393.3487617557011</v>
      </c>
      <c r="T102" s="62">
        <f t="shared" si="88"/>
        <v>360.09400083977084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1.351708164726716</v>
      </c>
      <c r="AA102" s="23">
        <f>EXP(-LN(2)/25)*AA101+(1-EXP(-LN(2)/25))/(LN(2)/25)*Calculateur!V102*Calculateur!X102*VLOOKUP('Données projet'!$B$9,Paramètres!$A$1:$I$89,3,0)*0.475*44/12</f>
        <v>1.3707311376113112</v>
      </c>
      <c r="AB102" s="23">
        <f>EXP(-LN(2)/2)*AB101+(1-EXP(-LN(2)/2))/(LN(2)/2)*V102*Y102*VLOOKUP('Données projet'!$B$9,Paramètres!$A$1:$I$89,3,0)*0.475*44/12</f>
        <v>5.8785721040525848E-10</v>
      </c>
      <c r="AC102" s="24">
        <f t="shared" si="57"/>
        <v>2.7224393029258844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-1.6671037883497774E-13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283.28499080043167</v>
      </c>
      <c r="AO102" s="62">
        <f t="shared" si="90"/>
        <v>278.56966286485783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0.49769916825157662</v>
      </c>
      <c r="AV102" s="23">
        <f>EXP(-LN(2)/25)*AV101+(1-EXP(-LN(2)/25))/(LN(2)/25)*Calculateur!AQ102*Calculateur!AS102*VLOOKUP('Données projet'!$B$10,Paramètres!$A$1:$I$89,3,0)*0.475*44/12</f>
        <v>1.2863565216537891</v>
      </c>
      <c r="AW102" s="23">
        <f>EXP(-LN(2)/2)*AW101+(1-EXP(-LN(2)/2))/(LN(2)/2)*AQ102*AT102*VLOOKUP('Données projet'!$B$10,Paramètres!$A$1:$I$89,3,0)*0.475*44/12</f>
        <v>5.3381715360845646E-10</v>
      </c>
      <c r="AX102" s="23">
        <f t="shared" si="60"/>
        <v>1.7840556904391829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-1.8089849618263545E-13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303.91914071195419</v>
      </c>
      <c r="BJ102" s="62">
        <f t="shared" si="92"/>
        <v>298.30050362688769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0.38383947381482514</v>
      </c>
      <c r="BR102" s="23">
        <f>EXP(-LN(2)/2)*BR101+(1-EXP(-LN(2)/2))/(LN(2)/2)*BL102*BO102*VLOOKUP('Données projet'!$B$11,Paramètres!$A$1:$I$89,3,0)*0.475*44/12</f>
        <v>1.0476384185531702E-9</v>
      </c>
      <c r="BS102" s="24">
        <f t="shared" si="63"/>
        <v>0.38383947486246356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296.05055999999996</v>
      </c>
      <c r="CA102" s="14">
        <f t="shared" si="93"/>
        <v>70.34787165092402</v>
      </c>
      <c r="CB102" s="22">
        <f t="shared" si="64"/>
        <v>638.14393512535923</v>
      </c>
      <c r="CC102" s="62">
        <f t="shared" si="65"/>
        <v>928.0730647231187</v>
      </c>
      <c r="CD102" s="62">
        <f ca="1">AVERAGE(OFFSET($CC$3,0,0,'Données projet'!$E$12+1,1))-AVERAGE(OFFSET($H$3,0,0,'Données projet'!$E$12+1,1))</f>
        <v>446.15737983598251</v>
      </c>
      <c r="CE102" s="62">
        <f t="shared" si="94"/>
        <v>282.2299715529382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4.4337866711430253E-14</v>
      </c>
      <c r="CV102" s="14">
        <f t="shared" si="95"/>
        <v>7.3222115536967035E-13</v>
      </c>
      <c r="CW102" s="22">
        <f t="shared" si="67"/>
        <v>1.3525069634579169E-12</v>
      </c>
      <c r="CX102" s="62">
        <f t="shared" si="68"/>
        <v>289.92912959776078</v>
      </c>
      <c r="CY102" s="62">
        <f ca="1">AVERAGE(OFFSET($CX$3,0,0,'Données projet'!$E$13+1,1))-AVERAGE(OFFSET($H$3,0,0,'Données projet'!$E$13+1,1))</f>
        <v>293.03320024876842</v>
      </c>
      <c r="CZ102" s="62">
        <f t="shared" si="96"/>
        <v>287.49994652707915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1.6874507738993103E-10</v>
      </c>
      <c r="DI102" s="24">
        <f t="shared" si="69"/>
        <v>1.6874507738993103E-10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-1.7053025658242404E-13</v>
      </c>
      <c r="DP102" s="18">
        <f>DO102*VLOOKUP('Données projet'!$B$14,Paramètres!$A$1:$I$89,3,0)*VLOOKUP('Données projet'!$B$14,Paramètres!$A$1:$I$89,5,0)</f>
        <v>-9.3109520094003535E-14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253.0312006976271</v>
      </c>
      <c r="DU102" s="62">
        <f t="shared" si="98"/>
        <v>365.93937083714866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1.7033244785663633</v>
      </c>
      <c r="EB102" s="23">
        <f>EXP(-LN(2)/25)*EB101+(1-EXP(-LN(2)/25))/(LN(2)/25)*Calculateur!DW102*Calculateur!DY102*VLOOKUP('Données projet'!$B$14,Paramètres!$A$1:$I$89,3,0)*0.475*44/12</f>
        <v>1.4176529126653896</v>
      </c>
      <c r="EC102" s="23">
        <f>EXP(-LN(2)/2)*EC101+(1-EXP(-LN(2)/2))/(LN(2)/2)*DW102*DZ102*VLOOKUP('Données projet'!$B$14,Paramètres!$A$1:$I$89,3,0)*0.475*44/12</f>
        <v>7.1972159061231892E-10</v>
      </c>
      <c r="ED102" s="24">
        <f t="shared" si="72"/>
        <v>3.1209773919514743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1.05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3.85</v>
      </c>
      <c r="H103" s="70">
        <f t="shared" si="56"/>
        <v>241.26666666666665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289.98818492191413</v>
      </c>
      <c r="S103" s="62">
        <f ca="1">AVERAGE(OFFSET($R$3,0,0,'Données projet'!$E$9+1,1))-AVERAGE(OFFSET($H$3,0,0,'Données projet'!$E$9+1,1))</f>
        <v>393.3487617557011</v>
      </c>
      <c r="T103" s="62">
        <f t="shared" si="88"/>
        <v>360.09400083977084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1.3252019920769968</v>
      </c>
      <c r="AA103" s="23">
        <f>EXP(-LN(2)/25)*AA102+(1-EXP(-LN(2)/25))/(LN(2)/25)*Calculateur!V103*Calculateur!X103*VLOOKUP('Données projet'!$B$9,Paramètres!$A$1:$I$89,3,0)*0.475*44/12</f>
        <v>1.3332484225697121</v>
      </c>
      <c r="AB103" s="23">
        <f>EXP(-LN(2)/2)*AB102+(1-EXP(-LN(2)/2))/(LN(2)/2)*V103*Y103*VLOOKUP('Données projet'!$B$9,Paramètres!$A$1:$I$89,3,0)*0.475*44/12</f>
        <v>4.1567781984696535E-10</v>
      </c>
      <c r="AC103" s="24">
        <f t="shared" si="57"/>
        <v>2.6584504150623869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-1.6671037883497774E-13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283.28499080043167</v>
      </c>
      <c r="AO103" s="62">
        <f t="shared" si="90"/>
        <v>278.56966286485783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0.48793959112868113</v>
      </c>
      <c r="AV103" s="23">
        <f>EXP(-LN(2)/25)*AV102+(1-EXP(-LN(2)/25))/(LN(2)/25)*Calculateur!AQ103*Calculateur!AS103*VLOOKUP('Données projet'!$B$10,Paramètres!$A$1:$I$89,3,0)*0.475*44/12</f>
        <v>1.2511810349226167</v>
      </c>
      <c r="AW103" s="23">
        <f>EXP(-LN(2)/2)*AW102+(1-EXP(-LN(2)/2))/(LN(2)/2)*AQ103*AT103*VLOOKUP('Données projet'!$B$10,Paramètres!$A$1:$I$89,3,0)*0.475*44/12</f>
        <v>3.7746572923024045E-10</v>
      </c>
      <c r="AX103" s="23">
        <f t="shared" si="60"/>
        <v>1.7391206264287635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-1.8089849618263545E-13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303.91914071195419</v>
      </c>
      <c r="BJ103" s="62">
        <f t="shared" si="92"/>
        <v>298.30050362688769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0.37334336321811812</v>
      </c>
      <c r="BR103" s="23">
        <f>EXP(-LN(2)/2)*BR102+(1-EXP(-LN(2)/2))/(LN(2)/2)*BL103*BO103*VLOOKUP('Données projet'!$B$11,Paramètres!$A$1:$I$89,3,0)*0.475*44/12</f>
        <v>7.4079222999049724E-10</v>
      </c>
      <c r="BS103" s="24">
        <f t="shared" si="63"/>
        <v>0.37334336395891032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301.29840000000002</v>
      </c>
      <c r="CA103" s="14">
        <f t="shared" si="93"/>
        <v>71.448589534990518</v>
      </c>
      <c r="CB103" s="22">
        <f t="shared" si="64"/>
        <v>649.2010067734418</v>
      </c>
      <c r="CC103" s="62">
        <f t="shared" si="65"/>
        <v>939.18919169535411</v>
      </c>
      <c r="CD103" s="62">
        <f ca="1">AVERAGE(OFFSET($CC$3,0,0,'Données projet'!$E$12+1,1))-AVERAGE(OFFSET($H$3,0,0,'Données projet'!$E$12+1,1))</f>
        <v>446.15737983598251</v>
      </c>
      <c r="CE103" s="62">
        <f t="shared" si="94"/>
        <v>282.2299715529382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4.4337866711430253E-14</v>
      </c>
      <c r="CV103" s="14">
        <f t="shared" si="95"/>
        <v>7.3222115536967035E-13</v>
      </c>
      <c r="CW103" s="22">
        <f t="shared" si="67"/>
        <v>1.3525069634579169E-12</v>
      </c>
      <c r="CX103" s="62">
        <f t="shared" si="68"/>
        <v>289.98818492191361</v>
      </c>
      <c r="CY103" s="62">
        <f ca="1">AVERAGE(OFFSET($CX$3,0,0,'Données projet'!$E$13+1,1))-AVERAGE(OFFSET($H$3,0,0,'Données projet'!$E$13+1,1))</f>
        <v>293.03320024876842</v>
      </c>
      <c r="CZ103" s="62">
        <f t="shared" si="96"/>
        <v>287.49994652707915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1.1932078851426899E-10</v>
      </c>
      <c r="DI103" s="24">
        <f t="shared" si="69"/>
        <v>1.1932078851426899E-10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-1.7053025658242404E-13</v>
      </c>
      <c r="DP103" s="18">
        <f>DO103*VLOOKUP('Données projet'!$B$14,Paramètres!$A$1:$I$89,3,0)*VLOOKUP('Données projet'!$B$14,Paramètres!$A$1:$I$89,5,0)</f>
        <v>-9.3109520094003535E-14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253.0312006976271</v>
      </c>
      <c r="DU103" s="62">
        <f t="shared" si="98"/>
        <v>365.93937083714866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1.6699233244670235</v>
      </c>
      <c r="EB103" s="23">
        <f>EXP(-LN(2)/25)*EB102+(1-EXP(-LN(2)/25))/(LN(2)/25)*Calculateur!DW103*Calculateur!DY103*VLOOKUP('Données projet'!$B$14,Paramètres!$A$1:$I$89,3,0)*0.475*44/12</f>
        <v>1.3788871192174279</v>
      </c>
      <c r="EC103" s="23">
        <f>EXP(-LN(2)/2)*EC102+(1-EXP(-LN(2)/2))/(LN(2)/2)*DW103*DZ103*VLOOKUP('Données projet'!$B$14,Paramètres!$A$1:$I$89,3,0)*0.475*44/12</f>
        <v>5.0892001728833892E-10</v>
      </c>
      <c r="ED103" s="24">
        <f t="shared" si="72"/>
        <v>3.0488104441933714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1.05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3.85</v>
      </c>
      <c r="H104" s="70">
        <f t="shared" si="56"/>
        <v>241.26666666666665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290.0462157682208</v>
      </c>
      <c r="S104" s="62">
        <f ca="1">AVERAGE(OFFSET($R$3,0,0,'Données projet'!$E$9+1,1))-AVERAGE(OFFSET($H$3,0,0,'Données projet'!$E$9+1,1))</f>
        <v>393.3487617557011</v>
      </c>
      <c r="T104" s="62">
        <f t="shared" si="88"/>
        <v>360.09400083977084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1.2992155893057697</v>
      </c>
      <c r="AA104" s="23">
        <f>EXP(-LN(2)/25)*AA103+(1-EXP(-LN(2)/25))/(LN(2)/25)*Calculateur!V104*Calculateur!X104*VLOOKUP('Données projet'!$B$9,Paramètres!$A$1:$I$89,3,0)*0.475*44/12</f>
        <v>1.2967906743420559</v>
      </c>
      <c r="AB104" s="23">
        <f>EXP(-LN(2)/2)*AB103+(1-EXP(-LN(2)/2))/(LN(2)/2)*V104*Y104*VLOOKUP('Données projet'!$B$9,Paramètres!$A$1:$I$89,3,0)*0.475*44/12</f>
        <v>2.9392860520262924E-10</v>
      </c>
      <c r="AC104" s="24">
        <f t="shared" si="57"/>
        <v>2.5960062639417538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-1.6671037883497774E-13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283.28499080043167</v>
      </c>
      <c r="AO104" s="62">
        <f t="shared" si="90"/>
        <v>278.56966286485783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0.47837139336041135</v>
      </c>
      <c r="AV104" s="23">
        <f>EXP(-LN(2)/25)*AV103+(1-EXP(-LN(2)/25))/(LN(2)/25)*Calculateur!AQ104*Calculateur!AS104*VLOOKUP('Données projet'!$B$10,Paramètres!$A$1:$I$89,3,0)*0.475*44/12</f>
        <v>1.2169674237259067</v>
      </c>
      <c r="AW104" s="23">
        <f>EXP(-LN(2)/2)*AW103+(1-EXP(-LN(2)/2))/(LN(2)/2)*AQ104*AT104*VLOOKUP('Données projet'!$B$10,Paramètres!$A$1:$I$89,3,0)*0.475*44/12</f>
        <v>2.6690857680422823E-10</v>
      </c>
      <c r="AX104" s="23">
        <f t="shared" si="60"/>
        <v>1.6953388173532267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-1.8089849618263545E-13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303.91914071195419</v>
      </c>
      <c r="BJ104" s="62">
        <f t="shared" si="92"/>
        <v>298.30050362688769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0.36313426931764448</v>
      </c>
      <c r="BR104" s="23">
        <f>EXP(-LN(2)/2)*BR103+(1-EXP(-LN(2)/2))/(LN(2)/2)*BL104*BO104*VLOOKUP('Données projet'!$B$11,Paramètres!$A$1:$I$89,3,0)*0.475*44/12</f>
        <v>5.2381920927658511E-10</v>
      </c>
      <c r="BS104" s="24">
        <f t="shared" si="63"/>
        <v>0.36313426984146369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281.75471999999996</v>
      </c>
      <c r="CA104" s="14">
        <f t="shared" si="93"/>
        <v>67.337696723120317</v>
      </c>
      <c r="CB104" s="22">
        <f t="shared" si="64"/>
        <v>608.00262579276773</v>
      </c>
      <c r="CC104" s="62">
        <f t="shared" si="65"/>
        <v>898.0488415609866</v>
      </c>
      <c r="CD104" s="62">
        <f ca="1">AVERAGE(OFFSET($CC$3,0,0,'Données projet'!$E$12+1,1))-AVERAGE(OFFSET($H$3,0,0,'Données projet'!$E$12+1,1))</f>
        <v>446.15737983598251</v>
      </c>
      <c r="CE104" s="62">
        <f t="shared" si="94"/>
        <v>282.2299715529382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4.4337866711430253E-14</v>
      </c>
      <c r="CV104" s="14">
        <f t="shared" si="95"/>
        <v>7.3222115536967035E-13</v>
      </c>
      <c r="CW104" s="22">
        <f t="shared" si="67"/>
        <v>1.3525069634579169E-12</v>
      </c>
      <c r="CX104" s="62">
        <f t="shared" si="68"/>
        <v>290.04621576822029</v>
      </c>
      <c r="CY104" s="62">
        <f ca="1">AVERAGE(OFFSET($CX$3,0,0,'Données projet'!$E$13+1,1))-AVERAGE(OFFSET($H$3,0,0,'Données projet'!$E$13+1,1))</f>
        <v>293.03320024876842</v>
      </c>
      <c r="CZ104" s="62">
        <f t="shared" si="96"/>
        <v>287.49994652707915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8.4372538694965517E-11</v>
      </c>
      <c r="DI104" s="24">
        <f t="shared" si="69"/>
        <v>8.4372538694965517E-11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-1.7053025658242404E-13</v>
      </c>
      <c r="DP104" s="18">
        <f>DO104*VLOOKUP('Données projet'!$B$14,Paramètres!$A$1:$I$89,3,0)*VLOOKUP('Données projet'!$B$14,Paramètres!$A$1:$I$89,5,0)</f>
        <v>-9.3109520094003535E-14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253.0312006976271</v>
      </c>
      <c r="DU104" s="62">
        <f t="shared" si="98"/>
        <v>365.93937083714866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1.6371771466268794</v>
      </c>
      <c r="EB104" s="23">
        <f>EXP(-LN(2)/25)*EB103+(1-EXP(-LN(2)/25))/(LN(2)/25)*Calculateur!DW104*Calculateur!DY104*VLOOKUP('Données projet'!$B$14,Paramètres!$A$1:$I$89,3,0)*0.475*44/12</f>
        <v>1.3411813784299051</v>
      </c>
      <c r="EC104" s="23">
        <f>EXP(-LN(2)/2)*EC103+(1-EXP(-LN(2)/2))/(LN(2)/2)*DW104*DZ104*VLOOKUP('Données projet'!$B$14,Paramètres!$A$1:$I$89,3,0)*0.475*44/12</f>
        <v>3.5986079530615946E-10</v>
      </c>
      <c r="ED104" s="24">
        <f t="shared" si="72"/>
        <v>2.9783585254166454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1.05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3.85</v>
      </c>
      <c r="H105" s="70">
        <f t="shared" si="56"/>
        <v>241.26666666666665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290.10323990908165</v>
      </c>
      <c r="S105" s="62">
        <f ca="1">AVERAGE(OFFSET($R$3,0,0,'Données projet'!$E$9+1,1))-AVERAGE(OFFSET($H$3,0,0,'Données projet'!$E$9+1,1))</f>
        <v>393.3487617557011</v>
      </c>
      <c r="T105" s="62">
        <f t="shared" si="88"/>
        <v>360.09400083977084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1.2737387640427458</v>
      </c>
      <c r="AA105" s="23">
        <f>EXP(-LN(2)/25)*AA104+(1-EXP(-LN(2)/25))/(LN(2)/25)*Calculateur!V105*Calculateur!X105*VLOOKUP('Données projet'!$B$9,Paramètres!$A$1:$I$89,3,0)*0.475*44/12</f>
        <v>1.2613298651569147</v>
      </c>
      <c r="AB105" s="23">
        <f>EXP(-LN(2)/2)*AB104+(1-EXP(-LN(2)/2))/(LN(2)/2)*V105*Y105*VLOOKUP('Données projet'!$B$9,Paramètres!$A$1:$I$89,3,0)*0.475*44/12</f>
        <v>2.0783890992348267E-10</v>
      </c>
      <c r="AC105" s="24">
        <f t="shared" si="57"/>
        <v>2.5350686294074993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-1.6671037883497774E-13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283.28499080043167</v>
      </c>
      <c r="AO105" s="62">
        <f t="shared" si="90"/>
        <v>278.56966286485783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0.46899082211435295</v>
      </c>
      <c r="AV105" s="23">
        <f>EXP(-LN(2)/25)*AV104+(1-EXP(-LN(2)/25))/(LN(2)/25)*Calculateur!AQ105*Calculateur!AS105*VLOOKUP('Données projet'!$B$10,Paramètres!$A$1:$I$89,3,0)*0.475*44/12</f>
        <v>1.1836893855265864</v>
      </c>
      <c r="AW105" s="23">
        <f>EXP(-LN(2)/2)*AW104+(1-EXP(-LN(2)/2))/(LN(2)/2)*AQ105*AT105*VLOOKUP('Données projet'!$B$10,Paramètres!$A$1:$I$89,3,0)*0.475*44/12</f>
        <v>1.8873286461512022E-10</v>
      </c>
      <c r="AX105" s="23">
        <f t="shared" si="60"/>
        <v>1.6526802078296721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-1.8089849618263545E-13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303.91914071195419</v>
      </c>
      <c r="BJ105" s="62">
        <f t="shared" si="92"/>
        <v>298.30050362688769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0.35320434362675224</v>
      </c>
      <c r="BR105" s="23">
        <f>EXP(-LN(2)/2)*BR104+(1-EXP(-LN(2)/2))/(LN(2)/2)*BL105*BO105*VLOOKUP('Données projet'!$B$11,Paramètres!$A$1:$I$89,3,0)*0.475*44/12</f>
        <v>3.7039611499524862E-10</v>
      </c>
      <c r="BS105" s="24">
        <f t="shared" si="63"/>
        <v>0.35320434399714834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286.64063999999996</v>
      </c>
      <c r="CA105" s="14">
        <f t="shared" si="93"/>
        <v>68.368446832003599</v>
      </c>
      <c r="CB105" s="22">
        <f t="shared" si="64"/>
        <v>618.30749289907283</v>
      </c>
      <c r="CC105" s="62">
        <f t="shared" si="65"/>
        <v>908.4107328081526</v>
      </c>
      <c r="CD105" s="62">
        <f ca="1">AVERAGE(OFFSET($CC$3,0,0,'Données projet'!$E$12+1,1))-AVERAGE(OFFSET($H$3,0,0,'Données projet'!$E$12+1,1))</f>
        <v>446.15737983598251</v>
      </c>
      <c r="CE105" s="62">
        <f t="shared" si="94"/>
        <v>282.2299715529382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4.4337866711430253E-14</v>
      </c>
      <c r="CV105" s="14">
        <f t="shared" si="95"/>
        <v>7.3222115536967035E-13</v>
      </c>
      <c r="CW105" s="22">
        <f t="shared" si="67"/>
        <v>1.3525069634579169E-12</v>
      </c>
      <c r="CX105" s="62">
        <f t="shared" si="68"/>
        <v>290.10323990908114</v>
      </c>
      <c r="CY105" s="62">
        <f ca="1">AVERAGE(OFFSET($CX$3,0,0,'Données projet'!$E$13+1,1))-AVERAGE(OFFSET($H$3,0,0,'Données projet'!$E$13+1,1))</f>
        <v>293.03320024876842</v>
      </c>
      <c r="CZ105" s="62">
        <f t="shared" si="96"/>
        <v>287.49994652707915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5.9660394257134495E-11</v>
      </c>
      <c r="DI105" s="24">
        <f t="shared" si="69"/>
        <v>5.9660394257134495E-11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-1.7053025658242404E-13</v>
      </c>
      <c r="DP105" s="18">
        <f>DO105*VLOOKUP('Données projet'!$B$14,Paramètres!$A$1:$I$89,3,0)*VLOOKUP('Données projet'!$B$14,Paramètres!$A$1:$I$89,5,0)</f>
        <v>-9.3109520094003535E-14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253.0312006976271</v>
      </c>
      <c r="DU105" s="62">
        <f t="shared" si="98"/>
        <v>365.93937083714866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1.6050731013609842</v>
      </c>
      <c r="EB105" s="23">
        <f>EXP(-LN(2)/25)*EB104+(1-EXP(-LN(2)/25))/(LN(2)/25)*Calculateur!DW105*Calculateur!DY105*VLOOKUP('Données projet'!$B$14,Paramètres!$A$1:$I$89,3,0)*0.475*44/12</f>
        <v>1.3045067031070761</v>
      </c>
      <c r="EC105" s="23">
        <f>EXP(-LN(2)/2)*EC104+(1-EXP(-LN(2)/2))/(LN(2)/2)*DW105*DZ105*VLOOKUP('Données projet'!$B$14,Paramètres!$A$1:$I$89,3,0)*0.475*44/12</f>
        <v>2.5446000864416946E-10</v>
      </c>
      <c r="ED105" s="24">
        <f t="shared" si="72"/>
        <v>2.9095798047225201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1.05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3.85</v>
      </c>
      <c r="H106" s="70">
        <f t="shared" si="56"/>
        <v>241.26666666666665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290.15927480858534</v>
      </c>
      <c r="S106" s="62">
        <f ca="1">AVERAGE(OFFSET($R$3,0,0,'Données projet'!$E$9+1,1))-AVERAGE(OFFSET($H$3,0,0,'Données projet'!$E$9+1,1))</f>
        <v>393.3487617557011</v>
      </c>
      <c r="T106" s="62">
        <f t="shared" si="88"/>
        <v>360.09400083977084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1.2487615237838008</v>
      </c>
      <c r="AA106" s="23">
        <f>EXP(-LN(2)/25)*AA105+(1-EXP(-LN(2)/25))/(LN(2)/25)*Calculateur!V106*Calculateur!X106*VLOOKUP('Données projet'!$B$9,Paramètres!$A$1:$I$89,3,0)*0.475*44/12</f>
        <v>1.2268387336637441</v>
      </c>
      <c r="AB106" s="23">
        <f>EXP(-LN(2)/2)*AB105+(1-EXP(-LN(2)/2))/(LN(2)/2)*V106*Y106*VLOOKUP('Données projet'!$B$9,Paramètres!$A$1:$I$89,3,0)*0.475*44/12</f>
        <v>1.4696430260131462E-10</v>
      </c>
      <c r="AC106" s="24">
        <f t="shared" si="57"/>
        <v>2.4756002575945093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-1.6671037883497774E-13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283.28499080043167</v>
      </c>
      <c r="AO106" s="62">
        <f t="shared" si="90"/>
        <v>278.56966286485783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0.45979419814884626</v>
      </c>
      <c r="AV106" s="23">
        <f>EXP(-LN(2)/25)*AV105+(1-EXP(-LN(2)/25))/(LN(2)/25)*Calculateur!AQ106*Calculateur!AS106*VLOOKUP('Données projet'!$B$10,Paramètres!$A$1:$I$89,3,0)*0.475*44/12</f>
        <v>1.1513213370318425</v>
      </c>
      <c r="AW106" s="23">
        <f>EXP(-LN(2)/2)*AW105+(1-EXP(-LN(2)/2))/(LN(2)/2)*AQ106*AT106*VLOOKUP('Données projet'!$B$10,Paramètres!$A$1:$I$89,3,0)*0.475*44/12</f>
        <v>1.3345428840211411E-10</v>
      </c>
      <c r="AX106" s="23">
        <f t="shared" si="60"/>
        <v>1.6111155353141431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-1.8089849618263545E-13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303.91914071195419</v>
      </c>
      <c r="BJ106" s="62">
        <f t="shared" si="92"/>
        <v>298.30050362688769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0.34354595227606954</v>
      </c>
      <c r="BR106" s="23">
        <f>EXP(-LN(2)/2)*BR105+(1-EXP(-LN(2)/2))/(LN(2)/2)*BL106*BO106*VLOOKUP('Données projet'!$B$11,Paramètres!$A$1:$I$89,3,0)*0.475*44/12</f>
        <v>2.6190960463829256E-10</v>
      </c>
      <c r="BS106" s="24">
        <f t="shared" si="63"/>
        <v>0.34354595253797915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291.5265599999999</v>
      </c>
      <c r="CA106" s="14">
        <f t="shared" si="93"/>
        <v>69.397153761857183</v>
      </c>
      <c r="CB106" s="22">
        <f t="shared" si="64"/>
        <v>628.60880146856778</v>
      </c>
      <c r="CC106" s="62">
        <f t="shared" si="65"/>
        <v>918.76807627715129</v>
      </c>
      <c r="CD106" s="62">
        <f ca="1">AVERAGE(OFFSET($CC$3,0,0,'Données projet'!$E$12+1,1))-AVERAGE(OFFSET($H$3,0,0,'Données projet'!$E$12+1,1))</f>
        <v>446.15737983598251</v>
      </c>
      <c r="CE106" s="62">
        <f t="shared" si="94"/>
        <v>282.2299715529382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4.4337866711430253E-14</v>
      </c>
      <c r="CV106" s="14">
        <f t="shared" si="95"/>
        <v>7.3222115536967035E-13</v>
      </c>
      <c r="CW106" s="22">
        <f t="shared" si="67"/>
        <v>1.3525069634579169E-12</v>
      </c>
      <c r="CX106" s="62">
        <f t="shared" si="68"/>
        <v>290.15927480858483</v>
      </c>
      <c r="CY106" s="62">
        <f ca="1">AVERAGE(OFFSET($CX$3,0,0,'Données projet'!$E$13+1,1))-AVERAGE(OFFSET($H$3,0,0,'Données projet'!$E$13+1,1))</f>
        <v>293.03320024876842</v>
      </c>
      <c r="CZ106" s="62">
        <f t="shared" si="96"/>
        <v>287.49994652707915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4.2186269347482759E-11</v>
      </c>
      <c r="DI106" s="24">
        <f t="shared" si="69"/>
        <v>4.2186269347482759E-11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-1.7053025658242404E-13</v>
      </c>
      <c r="DP106" s="18">
        <f>DO106*VLOOKUP('Données projet'!$B$14,Paramètres!$A$1:$I$89,3,0)*VLOOKUP('Données projet'!$B$14,Paramètres!$A$1:$I$89,5,0)</f>
        <v>-9.3109520094003535E-14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253.0312006976271</v>
      </c>
      <c r="DU106" s="62">
        <f t="shared" si="98"/>
        <v>365.93937083714866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1.5735985968412192</v>
      </c>
      <c r="EB106" s="23">
        <f>EXP(-LN(2)/25)*EB105+(1-EXP(-LN(2)/25))/(LN(2)/25)*Calculateur!DW106*Calculateur!DY106*VLOOKUP('Données projet'!$B$14,Paramètres!$A$1:$I$89,3,0)*0.475*44/12</f>
        <v>1.268834898709587</v>
      </c>
      <c r="EC106" s="23">
        <f>EXP(-LN(2)/2)*EC105+(1-EXP(-LN(2)/2))/(LN(2)/2)*DW106*DZ106*VLOOKUP('Données projet'!$B$14,Paramètres!$A$1:$I$89,3,0)*0.475*44/12</f>
        <v>1.7993039765307973E-10</v>
      </c>
      <c r="ED106" s="24">
        <f t="shared" si="72"/>
        <v>2.8424334957307367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1.05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3.85</v>
      </c>
      <c r="H107" s="70">
        <f t="shared" si="56"/>
        <v>241.26666666666665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290.21433762785801</v>
      </c>
      <c r="S107" s="62">
        <f ca="1">AVERAGE(OFFSET($R$3,0,0,'Données projet'!$E$9+1,1))-AVERAGE(OFFSET($H$3,0,0,'Données projet'!$E$9+1,1))</f>
        <v>393.3487617557011</v>
      </c>
      <c r="T107" s="62">
        <f t="shared" si="88"/>
        <v>360.09400083977084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1.2242740719717213</v>
      </c>
      <c r="AA107" s="23">
        <f>EXP(-LN(2)/25)*AA106+(1-EXP(-LN(2)/25))/(LN(2)/25)*Calculateur!V107*Calculateur!X107*VLOOKUP('Données projet'!$B$9,Paramètres!$A$1:$I$89,3,0)*0.475*44/12</f>
        <v>1.1932907639750641</v>
      </c>
      <c r="AB107" s="23">
        <f>EXP(-LN(2)/2)*AB106+(1-EXP(-LN(2)/2))/(LN(2)/2)*V107*Y107*VLOOKUP('Données projet'!$B$9,Paramètres!$A$1:$I$89,3,0)*0.475*44/12</f>
        <v>1.0391945496174134E-10</v>
      </c>
      <c r="AC107" s="24">
        <f t="shared" si="57"/>
        <v>2.4175648360507047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-1.6671037883497774E-13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283.28499080043167</v>
      </c>
      <c r="AO107" s="62">
        <f t="shared" si="90"/>
        <v>278.56966286485783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0.45077791436991643</v>
      </c>
      <c r="AV107" s="23">
        <f>EXP(-LN(2)/25)*AV106+(1-EXP(-LN(2)/25))/(LN(2)/25)*Calculateur!AQ107*Calculateur!AS107*VLOOKUP('Données projet'!$B$10,Paramètres!$A$1:$I$89,3,0)*0.475*44/12</f>
        <v>1.1198383945253489</v>
      </c>
      <c r="AW107" s="23">
        <f>EXP(-LN(2)/2)*AW106+(1-EXP(-LN(2)/2))/(LN(2)/2)*AQ107*AT107*VLOOKUP('Données projet'!$B$10,Paramètres!$A$1:$I$89,3,0)*0.475*44/12</f>
        <v>9.4366432307560112E-11</v>
      </c>
      <c r="AX107" s="23">
        <f t="shared" si="60"/>
        <v>1.5706163089896319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-1.8089849618263545E-13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303.91914071195419</v>
      </c>
      <c r="BJ107" s="62">
        <f t="shared" si="92"/>
        <v>298.30050362688769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0.33415167014478397</v>
      </c>
      <c r="BR107" s="23">
        <f>EXP(-LN(2)/2)*BR106+(1-EXP(-LN(2)/2))/(LN(2)/2)*BL107*BO107*VLOOKUP('Données projet'!$B$11,Paramètres!$A$1:$I$89,3,0)*0.475*44/12</f>
        <v>1.8519805749762431E-10</v>
      </c>
      <c r="BS107" s="24">
        <f t="shared" si="63"/>
        <v>0.33415167032998205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296.4124799999999</v>
      </c>
      <c r="CA107" s="14">
        <f t="shared" si="93"/>
        <v>70.423855708154704</v>
      </c>
      <c r="CB107" s="22">
        <f t="shared" si="64"/>
        <v>638.90661802503598</v>
      </c>
      <c r="CC107" s="62">
        <f t="shared" si="65"/>
        <v>929.12095565289212</v>
      </c>
      <c r="CD107" s="62">
        <f ca="1">AVERAGE(OFFSET($CC$3,0,0,'Données projet'!$E$12+1,1))-AVERAGE(OFFSET($H$3,0,0,'Données projet'!$E$12+1,1))</f>
        <v>446.15737983598251</v>
      </c>
      <c r="CE107" s="62">
        <f t="shared" si="94"/>
        <v>282.2299715529382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4.4337866711430253E-14</v>
      </c>
      <c r="CV107" s="14">
        <f t="shared" si="95"/>
        <v>7.3222115536967035E-13</v>
      </c>
      <c r="CW107" s="22">
        <f t="shared" si="67"/>
        <v>1.3525069634579169E-12</v>
      </c>
      <c r="CX107" s="62">
        <f t="shared" si="68"/>
        <v>290.2143376278575</v>
      </c>
      <c r="CY107" s="62">
        <f ca="1">AVERAGE(OFFSET($CX$3,0,0,'Données projet'!$E$13+1,1))-AVERAGE(OFFSET($H$3,0,0,'Données projet'!$E$13+1,1))</f>
        <v>293.03320024876842</v>
      </c>
      <c r="CZ107" s="62">
        <f t="shared" si="96"/>
        <v>287.49994652707915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2.9830197128567247E-11</v>
      </c>
      <c r="DI107" s="24">
        <f t="shared" si="69"/>
        <v>2.9830197128567247E-11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-1.7053025658242404E-13</v>
      </c>
      <c r="DP107" s="18">
        <f>DO107*VLOOKUP('Données projet'!$B$14,Paramètres!$A$1:$I$89,3,0)*VLOOKUP('Données projet'!$B$14,Paramètres!$A$1:$I$89,5,0)</f>
        <v>-9.3109520094003535E-14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253.0312006976271</v>
      </c>
      <c r="DU107" s="62">
        <f t="shared" si="98"/>
        <v>365.93937083714866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1.5427412881575344</v>
      </c>
      <c r="EB107" s="23">
        <f>EXP(-LN(2)/25)*EB106+(1-EXP(-LN(2)/25))/(LN(2)/25)*Calculateur!DW107*Calculateur!DY107*VLOOKUP('Données projet'!$B$14,Paramètres!$A$1:$I$89,3,0)*0.475*44/12</f>
        <v>1.2341385416792461</v>
      </c>
      <c r="EC107" s="23">
        <f>EXP(-LN(2)/2)*EC106+(1-EXP(-LN(2)/2))/(LN(2)/2)*DW107*DZ107*VLOOKUP('Données projet'!$B$14,Paramètres!$A$1:$I$89,3,0)*0.475*44/12</f>
        <v>1.2723000432208473E-10</v>
      </c>
      <c r="ED107" s="24">
        <f t="shared" si="72"/>
        <v>2.7768798299640105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1.05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3.85</v>
      </c>
      <c r="H108" s="70">
        <f t="shared" si="56"/>
        <v>241.26666666666665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290.26844523031826</v>
      </c>
      <c r="S108" s="62">
        <f ca="1">AVERAGE(OFFSET($R$3,0,0,'Données projet'!$E$9+1,1))-AVERAGE(OFFSET($H$3,0,0,'Données projet'!$E$9+1,1))</f>
        <v>393.3487617557011</v>
      </c>
      <c r="T108" s="62">
        <f t="shared" si="88"/>
        <v>360.09400083977084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1.200266804153806</v>
      </c>
      <c r="AA108" s="23">
        <f>EXP(-LN(2)/25)*AA107+(1-EXP(-LN(2)/25))/(LN(2)/25)*Calculateur!V108*Calculateur!X108*VLOOKUP('Données projet'!$B$9,Paramètres!$A$1:$I$89,3,0)*0.475*44/12</f>
        <v>1.1606601652817319</v>
      </c>
      <c r="AB108" s="23">
        <f>EXP(-LN(2)/2)*AB107+(1-EXP(-LN(2)/2))/(LN(2)/2)*V108*Y108*VLOOKUP('Données projet'!$B$9,Paramètres!$A$1:$I$89,3,0)*0.475*44/12</f>
        <v>7.348215130065731E-11</v>
      </c>
      <c r="AC108" s="24">
        <f t="shared" si="57"/>
        <v>2.3609269695090203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-1.6671037883497774E-13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283.28499080043167</v>
      </c>
      <c r="AO108" s="62">
        <f t="shared" si="90"/>
        <v>278.56966286485783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0.44193843441650132</v>
      </c>
      <c r="AV108" s="23">
        <f>EXP(-LN(2)/25)*AV107+(1-EXP(-LN(2)/25))/(LN(2)/25)*Calculateur!AQ108*Calculateur!AS108*VLOOKUP('Données projet'!$B$10,Paramètres!$A$1:$I$89,3,0)*0.475*44/12</f>
        <v>1.0892163547373115</v>
      </c>
      <c r="AW108" s="23">
        <f>EXP(-LN(2)/2)*AW107+(1-EXP(-LN(2)/2))/(LN(2)/2)*AQ108*AT108*VLOOKUP('Données projet'!$B$10,Paramètres!$A$1:$I$89,3,0)*0.475*44/12</f>
        <v>6.6727144201057057E-11</v>
      </c>
      <c r="AX108" s="23">
        <f t="shared" si="60"/>
        <v>1.5311547892205399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-1.8089849618263545E-13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303.91914071195419</v>
      </c>
      <c r="BJ108" s="62">
        <f t="shared" si="92"/>
        <v>298.30050362688769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0.32501427515240222</v>
      </c>
      <c r="BR108" s="23">
        <f>EXP(-LN(2)/2)*BR107+(1-EXP(-LN(2)/2))/(LN(2)/2)*BL108*BO108*VLOOKUP('Données projet'!$B$11,Paramètres!$A$1:$I$89,3,0)*0.475*44/12</f>
        <v>1.3095480231914628E-10</v>
      </c>
      <c r="BS108" s="24">
        <f t="shared" si="63"/>
        <v>0.32501427528335702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301.2983999999999</v>
      </c>
      <c r="CA108" s="14">
        <f t="shared" si="93"/>
        <v>71.448589534990518</v>
      </c>
      <c r="CB108" s="22">
        <f t="shared" si="64"/>
        <v>649.20100677344158</v>
      </c>
      <c r="CC108" s="62">
        <f t="shared" si="65"/>
        <v>939.46945200375797</v>
      </c>
      <c r="CD108" s="62">
        <f ca="1">AVERAGE(OFFSET($CC$3,0,0,'Données projet'!$E$12+1,1))-AVERAGE(OFFSET($H$3,0,0,'Données projet'!$E$12+1,1))</f>
        <v>446.15737983598251</v>
      </c>
      <c r="CE108" s="62">
        <f t="shared" si="94"/>
        <v>282.2299715529382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4.4337866711430253E-14</v>
      </c>
      <c r="CV108" s="14">
        <f t="shared" si="95"/>
        <v>7.3222115536967035E-13</v>
      </c>
      <c r="CW108" s="22">
        <f t="shared" si="67"/>
        <v>1.3525069634579169E-12</v>
      </c>
      <c r="CX108" s="62">
        <f t="shared" si="68"/>
        <v>290.26844523031775</v>
      </c>
      <c r="CY108" s="62">
        <f ca="1">AVERAGE(OFFSET($CX$3,0,0,'Données projet'!$E$13+1,1))-AVERAGE(OFFSET($H$3,0,0,'Données projet'!$E$13+1,1))</f>
        <v>293.03320024876842</v>
      </c>
      <c r="CZ108" s="62">
        <f t="shared" si="96"/>
        <v>287.49994652707915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2.1093134673741379E-11</v>
      </c>
      <c r="DI108" s="24">
        <f t="shared" si="69"/>
        <v>2.1093134673741379E-11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-1.7053025658242404E-13</v>
      </c>
      <c r="DP108" s="18">
        <f>DO108*VLOOKUP('Données projet'!$B$14,Paramètres!$A$1:$I$89,3,0)*VLOOKUP('Données projet'!$B$14,Paramètres!$A$1:$I$89,5,0)</f>
        <v>-9.3109520094003535E-14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253.0312006976271</v>
      </c>
      <c r="DU108" s="62">
        <f t="shared" si="98"/>
        <v>365.93937083714866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1.5124890724760369</v>
      </c>
      <c r="EB108" s="23">
        <f>EXP(-LN(2)/25)*EB107+(1-EXP(-LN(2)/25))/(LN(2)/25)*Calculateur!DW108*Calculateur!DY108*VLOOKUP('Données projet'!$B$14,Paramètres!$A$1:$I$89,3,0)*0.475*44/12</f>
        <v>1.2003909583565018</v>
      </c>
      <c r="EC108" s="23">
        <f>EXP(-LN(2)/2)*EC107+(1-EXP(-LN(2)/2))/(LN(2)/2)*DW108*DZ108*VLOOKUP('Données projet'!$B$14,Paramètres!$A$1:$I$89,3,0)*0.475*44/12</f>
        <v>8.9965198826539865E-11</v>
      </c>
      <c r="ED108" s="24">
        <f t="shared" si="72"/>
        <v>2.7128800309225038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1.05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3.85</v>
      </c>
      <c r="H109" s="70">
        <f t="shared" si="56"/>
        <v>241.26666666666665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290.32161418684234</v>
      </c>
      <c r="S109" s="62">
        <f ca="1">AVERAGE(OFFSET($R$3,0,0,'Données projet'!$E$9+1,1))-AVERAGE(OFFSET($H$3,0,0,'Données projet'!$E$9+1,1))</f>
        <v>393.3487617557011</v>
      </c>
      <c r="T109" s="62">
        <f t="shared" si="88"/>
        <v>360.09400083977084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1.1767303042148125</v>
      </c>
      <c r="AA109" s="23">
        <f>EXP(-LN(2)/25)*AA108+(1-EXP(-LN(2)/25))/(LN(2)/25)*Calculateur!V109*Calculateur!X109*VLOOKUP('Données projet'!$B$9,Paramètres!$A$1:$I$89,3,0)*0.475*44/12</f>
        <v>1.1289218520256377</v>
      </c>
      <c r="AB109" s="23">
        <f>EXP(-LN(2)/2)*AB108+(1-EXP(-LN(2)/2))/(LN(2)/2)*V109*Y109*VLOOKUP('Données projet'!$B$9,Paramètres!$A$1:$I$89,3,0)*0.475*44/12</f>
        <v>5.1959727480870668E-11</v>
      </c>
      <c r="AC109" s="24">
        <f t="shared" si="57"/>
        <v>2.3056521562924099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-1.6671037883497774E-13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283.28499080043167</v>
      </c>
      <c r="AO109" s="62">
        <f t="shared" si="90"/>
        <v>278.56966286485783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0.43327229127342232</v>
      </c>
      <c r="AV109" s="23">
        <f>EXP(-LN(2)/25)*AV108+(1-EXP(-LN(2)/25))/(LN(2)/25)*Calculateur!AQ109*Calculateur!AS109*VLOOKUP('Données projet'!$B$10,Paramètres!$A$1:$I$89,3,0)*0.475*44/12</f>
        <v>1.059431676237621</v>
      </c>
      <c r="AW109" s="23">
        <f>EXP(-LN(2)/2)*AW108+(1-EXP(-LN(2)/2))/(LN(2)/2)*AQ109*AT109*VLOOKUP('Données projet'!$B$10,Paramètres!$A$1:$I$89,3,0)*0.475*44/12</f>
        <v>4.7183216153780056E-11</v>
      </c>
      <c r="AX109" s="23">
        <f t="shared" si="60"/>
        <v>1.4927039675582265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-1.8089849618263545E-13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303.91914071195419</v>
      </c>
      <c r="BJ109" s="62">
        <f t="shared" si="92"/>
        <v>298.30050362688769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0.3161267427066019</v>
      </c>
      <c r="BR109" s="23">
        <f>EXP(-LN(2)/2)*BR108+(1-EXP(-LN(2)/2))/(LN(2)/2)*BL109*BO109*VLOOKUP('Données projet'!$B$11,Paramètres!$A$1:$I$89,3,0)*0.475*44/12</f>
        <v>9.2599028748812154E-11</v>
      </c>
      <c r="BS109" s="24">
        <f t="shared" si="63"/>
        <v>0.31612674279920094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282.29759999999987</v>
      </c>
      <c r="CA109" s="14">
        <f t="shared" si="93"/>
        <v>67.452326629470178</v>
      </c>
      <c r="CB109" s="22">
        <f t="shared" si="64"/>
        <v>609.14778887966042</v>
      </c>
      <c r="CC109" s="62">
        <f t="shared" si="65"/>
        <v>899.46940306650094</v>
      </c>
      <c r="CD109" s="62">
        <f ca="1">AVERAGE(OFFSET($CC$3,0,0,'Données projet'!$E$12+1,1))-AVERAGE(OFFSET($H$3,0,0,'Données projet'!$E$12+1,1))</f>
        <v>446.15737983598251</v>
      </c>
      <c r="CE109" s="62">
        <f t="shared" si="94"/>
        <v>282.2299715529382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4.4337866711430253E-14</v>
      </c>
      <c r="CV109" s="14">
        <f t="shared" si="95"/>
        <v>7.3222115536967035E-13</v>
      </c>
      <c r="CW109" s="22">
        <f t="shared" si="67"/>
        <v>1.3525069634579169E-12</v>
      </c>
      <c r="CX109" s="62">
        <f t="shared" si="68"/>
        <v>290.32161418684183</v>
      </c>
      <c r="CY109" s="62">
        <f ca="1">AVERAGE(OFFSET($CX$3,0,0,'Données projet'!$E$13+1,1))-AVERAGE(OFFSET($H$3,0,0,'Données projet'!$E$13+1,1))</f>
        <v>293.03320024876842</v>
      </c>
      <c r="CZ109" s="62">
        <f t="shared" si="96"/>
        <v>287.49994652707915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1.4915098564283624E-11</v>
      </c>
      <c r="DI109" s="24">
        <f t="shared" si="69"/>
        <v>1.4915098564283624E-11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-1.7053025658242404E-13</v>
      </c>
      <c r="DP109" s="18">
        <f>DO109*VLOOKUP('Données projet'!$B$14,Paramètres!$A$1:$I$89,3,0)*VLOOKUP('Données projet'!$B$14,Paramètres!$A$1:$I$89,5,0)</f>
        <v>-9.3109520094003535E-14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253.0312006976271</v>
      </c>
      <c r="DU109" s="62">
        <f t="shared" si="98"/>
        <v>365.93937083714866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1.4828300842920241</v>
      </c>
      <c r="EB109" s="23">
        <f>EXP(-LN(2)/25)*EB108+(1-EXP(-LN(2)/25))/(LN(2)/25)*Calculateur!DW109*Calculateur!DY109*VLOOKUP('Données projet'!$B$14,Paramètres!$A$1:$I$89,3,0)*0.475*44/12</f>
        <v>1.1675662044744262</v>
      </c>
      <c r="EC109" s="23">
        <f>EXP(-LN(2)/2)*EC108+(1-EXP(-LN(2)/2))/(LN(2)/2)*DW109*DZ109*VLOOKUP('Données projet'!$B$14,Paramètres!$A$1:$I$89,3,0)*0.475*44/12</f>
        <v>6.3615002161042365E-11</v>
      </c>
      <c r="ED109" s="24">
        <f t="shared" si="72"/>
        <v>2.6503962888300654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1.05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3.85</v>
      </c>
      <c r="H110" s="70">
        <f t="shared" si="56"/>
        <v>241.26666666666665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290.37386078083864</v>
      </c>
      <c r="S110" s="62">
        <f ca="1">AVERAGE(OFFSET($R$3,0,0,'Données projet'!$E$9+1,1))-AVERAGE(OFFSET($H$3,0,0,'Données projet'!$E$9+1,1))</f>
        <v>393.3487617557011</v>
      </c>
      <c r="T110" s="62">
        <f t="shared" si="88"/>
        <v>360.09400083977084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1.1536553406837753</v>
      </c>
      <c r="AA110" s="23">
        <f>EXP(-LN(2)/25)*AA109+(1-EXP(-LN(2)/25))/(LN(2)/25)*Calculateur!V110*Calculateur!X110*VLOOKUP('Données projet'!$B$9,Paramètres!$A$1:$I$89,3,0)*0.475*44/12</f>
        <v>1.0980514246145765</v>
      </c>
      <c r="AB110" s="23">
        <f>EXP(-LN(2)/2)*AB109+(1-EXP(-LN(2)/2))/(LN(2)/2)*V110*Y110*VLOOKUP('Données projet'!$B$9,Paramètres!$A$1:$I$89,3,0)*0.475*44/12</f>
        <v>3.6741075650328655E-11</v>
      </c>
      <c r="AC110" s="24">
        <f t="shared" si="57"/>
        <v>2.2517067653350931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-1.6671037883497774E-13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283.28499080043167</v>
      </c>
      <c r="AO110" s="62">
        <f t="shared" si="90"/>
        <v>278.56966286485783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0.42477608591155369</v>
      </c>
      <c r="AV110" s="23">
        <f>EXP(-LN(2)/25)*AV109+(1-EXP(-LN(2)/25))/(LN(2)/25)*Calculateur!AQ110*Calculateur!AS110*VLOOKUP('Données projet'!$B$10,Paramètres!$A$1:$I$89,3,0)*0.475*44/12</f>
        <v>1.0304614613378127</v>
      </c>
      <c r="AW110" s="23">
        <f>EXP(-LN(2)/2)*AW109+(1-EXP(-LN(2)/2))/(LN(2)/2)*AQ110*AT110*VLOOKUP('Données projet'!$B$10,Paramètres!$A$1:$I$89,3,0)*0.475*44/12</f>
        <v>3.3363572100528529E-11</v>
      </c>
      <c r="AX110" s="23">
        <f t="shared" si="60"/>
        <v>1.4552375472827299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-1.8089849618263545E-13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303.91914071195419</v>
      </c>
      <c r="BJ110" s="62">
        <f t="shared" si="92"/>
        <v>298.30050362688769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0.307482240302907</v>
      </c>
      <c r="BR110" s="23">
        <f>EXP(-LN(2)/2)*BR109+(1-EXP(-LN(2)/2))/(LN(2)/2)*BL110*BO110*VLOOKUP('Données projet'!$B$11,Paramètres!$A$1:$I$89,3,0)*0.475*44/12</f>
        <v>6.5477401159573139E-11</v>
      </c>
      <c r="BS110" s="24">
        <f t="shared" si="63"/>
        <v>0.3074822403683844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286.82159999999988</v>
      </c>
      <c r="CA110" s="14">
        <f t="shared" si="93"/>
        <v>68.406583284351413</v>
      </c>
      <c r="CB110" s="22">
        <f t="shared" si="64"/>
        <v>618.68908588691181</v>
      </c>
      <c r="CC110" s="62">
        <f t="shared" si="65"/>
        <v>909.06294666774852</v>
      </c>
      <c r="CD110" s="62">
        <f ca="1">AVERAGE(OFFSET($CC$3,0,0,'Données projet'!$E$12+1,1))-AVERAGE(OFFSET($H$3,0,0,'Données projet'!$E$12+1,1))</f>
        <v>446.15737983598251</v>
      </c>
      <c r="CE110" s="62">
        <f t="shared" si="94"/>
        <v>282.2299715529382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4.4337866711430253E-14</v>
      </c>
      <c r="CV110" s="14">
        <f t="shared" si="95"/>
        <v>7.3222115536967035E-13</v>
      </c>
      <c r="CW110" s="22">
        <f t="shared" si="67"/>
        <v>1.3525069634579169E-12</v>
      </c>
      <c r="CX110" s="62">
        <f t="shared" si="68"/>
        <v>290.37386078083813</v>
      </c>
      <c r="CY110" s="62">
        <f ca="1">AVERAGE(OFFSET($CX$3,0,0,'Données projet'!$E$13+1,1))-AVERAGE(OFFSET($H$3,0,0,'Données projet'!$E$13+1,1))</f>
        <v>293.03320024876842</v>
      </c>
      <c r="CZ110" s="62">
        <f t="shared" si="96"/>
        <v>287.49994652707915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1.054656733687069E-11</v>
      </c>
      <c r="DI110" s="24">
        <f t="shared" si="69"/>
        <v>1.054656733687069E-11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-1.7053025658242404E-13</v>
      </c>
      <c r="DP110" s="18">
        <f>DO110*VLOOKUP('Données projet'!$B$14,Paramètres!$A$1:$I$89,3,0)*VLOOKUP('Données projet'!$B$14,Paramètres!$A$1:$I$89,5,0)</f>
        <v>-9.3109520094003535E-14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253.0312006976271</v>
      </c>
      <c r="DU110" s="62">
        <f t="shared" si="98"/>
        <v>365.93937083714866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1.4537526907761031</v>
      </c>
      <c r="EB110" s="23">
        <f>EXP(-LN(2)/25)*EB109+(1-EXP(-LN(2)/25))/(LN(2)/25)*Calculateur!DW110*Calculateur!DY110*VLOOKUP('Données projet'!$B$14,Paramètres!$A$1:$I$89,3,0)*0.475*44/12</f>
        <v>1.1356390452134348</v>
      </c>
      <c r="EC110" s="23">
        <f>EXP(-LN(2)/2)*EC109+(1-EXP(-LN(2)/2))/(LN(2)/2)*DW110*DZ110*VLOOKUP('Données projet'!$B$14,Paramètres!$A$1:$I$89,3,0)*0.475*44/12</f>
        <v>4.4982599413269933E-11</v>
      </c>
      <c r="ED110" s="24">
        <f t="shared" si="72"/>
        <v>2.5893917360345204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1.05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3.85</v>
      </c>
      <c r="H111" s="70">
        <f t="shared" si="56"/>
        <v>241.26666666666665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290.4252010132351</v>
      </c>
      <c r="S111" s="62">
        <f ca="1">AVERAGE(OFFSET($R$3,0,0,'Données projet'!$E$9+1,1))-AVERAGE(OFFSET($H$3,0,0,'Données projet'!$E$9+1,1))</f>
        <v>393.3487617557011</v>
      </c>
      <c r="T111" s="62">
        <f t="shared" si="88"/>
        <v>360.09400083977084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1.1310328631132436</v>
      </c>
      <c r="AA111" s="23">
        <f>EXP(-LN(2)/25)*AA110+(1-EXP(-LN(2)/25))/(LN(2)/25)*Calculateur!V111*Calculateur!X111*VLOOKUP('Données projet'!$B$9,Paramètres!$A$1:$I$89,3,0)*0.475*44/12</f>
        <v>1.068025150664476</v>
      </c>
      <c r="AB111" s="23">
        <f>EXP(-LN(2)/2)*AB110+(1-EXP(-LN(2)/2))/(LN(2)/2)*V111*Y111*VLOOKUP('Données projet'!$B$9,Paramètres!$A$1:$I$89,3,0)*0.475*44/12</f>
        <v>2.5979863740435334E-11</v>
      </c>
      <c r="AC111" s="24">
        <f t="shared" si="57"/>
        <v>2.199058013803699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-1.6671037883497774E-13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283.28499080043167</v>
      </c>
      <c r="AO111" s="62">
        <f t="shared" si="90"/>
        <v>278.56966286485783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0.41644648595465772</v>
      </c>
      <c r="AV111" s="23">
        <f>EXP(-LN(2)/25)*AV110+(1-EXP(-LN(2)/25))/(LN(2)/25)*Calculateur!AQ111*Calculateur!AS111*VLOOKUP('Données projet'!$B$10,Paramètres!$A$1:$I$89,3,0)*0.475*44/12</f>
        <v>1.0022834384879171</v>
      </c>
      <c r="AW111" s="23">
        <f>EXP(-LN(2)/2)*AW110+(1-EXP(-LN(2)/2))/(LN(2)/2)*AQ111*AT111*VLOOKUP('Données projet'!$B$10,Paramètres!$A$1:$I$89,3,0)*0.475*44/12</f>
        <v>2.3591608076890028E-11</v>
      </c>
      <c r="AX111" s="23">
        <f t="shared" si="60"/>
        <v>1.4187299244661664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-1.8089849618263545E-13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303.91914071195419</v>
      </c>
      <c r="BJ111" s="62">
        <f t="shared" si="92"/>
        <v>298.30050362688769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0.29907412227203573</v>
      </c>
      <c r="BR111" s="23">
        <f>EXP(-LN(2)/2)*BR110+(1-EXP(-LN(2)/2))/(LN(2)/2)*BL111*BO111*VLOOKUP('Données projet'!$B$11,Paramètres!$A$1:$I$89,3,0)*0.475*44/12</f>
        <v>4.6299514374406077E-11</v>
      </c>
      <c r="BS111" s="24">
        <f t="shared" si="63"/>
        <v>0.29907412231833524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291.34559999999993</v>
      </c>
      <c r="CA111" s="14">
        <f t="shared" si="93"/>
        <v>69.359089490698707</v>
      </c>
      <c r="CB111" s="22">
        <f t="shared" si="64"/>
        <v>628.22733419630015</v>
      </c>
      <c r="CC111" s="62">
        <f t="shared" si="65"/>
        <v>918.65253520953343</v>
      </c>
      <c r="CD111" s="62">
        <f ca="1">AVERAGE(OFFSET($CC$3,0,0,'Données projet'!$E$12+1,1))-AVERAGE(OFFSET($H$3,0,0,'Données projet'!$E$12+1,1))</f>
        <v>446.15737983598251</v>
      </c>
      <c r="CE111" s="62">
        <f t="shared" si="94"/>
        <v>282.2299715529382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4.4337866711430253E-14</v>
      </c>
      <c r="CV111" s="14">
        <f t="shared" si="95"/>
        <v>7.3222115536967035E-13</v>
      </c>
      <c r="CW111" s="22">
        <f t="shared" si="67"/>
        <v>1.3525069634579169E-12</v>
      </c>
      <c r="CX111" s="62">
        <f t="shared" si="68"/>
        <v>290.42520101323458</v>
      </c>
      <c r="CY111" s="62">
        <f ca="1">AVERAGE(OFFSET($CX$3,0,0,'Données projet'!$E$13+1,1))-AVERAGE(OFFSET($H$3,0,0,'Données projet'!$E$13+1,1))</f>
        <v>293.03320024876842</v>
      </c>
      <c r="CZ111" s="62">
        <f t="shared" si="96"/>
        <v>287.49994652707915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7.4575492821418118E-12</v>
      </c>
      <c r="DI111" s="24">
        <f t="shared" si="69"/>
        <v>7.4575492821418118E-12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-1.7053025658242404E-13</v>
      </c>
      <c r="DP111" s="18">
        <f>DO111*VLOOKUP('Données projet'!$B$14,Paramètres!$A$1:$I$89,3,0)*VLOOKUP('Données projet'!$B$14,Paramètres!$A$1:$I$89,5,0)</f>
        <v>-9.3109520094003535E-14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253.0312006976271</v>
      </c>
      <c r="DU111" s="62">
        <f t="shared" si="98"/>
        <v>365.93937083714866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1.4252454872115705</v>
      </c>
      <c r="EB111" s="23">
        <f>EXP(-LN(2)/25)*EB110+(1-EXP(-LN(2)/25))/(LN(2)/25)*Calculateur!DW111*Calculateur!DY111*VLOOKUP('Données projet'!$B$14,Paramètres!$A$1:$I$89,3,0)*0.475*44/12</f>
        <v>1.1045849358014117</v>
      </c>
      <c r="EC111" s="23">
        <f>EXP(-LN(2)/2)*EC110+(1-EXP(-LN(2)/2))/(LN(2)/2)*DW111*DZ111*VLOOKUP('Données projet'!$B$14,Paramètres!$A$1:$I$89,3,0)*0.475*44/12</f>
        <v>3.1807501080521182E-11</v>
      </c>
      <c r="ED111" s="24">
        <f t="shared" si="72"/>
        <v>2.5298304230447899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1.05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3.85</v>
      </c>
      <c r="H112" s="70">
        <f t="shared" si="56"/>
        <v>241.26666666666665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290.47565060737895</v>
      </c>
      <c r="S112" s="62">
        <f ca="1">AVERAGE(OFFSET($R$3,0,0,'Données projet'!$E$9+1,1))-AVERAGE(OFFSET($H$3,0,0,'Données projet'!$E$9+1,1))</f>
        <v>393.3487617557011</v>
      </c>
      <c r="T112" s="62">
        <f t="shared" si="88"/>
        <v>360.09400083977084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1.1088539985295212</v>
      </c>
      <c r="AA112" s="23">
        <f>EXP(-LN(2)/25)*AA111+(1-EXP(-LN(2)/25))/(LN(2)/25)*Calculateur!V112*Calculateur!X112*VLOOKUP('Données projet'!$B$9,Paramètres!$A$1:$I$89,3,0)*0.475*44/12</f>
        <v>1.0388199467545542</v>
      </c>
      <c r="AB112" s="23">
        <f>EXP(-LN(2)/2)*AB111+(1-EXP(-LN(2)/2))/(LN(2)/2)*V112*Y112*VLOOKUP('Données projet'!$B$9,Paramètres!$A$1:$I$89,3,0)*0.475*44/12</f>
        <v>1.8370537825164328E-11</v>
      </c>
      <c r="AC112" s="24">
        <f t="shared" si="57"/>
        <v>2.1476739453024458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-1.6671037883497774E-13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283.28499080043167</v>
      </c>
      <c r="AO112" s="62">
        <f t="shared" si="90"/>
        <v>278.56966286485783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0.40828022437236217</v>
      </c>
      <c r="AV112" s="23">
        <f>EXP(-LN(2)/25)*AV111+(1-EXP(-LN(2)/25))/(LN(2)/25)*Calculateur!AQ112*Calculateur!AS112*VLOOKUP('Données projet'!$B$10,Paramètres!$A$1:$I$89,3,0)*0.475*44/12</f>
        <v>0.9748759451546698</v>
      </c>
      <c r="AW112" s="23">
        <f>EXP(-LN(2)/2)*AW111+(1-EXP(-LN(2)/2))/(LN(2)/2)*AQ112*AT112*VLOOKUP('Données projet'!$B$10,Paramètres!$A$1:$I$89,3,0)*0.475*44/12</f>
        <v>1.6681786050264264E-11</v>
      </c>
      <c r="AX112" s="23">
        <f t="shared" si="60"/>
        <v>1.3831561695437138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-1.8089849618263545E-13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303.91914071195419</v>
      </c>
      <c r="BJ112" s="62">
        <f t="shared" si="92"/>
        <v>298.30050362688769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0.29089592467088238</v>
      </c>
      <c r="BR112" s="23">
        <f>EXP(-LN(2)/2)*BR111+(1-EXP(-LN(2)/2))/(LN(2)/2)*BL112*BO112*VLOOKUP('Données projet'!$B$11,Paramètres!$A$1:$I$89,3,0)*0.475*44/12</f>
        <v>3.273870057978657E-11</v>
      </c>
      <c r="BS112" s="24">
        <f t="shared" si="63"/>
        <v>0.29089592470362108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295.86959999999988</v>
      </c>
      <c r="CA112" s="14">
        <f t="shared" si="93"/>
        <v>70.309875568291218</v>
      </c>
      <c r="CB112" s="22">
        <f t="shared" si="64"/>
        <v>637.76258661477357</v>
      </c>
      <c r="CC112" s="62">
        <f t="shared" si="65"/>
        <v>928.2382372221507</v>
      </c>
      <c r="CD112" s="62">
        <f ca="1">AVERAGE(OFFSET($CC$3,0,0,'Données projet'!$E$12+1,1))-AVERAGE(OFFSET($H$3,0,0,'Données projet'!$E$12+1,1))</f>
        <v>446.15737983598251</v>
      </c>
      <c r="CE112" s="62">
        <f t="shared" si="94"/>
        <v>282.2299715529382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4.4337866711430253E-14</v>
      </c>
      <c r="CV112" s="14">
        <f t="shared" si="95"/>
        <v>7.3222115536967035E-13</v>
      </c>
      <c r="CW112" s="22">
        <f t="shared" si="67"/>
        <v>1.3525069634579169E-12</v>
      </c>
      <c r="CX112" s="62">
        <f t="shared" si="68"/>
        <v>290.47565060737844</v>
      </c>
      <c r="CY112" s="62">
        <f ca="1">AVERAGE(OFFSET($CX$3,0,0,'Données projet'!$E$13+1,1))-AVERAGE(OFFSET($H$3,0,0,'Données projet'!$E$13+1,1))</f>
        <v>293.03320024876842</v>
      </c>
      <c r="CZ112" s="62">
        <f t="shared" si="96"/>
        <v>287.49994652707915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5.2732836684353448E-12</v>
      </c>
      <c r="DI112" s="24">
        <f t="shared" si="69"/>
        <v>5.2732836684353448E-12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-1.7053025658242404E-13</v>
      </c>
      <c r="DP112" s="18">
        <f>DO112*VLOOKUP('Données projet'!$B$14,Paramètres!$A$1:$I$89,3,0)*VLOOKUP('Données projet'!$B$14,Paramètres!$A$1:$I$89,5,0)</f>
        <v>-9.3109520094003535E-14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253.0312006976271</v>
      </c>
      <c r="DU112" s="62">
        <f t="shared" si="98"/>
        <v>365.93937083714866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1.3972972925212612</v>
      </c>
      <c r="EB112" s="23">
        <f>EXP(-LN(2)/25)*EB111+(1-EXP(-LN(2)/25))/(LN(2)/25)*Calculateur!DW112*Calculateur!DY112*VLOOKUP('Données projet'!$B$14,Paramètres!$A$1:$I$89,3,0)*0.475*44/12</f>
        <v>1.0743800026443249</v>
      </c>
      <c r="EC112" s="23">
        <f>EXP(-LN(2)/2)*EC111+(1-EXP(-LN(2)/2))/(LN(2)/2)*DW112*DZ112*VLOOKUP('Données projet'!$B$14,Paramètres!$A$1:$I$89,3,0)*0.475*44/12</f>
        <v>2.2491299706634966E-11</v>
      </c>
      <c r="ED112" s="24">
        <f t="shared" si="72"/>
        <v>2.4716772951880772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1.05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3.85</v>
      </c>
      <c r="H113" s="70">
        <f t="shared" si="56"/>
        <v>241.26666666666665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290.52522501385283</v>
      </c>
      <c r="S113" s="62">
        <f ca="1">AVERAGE(OFFSET($R$3,0,0,'Données projet'!$E$9+1,1))-AVERAGE(OFFSET($H$3,0,0,'Données projet'!$E$9+1,1))</f>
        <v>393.3487617557011</v>
      </c>
      <c r="T113" s="62">
        <f t="shared" si="88"/>
        <v>360.09400083977084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1.087110047952514</v>
      </c>
      <c r="AA113" s="23">
        <f>EXP(-LN(2)/25)*AA112+(1-EXP(-LN(2)/25))/(LN(2)/25)*Calculateur!V113*Calculateur!X113*VLOOKUP('Données projet'!$B$9,Paramètres!$A$1:$I$89,3,0)*0.475*44/12</f>
        <v>1.0104133606813843</v>
      </c>
      <c r="AB113" s="23">
        <f>EXP(-LN(2)/2)*AB112+(1-EXP(-LN(2)/2))/(LN(2)/2)*V113*Y113*VLOOKUP('Données projet'!$B$9,Paramètres!$A$1:$I$89,3,0)*0.475*44/12</f>
        <v>1.2989931870217667E-11</v>
      </c>
      <c r="AC113" s="24">
        <f t="shared" si="57"/>
        <v>2.0975234086468881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-1.6671037883497774E-13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283.28499080043167</v>
      </c>
      <c r="AO113" s="62">
        <f t="shared" si="90"/>
        <v>278.56966286485783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0.40027409819876769</v>
      </c>
      <c r="AV113" s="23">
        <f>EXP(-LN(2)/25)*AV112+(1-EXP(-LN(2)/25))/(LN(2)/25)*Calculateur!AQ113*Calculateur!AS113*VLOOKUP('Données projet'!$B$10,Paramètres!$A$1:$I$89,3,0)*0.475*44/12</f>
        <v>0.94821791116791754</v>
      </c>
      <c r="AW113" s="23">
        <f>EXP(-LN(2)/2)*AW112+(1-EXP(-LN(2)/2))/(LN(2)/2)*AQ113*AT113*VLOOKUP('Données projet'!$B$10,Paramètres!$A$1:$I$89,3,0)*0.475*44/12</f>
        <v>1.1795804038445014E-11</v>
      </c>
      <c r="AX113" s="23">
        <f t="shared" si="60"/>
        <v>1.3484920093784811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-1.8089849618263545E-13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303.91914071195419</v>
      </c>
      <c r="BJ113" s="62">
        <f t="shared" si="92"/>
        <v>298.30050362688769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0.28294136031320527</v>
      </c>
      <c r="BR113" s="23">
        <f>EXP(-LN(2)/2)*BR112+(1-EXP(-LN(2)/2))/(LN(2)/2)*BL113*BO113*VLOOKUP('Données projet'!$B$11,Paramètres!$A$1:$I$89,3,0)*0.475*44/12</f>
        <v>2.3149757187203039E-11</v>
      </c>
      <c r="BS113" s="24">
        <f t="shared" si="63"/>
        <v>0.28294136033635503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300.39359999999988</v>
      </c>
      <c r="CA113" s="14">
        <f t="shared" si="93"/>
        <v>71.258970856492667</v>
      </c>
      <c r="CB113" s="22">
        <f t="shared" si="64"/>
        <v>647.29489424172459</v>
      </c>
      <c r="CC113" s="62">
        <f t="shared" si="65"/>
        <v>937.82011925557549</v>
      </c>
      <c r="CD113" s="62">
        <f ca="1">AVERAGE(OFFSET($CC$3,0,0,'Données projet'!$E$12+1,1))-AVERAGE(OFFSET($H$3,0,0,'Données projet'!$E$12+1,1))</f>
        <v>446.15737983598251</v>
      </c>
      <c r="CE113" s="62">
        <f t="shared" si="94"/>
        <v>282.2299715529382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4.4337866711430253E-14</v>
      </c>
      <c r="CV113" s="14">
        <f t="shared" si="95"/>
        <v>7.3222115536967035E-13</v>
      </c>
      <c r="CW113" s="22">
        <f t="shared" si="67"/>
        <v>1.3525069634579169E-12</v>
      </c>
      <c r="CX113" s="62">
        <f t="shared" si="68"/>
        <v>290.52522501385232</v>
      </c>
      <c r="CY113" s="62">
        <f ca="1">AVERAGE(OFFSET($CX$3,0,0,'Données projet'!$E$13+1,1))-AVERAGE(OFFSET($H$3,0,0,'Données projet'!$E$13+1,1))</f>
        <v>293.03320024876842</v>
      </c>
      <c r="CZ113" s="62">
        <f t="shared" si="96"/>
        <v>287.49994652707915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3.7287746410709059E-12</v>
      </c>
      <c r="DI113" s="24">
        <f t="shared" si="69"/>
        <v>3.7287746410709059E-12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-1.7053025658242404E-13</v>
      </c>
      <c r="DP113" s="18">
        <f>DO113*VLOOKUP('Données projet'!$B$14,Paramètres!$A$1:$I$89,3,0)*VLOOKUP('Données projet'!$B$14,Paramètres!$A$1:$I$89,5,0)</f>
        <v>-9.3109520094003535E-14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253.0312006976271</v>
      </c>
      <c r="DU113" s="62">
        <f t="shared" si="98"/>
        <v>365.93937083714866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1.3698971448821133</v>
      </c>
      <c r="EB113" s="23">
        <f>EXP(-LN(2)/25)*EB112+(1-EXP(-LN(2)/25))/(LN(2)/25)*Calculateur!DW113*Calculateur!DY113*VLOOKUP('Données projet'!$B$14,Paramètres!$A$1:$I$89,3,0)*0.475*44/12</f>
        <v>1.045001024972827</v>
      </c>
      <c r="EC113" s="23">
        <f>EXP(-LN(2)/2)*EC112+(1-EXP(-LN(2)/2))/(LN(2)/2)*DW113*DZ113*VLOOKUP('Données projet'!$B$14,Paramètres!$A$1:$I$89,3,0)*0.475*44/12</f>
        <v>1.5903750540260591E-11</v>
      </c>
      <c r="ED113" s="24">
        <f t="shared" si="72"/>
        <v>2.414898169870844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1.05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3.85</v>
      </c>
      <c r="H114" s="70">
        <f t="shared" si="56"/>
        <v>241.26666666666665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290.57393941520615</v>
      </c>
      <c r="S114" s="62">
        <f ca="1">AVERAGE(OFFSET($R$3,0,0,'Données projet'!$E$9+1,1))-AVERAGE(OFFSET($H$3,0,0,'Données projet'!$E$9+1,1))</f>
        <v>393.3487617557011</v>
      </c>
      <c r="T114" s="62">
        <f t="shared" si="88"/>
        <v>360.09400083977084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1.0657924829838215</v>
      </c>
      <c r="AA114" s="23">
        <f>EXP(-LN(2)/25)*AA113+(1-EXP(-LN(2)/25))/(LN(2)/25)*Calculateur!V114*Calculateur!X114*VLOOKUP('Données projet'!$B$9,Paramètres!$A$1:$I$89,3,0)*0.475*44/12</f>
        <v>0.98278355419822261</v>
      </c>
      <c r="AB114" s="23">
        <f>EXP(-LN(2)/2)*AB113+(1-EXP(-LN(2)/2))/(LN(2)/2)*V114*Y114*VLOOKUP('Données projet'!$B$9,Paramètres!$A$1:$I$89,3,0)*0.475*44/12</f>
        <v>9.1852689125821638E-12</v>
      </c>
      <c r="AC114" s="24">
        <f t="shared" si="57"/>
        <v>2.0485760371912289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-1.6671037883497774E-13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283.28499080043167</v>
      </c>
      <c r="AO114" s="62">
        <f t="shared" si="90"/>
        <v>278.56966286485783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0.39242496727618265</v>
      </c>
      <c r="AV114" s="23">
        <f>EXP(-LN(2)/25)*AV113+(1-EXP(-LN(2)/25))/(LN(2)/25)*Calculateur!AQ114*Calculateur!AS114*VLOOKUP('Données projet'!$B$10,Paramètres!$A$1:$I$89,3,0)*0.475*44/12</f>
        <v>0.92228884252241805</v>
      </c>
      <c r="AW114" s="23">
        <f>EXP(-LN(2)/2)*AW113+(1-EXP(-LN(2)/2))/(LN(2)/2)*AQ114*AT114*VLOOKUP('Données projet'!$B$10,Paramètres!$A$1:$I$89,3,0)*0.475*44/12</f>
        <v>8.3408930251321322E-12</v>
      </c>
      <c r="AX114" s="23">
        <f t="shared" si="60"/>
        <v>1.3147138098069415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-1.8089849618263545E-13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303.91914071195419</v>
      </c>
      <c r="BJ114" s="62">
        <f t="shared" si="92"/>
        <v>298.30050362688769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0.27520431393620121</v>
      </c>
      <c r="BR114" s="23">
        <f>EXP(-LN(2)/2)*BR113+(1-EXP(-LN(2)/2))/(LN(2)/2)*BL114*BO114*VLOOKUP('Données projet'!$B$11,Paramètres!$A$1:$I$89,3,0)*0.475*44/12</f>
        <v>1.6369350289893285E-11</v>
      </c>
      <c r="BS114" s="24">
        <f t="shared" si="63"/>
        <v>0.27520431395257056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281.93567999999988</v>
      </c>
      <c r="CA114" s="14">
        <f t="shared" si="93"/>
        <v>67.375909546040361</v>
      </c>
      <c r="CB114" s="22">
        <f t="shared" si="64"/>
        <v>608.38435179268674</v>
      </c>
      <c r="CC114" s="62">
        <f t="shared" si="65"/>
        <v>898.95829120789108</v>
      </c>
      <c r="CD114" s="62">
        <f ca="1">AVERAGE(OFFSET($CC$3,0,0,'Données projet'!$E$12+1,1))-AVERAGE(OFFSET($H$3,0,0,'Données projet'!$E$12+1,1))</f>
        <v>446.15737983598251</v>
      </c>
      <c r="CE114" s="62">
        <f t="shared" si="94"/>
        <v>282.2299715529382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4.4337866711430253E-14</v>
      </c>
      <c r="CV114" s="14">
        <f t="shared" si="95"/>
        <v>7.3222115536967035E-13</v>
      </c>
      <c r="CW114" s="22">
        <f t="shared" si="67"/>
        <v>1.3525069634579169E-12</v>
      </c>
      <c r="CX114" s="62">
        <f t="shared" si="68"/>
        <v>290.57393941520564</v>
      </c>
      <c r="CY114" s="62">
        <f ca="1">AVERAGE(OFFSET($CX$3,0,0,'Données projet'!$E$13+1,1))-AVERAGE(OFFSET($H$3,0,0,'Données projet'!$E$13+1,1))</f>
        <v>293.03320024876842</v>
      </c>
      <c r="CZ114" s="62">
        <f t="shared" si="96"/>
        <v>287.49994652707915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2.6366418342176724E-12</v>
      </c>
      <c r="DI114" s="24">
        <f t="shared" si="69"/>
        <v>2.6366418342176724E-12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-1.7053025658242404E-13</v>
      </c>
      <c r="DP114" s="18">
        <f>DO114*VLOOKUP('Données projet'!$B$14,Paramètres!$A$1:$I$89,3,0)*VLOOKUP('Données projet'!$B$14,Paramètres!$A$1:$I$89,5,0)</f>
        <v>-9.3109520094003535E-14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253.0312006976271</v>
      </c>
      <c r="DU114" s="62">
        <f t="shared" si="98"/>
        <v>365.93937083714866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1.3430342974257292</v>
      </c>
      <c r="EB114" s="23">
        <f>EXP(-LN(2)/25)*EB113+(1-EXP(-LN(2)/25))/(LN(2)/25)*Calculateur!DW114*Calculateur!DY114*VLOOKUP('Données projet'!$B$14,Paramètres!$A$1:$I$89,3,0)*0.475*44/12</f>
        <v>1.0164254169907294</v>
      </c>
      <c r="EC114" s="23">
        <f>EXP(-LN(2)/2)*EC113+(1-EXP(-LN(2)/2))/(LN(2)/2)*DW114*DZ114*VLOOKUP('Données projet'!$B$14,Paramètres!$A$1:$I$89,3,0)*0.475*44/12</f>
        <v>1.1245649853317483E-11</v>
      </c>
      <c r="ED114" s="24">
        <f t="shared" si="72"/>
        <v>2.3594597144277043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1.05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3.85</v>
      </c>
      <c r="H115" s="70">
        <f t="shared" si="56"/>
        <v>241.26666666666665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290.6218087306051</v>
      </c>
      <c r="S115" s="62">
        <f ca="1">AVERAGE(OFFSET($R$3,0,0,'Données projet'!$E$9+1,1))-AVERAGE(OFFSET($H$3,0,0,'Données projet'!$E$9+1,1))</f>
        <v>393.3487617557011</v>
      </c>
      <c r="T115" s="62">
        <f t="shared" si="88"/>
        <v>360.09400083977084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1.0448929424617344</v>
      </c>
      <c r="AA115" s="23">
        <f>EXP(-LN(2)/25)*AA114+(1-EXP(-LN(2)/25))/(LN(2)/25)*Calculateur!V115*Calculateur!X115*VLOOKUP('Données projet'!$B$9,Paramètres!$A$1:$I$89,3,0)*0.475*44/12</f>
        <v>0.95590928622633131</v>
      </c>
      <c r="AB115" s="23">
        <f>EXP(-LN(2)/2)*AB114+(1-EXP(-LN(2)/2))/(LN(2)/2)*V115*Y115*VLOOKUP('Données projet'!$B$9,Paramètres!$A$1:$I$89,3,0)*0.475*44/12</f>
        <v>6.4949659351088335E-12</v>
      </c>
      <c r="AC115" s="24">
        <f t="shared" si="57"/>
        <v>2.0008022286945604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-1.6671037883497774E-13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283.28499080043167</v>
      </c>
      <c r="AO115" s="62">
        <f t="shared" si="90"/>
        <v>278.56966286485783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0.38472975302349233</v>
      </c>
      <c r="AV115" s="23">
        <f>EXP(-LN(2)/25)*AV114+(1-EXP(-LN(2)/25))/(LN(2)/25)*Calculateur!AQ115*Calculateur!AS115*VLOOKUP('Données projet'!$B$10,Paramètres!$A$1:$I$89,3,0)*0.475*44/12</f>
        <v>0.89706880562258018</v>
      </c>
      <c r="AW115" s="23">
        <f>EXP(-LN(2)/2)*AW114+(1-EXP(-LN(2)/2))/(LN(2)/2)*AQ115*AT115*VLOOKUP('Données projet'!$B$10,Paramètres!$A$1:$I$89,3,0)*0.475*44/12</f>
        <v>5.897902019222507E-12</v>
      </c>
      <c r="AX115" s="23">
        <f t="shared" si="60"/>
        <v>1.2817985586519705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-1.8089849618263545E-13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303.91914071195419</v>
      </c>
      <c r="BJ115" s="62">
        <f t="shared" si="92"/>
        <v>298.30050362688769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0.26767883749924992</v>
      </c>
      <c r="BR115" s="23">
        <f>EXP(-LN(2)/2)*BR114+(1-EXP(-LN(2)/2))/(LN(2)/2)*BL115*BO115*VLOOKUP('Données projet'!$B$11,Paramètres!$A$1:$I$89,3,0)*0.475*44/12</f>
        <v>1.1574878593601519E-11</v>
      </c>
      <c r="BS115" s="24">
        <f t="shared" si="63"/>
        <v>0.26767883751082477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286.09775999999994</v>
      </c>
      <c r="CA115" s="14">
        <f t="shared" si="93"/>
        <v>68.254020651723678</v>
      </c>
      <c r="CB115" s="22">
        <f t="shared" si="64"/>
        <v>617.16268463508527</v>
      </c>
      <c r="CC115" s="62">
        <f t="shared" si="65"/>
        <v>907.78449336568849</v>
      </c>
      <c r="CD115" s="62">
        <f ca="1">AVERAGE(OFFSET($CC$3,0,0,'Données projet'!$E$12+1,1))-AVERAGE(OFFSET($H$3,0,0,'Données projet'!$E$12+1,1))</f>
        <v>446.15737983598251</v>
      </c>
      <c r="CE115" s="62">
        <f t="shared" si="94"/>
        <v>282.2299715529382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4.4337866711430253E-14</v>
      </c>
      <c r="CV115" s="14">
        <f t="shared" si="95"/>
        <v>7.3222115536967035E-13</v>
      </c>
      <c r="CW115" s="22">
        <f t="shared" si="67"/>
        <v>1.3525069634579169E-12</v>
      </c>
      <c r="CX115" s="62">
        <f t="shared" si="68"/>
        <v>290.62180873060458</v>
      </c>
      <c r="CY115" s="62">
        <f ca="1">AVERAGE(OFFSET($CX$3,0,0,'Données projet'!$E$13+1,1))-AVERAGE(OFFSET($H$3,0,0,'Données projet'!$E$13+1,1))</f>
        <v>293.03320024876842</v>
      </c>
      <c r="CZ115" s="62">
        <f t="shared" si="96"/>
        <v>287.49994652707915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1.864387320535453E-12</v>
      </c>
      <c r="DI115" s="24">
        <f t="shared" si="69"/>
        <v>1.864387320535453E-12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-1.7053025658242404E-13</v>
      </c>
      <c r="DP115" s="18">
        <f>DO115*VLOOKUP('Données projet'!$B$14,Paramètres!$A$1:$I$89,3,0)*VLOOKUP('Données projet'!$B$14,Paramètres!$A$1:$I$89,5,0)</f>
        <v>-9.3109520094003535E-14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253.0312006976271</v>
      </c>
      <c r="DU115" s="62">
        <f t="shared" si="98"/>
        <v>365.93937083714866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1.3166982140232457</v>
      </c>
      <c r="EB115" s="23">
        <f>EXP(-LN(2)/25)*EB114+(1-EXP(-LN(2)/25))/(LN(2)/25)*Calculateur!DW115*Calculateur!DY115*VLOOKUP('Données projet'!$B$14,Paramètres!$A$1:$I$89,3,0)*0.475*44/12</f>
        <v>0.98863121051162828</v>
      </c>
      <c r="EC115" s="23">
        <f>EXP(-LN(2)/2)*EC114+(1-EXP(-LN(2)/2))/(LN(2)/2)*DW115*DZ115*VLOOKUP('Données projet'!$B$14,Paramètres!$A$1:$I$89,3,0)*0.475*44/12</f>
        <v>7.9518752701302956E-12</v>
      </c>
      <c r="ED115" s="24">
        <f t="shared" si="72"/>
        <v>2.3053294245428257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1.05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3.85</v>
      </c>
      <c r="H116" s="70">
        <f t="shared" si="56"/>
        <v>241.26666666666665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290.66884762040161</v>
      </c>
      <c r="S116" s="62">
        <f ca="1">AVERAGE(OFFSET($R$3,0,0,'Données projet'!$E$9+1,1))-AVERAGE(OFFSET($H$3,0,0,'Données projet'!$E$9+1,1))</f>
        <v>393.3487617557011</v>
      </c>
      <c r="T116" s="62">
        <f t="shared" si="88"/>
        <v>360.09400083977084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1.0244032291818244</v>
      </c>
      <c r="AA116" s="23">
        <f>EXP(-LN(2)/25)*AA115+(1-EXP(-LN(2)/25))/(LN(2)/25)*Calculateur!V116*Calculateur!X116*VLOOKUP('Données projet'!$B$9,Paramètres!$A$1:$I$89,3,0)*0.475*44/12</f>
        <v>0.92976989652538766</v>
      </c>
      <c r="AB116" s="23">
        <f>EXP(-LN(2)/2)*AB115+(1-EXP(-LN(2)/2))/(LN(2)/2)*V116*Y116*VLOOKUP('Données projet'!$B$9,Paramètres!$A$1:$I$89,3,0)*0.475*44/12</f>
        <v>4.5926344562910819E-12</v>
      </c>
      <c r="AC116" s="24">
        <f t="shared" si="57"/>
        <v>1.9541731257118047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-1.6671037883497774E-13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283.28499080043167</v>
      </c>
      <c r="AO116" s="62">
        <f t="shared" si="90"/>
        <v>278.56966286485783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0.37718543722868003</v>
      </c>
      <c r="AV116" s="23">
        <f>EXP(-LN(2)/25)*AV115+(1-EXP(-LN(2)/25))/(LN(2)/25)*Calculateur!AQ116*Calculateur!AS116*VLOOKUP('Données projet'!$B$10,Paramètres!$A$1:$I$89,3,0)*0.475*44/12</f>
        <v>0.8725384119580325</v>
      </c>
      <c r="AW116" s="23">
        <f>EXP(-LN(2)/2)*AW115+(1-EXP(-LN(2)/2))/(LN(2)/2)*AQ116*AT116*VLOOKUP('Données projet'!$B$10,Paramètres!$A$1:$I$89,3,0)*0.475*44/12</f>
        <v>4.1704465125660661E-12</v>
      </c>
      <c r="AX116" s="23">
        <f t="shared" si="60"/>
        <v>1.2497238491908829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-1.8089849618263545E-13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303.91914071195419</v>
      </c>
      <c r="BJ116" s="62">
        <f t="shared" si="92"/>
        <v>298.30050362688769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0.26035914561121465</v>
      </c>
      <c r="BR116" s="23">
        <f>EXP(-LN(2)/2)*BR115+(1-EXP(-LN(2)/2))/(LN(2)/2)*BL116*BO116*VLOOKUP('Données projet'!$B$11,Paramètres!$A$1:$I$89,3,0)*0.475*44/12</f>
        <v>8.1846751449466424E-12</v>
      </c>
      <c r="BS116" s="24">
        <f t="shared" si="63"/>
        <v>0.26035914561939932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290.25983999999994</v>
      </c>
      <c r="CA116" s="14">
        <f t="shared" si="93"/>
        <v>69.130646003237317</v>
      </c>
      <c r="CB116" s="22">
        <f t="shared" si="64"/>
        <v>625.93842978897146</v>
      </c>
      <c r="CC116" s="62">
        <f t="shared" si="65"/>
        <v>916.60727740937114</v>
      </c>
      <c r="CD116" s="62">
        <f ca="1">AVERAGE(OFFSET($CC$3,0,0,'Données projet'!$E$12+1,1))-AVERAGE(OFFSET($H$3,0,0,'Données projet'!$E$12+1,1))</f>
        <v>446.15737983598251</v>
      </c>
      <c r="CE116" s="62">
        <f t="shared" si="94"/>
        <v>282.2299715529382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4.4337866711430253E-14</v>
      </c>
      <c r="CV116" s="14">
        <f t="shared" si="95"/>
        <v>7.3222115536967035E-13</v>
      </c>
      <c r="CW116" s="22">
        <f t="shared" si="67"/>
        <v>1.3525069634579169E-12</v>
      </c>
      <c r="CX116" s="62">
        <f t="shared" si="68"/>
        <v>290.6688476204011</v>
      </c>
      <c r="CY116" s="62">
        <f ca="1">AVERAGE(OFFSET($CX$3,0,0,'Données projet'!$E$13+1,1))-AVERAGE(OFFSET($H$3,0,0,'Données projet'!$E$13+1,1))</f>
        <v>293.03320024876842</v>
      </c>
      <c r="CZ116" s="62">
        <f t="shared" si="96"/>
        <v>287.49994652707915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1.3183209171088362E-12</v>
      </c>
      <c r="DI116" s="24">
        <f t="shared" si="69"/>
        <v>1.3183209171088362E-12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-1.7053025658242404E-13</v>
      </c>
      <c r="DP116" s="18">
        <f>DO116*VLOOKUP('Données projet'!$B$14,Paramètres!$A$1:$I$89,3,0)*VLOOKUP('Données projet'!$B$14,Paramètres!$A$1:$I$89,5,0)</f>
        <v>-9.3109520094003535E-14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253.0312006976271</v>
      </c>
      <c r="DU116" s="62">
        <f t="shared" si="98"/>
        <v>365.93937083714866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1.2908785651528603</v>
      </c>
      <c r="EB116" s="23">
        <f>EXP(-LN(2)/25)*EB115+(1-EXP(-LN(2)/25))/(LN(2)/25)*Calculateur!DW116*Calculateur!DY116*VLOOKUP('Données projet'!$B$14,Paramètres!$A$1:$I$89,3,0)*0.475*44/12</f>
        <v>0.96159703807033203</v>
      </c>
      <c r="EC116" s="23">
        <f>EXP(-LN(2)/2)*EC115+(1-EXP(-LN(2)/2))/(LN(2)/2)*DW116*DZ116*VLOOKUP('Données projet'!$B$14,Paramètres!$A$1:$I$89,3,0)*0.475*44/12</f>
        <v>5.6228249266587416E-12</v>
      </c>
      <c r="ED116" s="24">
        <f t="shared" si="72"/>
        <v>2.2524756032288149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1.05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3.85</v>
      </c>
      <c r="H117" s="70">
        <f t="shared" si="56"/>
        <v>241.26666666666665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290.71507049062336</v>
      </c>
      <c r="S117" s="62">
        <f ca="1">AVERAGE(OFFSET($R$3,0,0,'Données projet'!$E$9+1,1))-AVERAGE(OFFSET($H$3,0,0,'Données projet'!$E$9+1,1))</f>
        <v>393.3487617557011</v>
      </c>
      <c r="T117" s="62">
        <f t="shared" si="88"/>
        <v>360.09400083977084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1.0043153066818422</v>
      </c>
      <c r="AA117" s="23">
        <f>EXP(-LN(2)/25)*AA116+(1-EXP(-LN(2)/25))/(LN(2)/25)*Calculateur!V117*Calculateur!X117*VLOOKUP('Données projet'!$B$9,Paramètres!$A$1:$I$89,3,0)*0.475*44/12</f>
        <v>0.90434528981042706</v>
      </c>
      <c r="AB117" s="23">
        <f>EXP(-LN(2)/2)*AB116+(1-EXP(-LN(2)/2))/(LN(2)/2)*V117*Y117*VLOOKUP('Données projet'!$B$9,Paramètres!$A$1:$I$89,3,0)*0.475*44/12</f>
        <v>3.2474829675544168E-12</v>
      </c>
      <c r="AC117" s="24">
        <f t="shared" si="57"/>
        <v>1.9086605964955166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-1.6671037883497774E-13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283.28499080043167</v>
      </c>
      <c r="AO117" s="62">
        <f t="shared" si="90"/>
        <v>278.56966286485783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0.36978906086502572</v>
      </c>
      <c r="AV117" s="23">
        <f>EXP(-LN(2)/25)*AV116+(1-EXP(-LN(2)/25))/(LN(2)/25)*Calculateur!AQ117*Calculateur!AS117*VLOOKUP('Données projet'!$B$10,Paramètres!$A$1:$I$89,3,0)*0.475*44/12</f>
        <v>0.84867880319823918</v>
      </c>
      <c r="AW117" s="23">
        <f>EXP(-LN(2)/2)*AW116+(1-EXP(-LN(2)/2))/(LN(2)/2)*AQ117*AT117*VLOOKUP('Données projet'!$B$10,Paramètres!$A$1:$I$89,3,0)*0.475*44/12</f>
        <v>2.9489510096112535E-12</v>
      </c>
      <c r="AX117" s="23">
        <f t="shared" si="60"/>
        <v>1.2184678640662139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-1.8089849618263545E-13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303.91914071195419</v>
      </c>
      <c r="BJ117" s="62">
        <f t="shared" si="92"/>
        <v>298.30050362688769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0.25323961108278359</v>
      </c>
      <c r="BR117" s="23">
        <f>EXP(-LN(2)/2)*BR116+(1-EXP(-LN(2)/2))/(LN(2)/2)*BL117*BO117*VLOOKUP('Données projet'!$B$11,Paramètres!$A$1:$I$89,3,0)*0.475*44/12</f>
        <v>5.7874392968007597E-12</v>
      </c>
      <c r="BS117" s="24">
        <f t="shared" si="63"/>
        <v>0.25323961108857101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294.42191999999994</v>
      </c>
      <c r="CA117" s="14">
        <f t="shared" si="93"/>
        <v>70.005809366676559</v>
      </c>
      <c r="CB117" s="22">
        <f t="shared" si="64"/>
        <v>634.71162864696146</v>
      </c>
      <c r="CC117" s="62">
        <f t="shared" si="65"/>
        <v>925.426699137583</v>
      </c>
      <c r="CD117" s="62">
        <f ca="1">AVERAGE(OFFSET($CC$3,0,0,'Données projet'!$E$12+1,1))-AVERAGE(OFFSET($H$3,0,0,'Données projet'!$E$12+1,1))</f>
        <v>446.15737983598251</v>
      </c>
      <c r="CE117" s="62">
        <f t="shared" si="94"/>
        <v>282.2299715529382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4.4337866711430253E-14</v>
      </c>
      <c r="CV117" s="14">
        <f t="shared" si="95"/>
        <v>7.3222115536967035E-13</v>
      </c>
      <c r="CW117" s="22">
        <f t="shared" si="67"/>
        <v>1.3525069634579169E-12</v>
      </c>
      <c r="CX117" s="62">
        <f t="shared" si="68"/>
        <v>290.71507049062285</v>
      </c>
      <c r="CY117" s="62">
        <f ca="1">AVERAGE(OFFSET($CX$3,0,0,'Données projet'!$E$13+1,1))-AVERAGE(OFFSET($H$3,0,0,'Données projet'!$E$13+1,1))</f>
        <v>293.03320024876842</v>
      </c>
      <c r="CZ117" s="62">
        <f t="shared" si="96"/>
        <v>287.49994652707915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9.3219366026772648E-13</v>
      </c>
      <c r="DI117" s="24">
        <f t="shared" si="69"/>
        <v>9.3219366026772648E-13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-1.7053025658242404E-13</v>
      </c>
      <c r="DP117" s="18">
        <f>DO117*VLOOKUP('Données projet'!$B$14,Paramètres!$A$1:$I$89,3,0)*VLOOKUP('Données projet'!$B$14,Paramètres!$A$1:$I$89,5,0)</f>
        <v>-9.3109520094003535E-14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253.0312006976271</v>
      </c>
      <c r="DU117" s="62">
        <f t="shared" si="98"/>
        <v>365.93937083714866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1.2655652238483923</v>
      </c>
      <c r="EB117" s="23">
        <f>EXP(-LN(2)/25)*EB116+(1-EXP(-LN(2)/25))/(LN(2)/25)*Calculateur!DW117*Calculateur!DY117*VLOOKUP('Données projet'!$B$14,Paramètres!$A$1:$I$89,3,0)*0.475*44/12</f>
        <v>0.93530211649610828</v>
      </c>
      <c r="EC117" s="23">
        <f>EXP(-LN(2)/2)*EC116+(1-EXP(-LN(2)/2))/(LN(2)/2)*DW117*DZ117*VLOOKUP('Données projet'!$B$14,Paramètres!$A$1:$I$89,3,0)*0.475*44/12</f>
        <v>3.9759376350651478E-12</v>
      </c>
      <c r="ED117" s="24">
        <f t="shared" si="72"/>
        <v>2.2008673403484766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1.05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3.85</v>
      </c>
      <c r="H118" s="70">
        <f t="shared" si="56"/>
        <v>241.26666666666665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290.76049149738566</v>
      </c>
      <c r="S118" s="62">
        <f ca="1">AVERAGE(OFFSET($R$3,0,0,'Données projet'!$E$9+1,1))-AVERAGE(OFFSET($H$3,0,0,'Données projet'!$E$9+1,1))</f>
        <v>393.3487617557011</v>
      </c>
      <c r="T118" s="62">
        <f t="shared" si="88"/>
        <v>360.09400083977084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0.98462129608966187</v>
      </c>
      <c r="AA118" s="23">
        <f>EXP(-LN(2)/25)*AA117+(1-EXP(-LN(2)/25))/(LN(2)/25)*Calculateur!V118*Calculateur!X118*VLOOKUP('Données projet'!$B$9,Paramètres!$A$1:$I$89,3,0)*0.475*44/12</f>
        <v>0.87961592030310909</v>
      </c>
      <c r="AB118" s="23">
        <f>EXP(-LN(2)/2)*AB117+(1-EXP(-LN(2)/2))/(LN(2)/2)*V118*Y118*VLOOKUP('Données projet'!$B$9,Paramètres!$A$1:$I$89,3,0)*0.475*44/12</f>
        <v>2.2963172281455409E-12</v>
      </c>
      <c r="AC118" s="24">
        <f t="shared" si="57"/>
        <v>1.8642372163950673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-1.6671037883497774E-13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283.28499080043167</v>
      </c>
      <c r="AO118" s="62">
        <f t="shared" si="90"/>
        <v>278.56966286485783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0.36253772293051856</v>
      </c>
      <c r="AV118" s="23">
        <f>EXP(-LN(2)/25)*AV117+(1-EXP(-LN(2)/25))/(LN(2)/25)*Calculateur!AQ118*Calculateur!AS118*VLOOKUP('Données projet'!$B$10,Paramètres!$A$1:$I$89,3,0)*0.475*44/12</f>
        <v>0.8254716366947048</v>
      </c>
      <c r="AW118" s="23">
        <f>EXP(-LN(2)/2)*AW117+(1-EXP(-LN(2)/2))/(LN(2)/2)*AQ118*AT118*VLOOKUP('Données projet'!$B$10,Paramètres!$A$1:$I$89,3,0)*0.475*44/12</f>
        <v>2.085223256283033E-12</v>
      </c>
      <c r="AX118" s="23">
        <f t="shared" si="60"/>
        <v>1.1880093596273087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-1.8089849618263545E-13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303.91914071195419</v>
      </c>
      <c r="BJ118" s="62">
        <f t="shared" si="92"/>
        <v>298.30050362688769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0.2463147606004325</v>
      </c>
      <c r="BR118" s="23">
        <f>EXP(-LN(2)/2)*BR117+(1-EXP(-LN(2)/2))/(LN(2)/2)*BL118*BO118*VLOOKUP('Données projet'!$B$11,Paramètres!$A$1:$I$89,3,0)*0.475*44/12</f>
        <v>4.0923375724733212E-12</v>
      </c>
      <c r="BS118" s="24">
        <f t="shared" si="63"/>
        <v>0.24631476060452484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298.58399999999995</v>
      </c>
      <c r="CA118" s="14">
        <f t="shared" si="93"/>
        <v>70.879533797607607</v>
      </c>
      <c r="CB118" s="22">
        <f t="shared" si="64"/>
        <v>643.48232136416652</v>
      </c>
      <c r="CC118" s="62">
        <f t="shared" si="65"/>
        <v>934.24281286155031</v>
      </c>
      <c r="CD118" s="62">
        <f ca="1">AVERAGE(OFFSET($CC$3,0,0,'Données projet'!$E$12+1,1))-AVERAGE(OFFSET($H$3,0,0,'Données projet'!$E$12+1,1))</f>
        <v>446.15737983598251</v>
      </c>
      <c r="CE118" s="62">
        <f t="shared" si="94"/>
        <v>282.2299715529382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4.4337866711430253E-14</v>
      </c>
      <c r="CV118" s="14">
        <f t="shared" si="95"/>
        <v>7.3222115536967035E-13</v>
      </c>
      <c r="CW118" s="22">
        <f t="shared" si="67"/>
        <v>1.3525069634579169E-12</v>
      </c>
      <c r="CX118" s="62">
        <f t="shared" si="68"/>
        <v>290.76049149738515</v>
      </c>
      <c r="CY118" s="62">
        <f ca="1">AVERAGE(OFFSET($CX$3,0,0,'Données projet'!$E$13+1,1))-AVERAGE(OFFSET($H$3,0,0,'Données projet'!$E$13+1,1))</f>
        <v>293.03320024876842</v>
      </c>
      <c r="CZ118" s="62">
        <f t="shared" si="96"/>
        <v>287.49994652707915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6.591604585544181E-13</v>
      </c>
      <c r="DI118" s="24">
        <f t="shared" si="69"/>
        <v>6.591604585544181E-13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-1.7053025658242404E-13</v>
      </c>
      <c r="DP118" s="18">
        <f>DO118*VLOOKUP('Données projet'!$B$14,Paramètres!$A$1:$I$89,3,0)*VLOOKUP('Données projet'!$B$14,Paramètres!$A$1:$I$89,5,0)</f>
        <v>-9.3109520094003535E-14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253.0312006976271</v>
      </c>
      <c r="DU118" s="62">
        <f t="shared" si="98"/>
        <v>365.93937083714866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1.2407482617272914</v>
      </c>
      <c r="EB118" s="23">
        <f>EXP(-LN(2)/25)*EB117+(1-EXP(-LN(2)/25))/(LN(2)/25)*Calculateur!DW118*Calculateur!DY118*VLOOKUP('Données projet'!$B$14,Paramètres!$A$1:$I$89,3,0)*0.475*44/12</f>
        <v>0.9097262309351215</v>
      </c>
      <c r="EC118" s="23">
        <f>EXP(-LN(2)/2)*EC117+(1-EXP(-LN(2)/2))/(LN(2)/2)*DW118*DZ118*VLOOKUP('Données projet'!$B$14,Paramètres!$A$1:$I$89,3,0)*0.475*44/12</f>
        <v>2.8114124633293708E-12</v>
      </c>
      <c r="ED118" s="24">
        <f t="shared" si="72"/>
        <v>2.1504744926652246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1.05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3.85</v>
      </c>
      <c r="H119" s="70">
        <f t="shared" si="56"/>
        <v>241.26666666666665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290.80512455122675</v>
      </c>
      <c r="S119" s="62">
        <f ca="1">AVERAGE(OFFSET($R$3,0,0,'Données projet'!$E$9+1,1))-AVERAGE(OFFSET($H$3,0,0,'Données projet'!$E$9+1,1))</f>
        <v>393.3487617557011</v>
      </c>
      <c r="T119" s="62">
        <f t="shared" si="88"/>
        <v>360.09400083977084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0.96531347303303383</v>
      </c>
      <c r="AA119" s="23">
        <f>EXP(-LN(2)/25)*AA118+(1-EXP(-LN(2)/25))/(LN(2)/25)*Calculateur!V119*Calculateur!X119*VLOOKUP('Données projet'!$B$9,Paramètres!$A$1:$I$89,3,0)*0.475*44/12</f>
        <v>0.85556277670542968</v>
      </c>
      <c r="AB119" s="23">
        <f>EXP(-LN(2)/2)*AB118+(1-EXP(-LN(2)/2))/(LN(2)/2)*V119*Y119*VLOOKUP('Données projet'!$B$9,Paramètres!$A$1:$I$89,3,0)*0.475*44/12</f>
        <v>1.6237414837772084E-12</v>
      </c>
      <c r="AC119" s="24">
        <f t="shared" si="57"/>
        <v>1.8208762497400872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-1.6671037883497774E-13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283.28499080043167</v>
      </c>
      <c r="AO119" s="62">
        <f t="shared" si="90"/>
        <v>278.56966286485783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0.35542857931002769</v>
      </c>
      <c r="AV119" s="23">
        <f>EXP(-LN(2)/25)*AV118+(1-EXP(-LN(2)/25))/(LN(2)/25)*Calculateur!AQ119*Calculateur!AS119*VLOOKUP('Données projet'!$B$10,Paramètres!$A$1:$I$89,3,0)*0.475*44/12</f>
        <v>0.80289907137962135</v>
      </c>
      <c r="AW119" s="23">
        <f>EXP(-LN(2)/2)*AW118+(1-EXP(-LN(2)/2))/(LN(2)/2)*AQ119*AT119*VLOOKUP('Données projet'!$B$10,Paramètres!$A$1:$I$89,3,0)*0.475*44/12</f>
        <v>1.4744755048056268E-12</v>
      </c>
      <c r="AX119" s="23">
        <f t="shared" si="60"/>
        <v>1.1583276506911235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-1.8089849618263545E-13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303.91914071195419</v>
      </c>
      <c r="BJ119" s="62">
        <f t="shared" si="92"/>
        <v>298.30050362688769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0.23957927051868338</v>
      </c>
      <c r="BR119" s="23">
        <f>EXP(-LN(2)/2)*BR118+(1-EXP(-LN(2)/2))/(LN(2)/2)*BL119*BO119*VLOOKUP('Données projet'!$B$11,Paramètres!$A$1:$I$89,3,0)*0.475*44/12</f>
        <v>2.8937196484003798E-12</v>
      </c>
      <c r="BS119" s="24">
        <f t="shared" si="63"/>
        <v>0.2395792705215771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446.15737983598251</v>
      </c>
      <c r="CE119" s="62">
        <f t="shared" si="94"/>
        <v>282.2299715529382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4.4337866711430253E-14</v>
      </c>
      <c r="CV119" s="14">
        <f t="shared" si="95"/>
        <v>7.3222115536967035E-13</v>
      </c>
      <c r="CW119" s="22">
        <f t="shared" si="67"/>
        <v>1.3525069634579169E-12</v>
      </c>
      <c r="CX119" s="62">
        <f t="shared" si="68"/>
        <v>290.80512455122624</v>
      </c>
      <c r="CY119" s="62">
        <f ca="1">AVERAGE(OFFSET($CX$3,0,0,'Données projet'!$E$13+1,1))-AVERAGE(OFFSET($H$3,0,0,'Données projet'!$E$13+1,1))</f>
        <v>293.03320024876842</v>
      </c>
      <c r="CZ119" s="62">
        <f t="shared" si="96"/>
        <v>287.49994652707915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4.6609683013386324E-13</v>
      </c>
      <c r="DI119" s="24">
        <f t="shared" si="69"/>
        <v>4.6609683013386324E-13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-1.7053025658242404E-13</v>
      </c>
      <c r="DP119" s="18">
        <f>DO119*VLOOKUP('Données projet'!$B$14,Paramètres!$A$1:$I$89,3,0)*VLOOKUP('Données projet'!$B$14,Paramètres!$A$1:$I$89,5,0)</f>
        <v>-9.3109520094003535E-14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253.0312006976271</v>
      </c>
      <c r="DU119" s="62">
        <f t="shared" si="98"/>
        <v>365.93937083714866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1.2164179450965329</v>
      </c>
      <c r="EB119" s="23">
        <f>EXP(-LN(2)/25)*EB118+(1-EXP(-LN(2)/25))/(LN(2)/25)*Calculateur!DW119*Calculateur!DY119*VLOOKUP('Données projet'!$B$14,Paramètres!$A$1:$I$89,3,0)*0.475*44/12</f>
        <v>0.88484971930977729</v>
      </c>
      <c r="EC119" s="23">
        <f>EXP(-LN(2)/2)*EC118+(1-EXP(-LN(2)/2))/(LN(2)/2)*DW119*DZ119*VLOOKUP('Données projet'!$B$14,Paramètres!$A$1:$I$89,3,0)*0.475*44/12</f>
        <v>1.9879688175325739E-12</v>
      </c>
      <c r="ED119" s="24">
        <f t="shared" si="72"/>
        <v>2.1012676644082986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1.05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3.85</v>
      </c>
      <c r="H120" s="70">
        <f t="shared" si="56"/>
        <v>241.26666666666665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290.84898332136822</v>
      </c>
      <c r="S120" s="62">
        <f ca="1">AVERAGE(OFFSET($R$3,0,0,'Données projet'!$E$9+1,1))-AVERAGE(OFFSET($H$3,0,0,'Données projet'!$E$9+1,1))</f>
        <v>393.3487617557011</v>
      </c>
      <c r="T120" s="62">
        <f t="shared" si="88"/>
        <v>360.09400083977084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0.94638426460993708</v>
      </c>
      <c r="AA120" s="23">
        <f>EXP(-LN(2)/25)*AA119+(1-EXP(-LN(2)/25))/(LN(2)/25)*Calculateur!V120*Calculateur!X120*VLOOKUP('Données projet'!$B$9,Paramètres!$A$1:$I$89,3,0)*0.475*44/12</f>
        <v>0.83216736758432874</v>
      </c>
      <c r="AB120" s="23">
        <f>EXP(-LN(2)/2)*AB119+(1-EXP(-LN(2)/2))/(LN(2)/2)*V120*Y120*VLOOKUP('Données projet'!$B$9,Paramètres!$A$1:$I$89,3,0)*0.475*44/12</f>
        <v>1.1481586140727705E-12</v>
      </c>
      <c r="AC120" s="24">
        <f t="shared" si="57"/>
        <v>1.778551632195414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-1.6671037883497774E-13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283.28499080043167</v>
      </c>
      <c r="AO120" s="62">
        <f t="shared" si="90"/>
        <v>278.56966286485783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0.34845884165978519</v>
      </c>
      <c r="AV120" s="23">
        <f>EXP(-LN(2)/25)*AV119+(1-EXP(-LN(2)/25))/(LN(2)/25)*Calculateur!AQ120*Calculateur!AS120*VLOOKUP('Données projet'!$B$10,Paramètres!$A$1:$I$89,3,0)*0.475*44/12</f>
        <v>0.78094375405011851</v>
      </c>
      <c r="AW120" s="23">
        <f>EXP(-LN(2)/2)*AW119+(1-EXP(-LN(2)/2))/(LN(2)/2)*AQ120*AT120*VLOOKUP('Données projet'!$B$10,Paramètres!$A$1:$I$89,3,0)*0.475*44/12</f>
        <v>1.0426116281415165E-12</v>
      </c>
      <c r="AX120" s="23">
        <f t="shared" si="60"/>
        <v>1.1294025957109464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-1.8089849618263545E-13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303.91914071195419</v>
      </c>
      <c r="BJ120" s="62">
        <f t="shared" si="92"/>
        <v>298.30050362688769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0.23302796276742371</v>
      </c>
      <c r="BR120" s="23">
        <f>EXP(-LN(2)/2)*BR119+(1-EXP(-LN(2)/2))/(LN(2)/2)*BL120*BO120*VLOOKUP('Données projet'!$B$11,Paramètres!$A$1:$I$89,3,0)*0.475*44/12</f>
        <v>2.0461687862366606E-12</v>
      </c>
      <c r="BS120" s="24">
        <f t="shared" si="63"/>
        <v>0.23302796276946988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446.15737983598251</v>
      </c>
      <c r="CE120" s="62">
        <f t="shared" si="94"/>
        <v>282.2299715529382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4.4337866711430253E-14</v>
      </c>
      <c r="CV120" s="14">
        <f t="shared" si="95"/>
        <v>7.3222115536967035E-13</v>
      </c>
      <c r="CW120" s="22">
        <f t="shared" si="67"/>
        <v>1.3525069634579169E-12</v>
      </c>
      <c r="CX120" s="62">
        <f t="shared" si="68"/>
        <v>290.84898332136771</v>
      </c>
      <c r="CY120" s="62">
        <f ca="1">AVERAGE(OFFSET($CX$3,0,0,'Données projet'!$E$13+1,1))-AVERAGE(OFFSET($H$3,0,0,'Données projet'!$E$13+1,1))</f>
        <v>293.03320024876842</v>
      </c>
      <c r="CZ120" s="62">
        <f t="shared" si="96"/>
        <v>287.49994652707915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3.2958022927720905E-13</v>
      </c>
      <c r="DI120" s="24">
        <f t="shared" si="69"/>
        <v>3.2958022927720905E-13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-1.7053025658242404E-13</v>
      </c>
      <c r="DP120" s="18">
        <f>DO120*VLOOKUP('Données projet'!$B$14,Paramètres!$A$1:$I$89,3,0)*VLOOKUP('Données projet'!$B$14,Paramètres!$A$1:$I$89,5,0)</f>
        <v>-9.3109520094003535E-14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253.0312006976271</v>
      </c>
      <c r="DU120" s="62">
        <f t="shared" si="98"/>
        <v>365.93937083714866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1.1925647311348757</v>
      </c>
      <c r="EB120" s="23">
        <f>EXP(-LN(2)/25)*EB119+(1-EXP(-LN(2)/25))/(LN(2)/25)*Calculateur!DW120*Calculateur!DY120*VLOOKUP('Données projet'!$B$14,Paramètres!$A$1:$I$89,3,0)*0.475*44/12</f>
        <v>0.86065345720302699</v>
      </c>
      <c r="EC120" s="23">
        <f>EXP(-LN(2)/2)*EC119+(1-EXP(-LN(2)/2))/(LN(2)/2)*DW120*DZ120*VLOOKUP('Données projet'!$B$14,Paramètres!$A$1:$I$89,3,0)*0.475*44/12</f>
        <v>1.4057062316646854E-12</v>
      </c>
      <c r="ED120" s="24">
        <f t="shared" si="72"/>
        <v>2.0532181883393084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1.05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3.85</v>
      </c>
      <c r="H121" s="70">
        <f t="shared" si="56"/>
        <v>241.26666666666665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290.89208123990136</v>
      </c>
      <c r="S121" s="62">
        <f ca="1">AVERAGE(OFFSET($R$3,0,0,'Données projet'!$E$9+1,1))-AVERAGE(OFFSET($H$3,0,0,'Données projet'!$E$9+1,1))</f>
        <v>393.3487617557011</v>
      </c>
      <c r="T121" s="62">
        <f t="shared" si="88"/>
        <v>360.09400083977084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0.92782624641834022</v>
      </c>
      <c r="AA121" s="23">
        <f>EXP(-LN(2)/25)*AA120+(1-EXP(-LN(2)/25))/(LN(2)/25)*Calculateur!V121*Calculateur!X121*VLOOKUP('Données projet'!$B$9,Paramètres!$A$1:$I$89,3,0)*0.475*44/12</f>
        <v>0.80941170715595534</v>
      </c>
      <c r="AB121" s="23">
        <f>EXP(-LN(2)/2)*AB120+(1-EXP(-LN(2)/2))/(LN(2)/2)*V121*Y121*VLOOKUP('Données projet'!$B$9,Paramètres!$A$1:$I$89,3,0)*0.475*44/12</f>
        <v>8.1187074188860419E-13</v>
      </c>
      <c r="AC121" s="24">
        <f t="shared" si="57"/>
        <v>1.7372379535751072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-1.6671037883497774E-13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283.28499080043167</v>
      </c>
      <c r="AO121" s="62">
        <f t="shared" si="90"/>
        <v>278.56966286485783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0.34162577631374375</v>
      </c>
      <c r="AV121" s="23">
        <f>EXP(-LN(2)/25)*AV120+(1-EXP(-LN(2)/25))/(LN(2)/25)*Calculateur!AQ121*Calculateur!AS121*VLOOKUP('Données projet'!$B$10,Paramètres!$A$1:$I$89,3,0)*0.475*44/12</f>
        <v>0.75958880602757084</v>
      </c>
      <c r="AW121" s="23">
        <f>EXP(-LN(2)/2)*AW120+(1-EXP(-LN(2)/2))/(LN(2)/2)*AQ121*AT121*VLOOKUP('Données projet'!$B$10,Paramètres!$A$1:$I$89,3,0)*0.475*44/12</f>
        <v>7.3723775240281338E-13</v>
      </c>
      <c r="AX121" s="23">
        <f t="shared" si="60"/>
        <v>1.1012145823420518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-1.8089849618263545E-13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303.91914071195419</v>
      </c>
      <c r="BJ121" s="62">
        <f t="shared" si="92"/>
        <v>298.30050362688769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0.22665580087114054</v>
      </c>
      <c r="BR121" s="23">
        <f>EXP(-LN(2)/2)*BR120+(1-EXP(-LN(2)/2))/(LN(2)/2)*BL121*BO121*VLOOKUP('Données projet'!$B$11,Paramètres!$A$1:$I$89,3,0)*0.475*44/12</f>
        <v>1.4468598242001899E-12</v>
      </c>
      <c r="BS121" s="24">
        <f t="shared" si="63"/>
        <v>0.22665580087258741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446.15737983598251</v>
      </c>
      <c r="CE121" s="62">
        <f t="shared" si="94"/>
        <v>282.2299715529382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4.4337866711430253E-14</v>
      </c>
      <c r="CV121" s="14">
        <f t="shared" si="95"/>
        <v>7.3222115536967035E-13</v>
      </c>
      <c r="CW121" s="22">
        <f t="shared" si="67"/>
        <v>1.3525069634579169E-12</v>
      </c>
      <c r="CX121" s="62">
        <f t="shared" si="68"/>
        <v>290.89208123990085</v>
      </c>
      <c r="CY121" s="62">
        <f ca="1">AVERAGE(OFFSET($CX$3,0,0,'Données projet'!$E$13+1,1))-AVERAGE(OFFSET($H$3,0,0,'Données projet'!$E$13+1,1))</f>
        <v>293.03320024876842</v>
      </c>
      <c r="CZ121" s="62">
        <f t="shared" si="96"/>
        <v>287.49994652707915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2.3304841506693162E-13</v>
      </c>
      <c r="DI121" s="24">
        <f t="shared" si="69"/>
        <v>2.3304841506693162E-13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-1.7053025658242404E-13</v>
      </c>
      <c r="DP121" s="18">
        <f>DO121*VLOOKUP('Données projet'!$B$14,Paramètres!$A$1:$I$89,3,0)*VLOOKUP('Données projet'!$B$14,Paramètres!$A$1:$I$89,5,0)</f>
        <v>-9.3109520094003535E-14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253.0312006976271</v>
      </c>
      <c r="DU121" s="62">
        <f t="shared" si="98"/>
        <v>365.93937083714866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1.1691792641499827</v>
      </c>
      <c r="EB121" s="23">
        <f>EXP(-LN(2)/25)*EB120+(1-EXP(-LN(2)/25))/(LN(2)/25)*Calculateur!DW121*Calculateur!DY121*VLOOKUP('Données projet'!$B$14,Paramètres!$A$1:$I$89,3,0)*0.475*44/12</f>
        <v>0.83711884315601193</v>
      </c>
      <c r="EC121" s="23">
        <f>EXP(-LN(2)/2)*EC120+(1-EXP(-LN(2)/2))/(LN(2)/2)*DW121*DZ121*VLOOKUP('Données projet'!$B$14,Paramètres!$A$1:$I$89,3,0)*0.475*44/12</f>
        <v>9.9398440876628695E-13</v>
      </c>
      <c r="ED121" s="24">
        <f t="shared" si="72"/>
        <v>2.0062981073069883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1.05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3.85</v>
      </c>
      <c r="H122" s="70">
        <f t="shared" si="56"/>
        <v>241.26666666666665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290.93443150590036</v>
      </c>
      <c r="S122" s="62">
        <f ca="1">AVERAGE(OFFSET($R$3,0,0,'Données projet'!$E$9+1,1))-AVERAGE(OFFSET($H$3,0,0,'Données projet'!$E$9+1,1))</f>
        <v>393.3487617557011</v>
      </c>
      <c r="T122" s="62">
        <f t="shared" si="88"/>
        <v>360.09400083977084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0.90963213964420708</v>
      </c>
      <c r="AA122" s="23">
        <f>EXP(-LN(2)/25)*AA121+(1-EXP(-LN(2)/25))/(LN(2)/25)*Calculateur!V122*Calculateur!X122*VLOOKUP('Données projet'!$B$9,Paramètres!$A$1:$I$89,3,0)*0.475*44/12</f>
        <v>0.78727830145866395</v>
      </c>
      <c r="AB122" s="23">
        <f>EXP(-LN(2)/2)*AB121+(1-EXP(-LN(2)/2))/(LN(2)/2)*V122*Y122*VLOOKUP('Données projet'!$B$9,Paramètres!$A$1:$I$89,3,0)*0.475*44/12</f>
        <v>5.7407930703638524E-13</v>
      </c>
      <c r="AC122" s="24">
        <f t="shared" si="57"/>
        <v>1.696910441103445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-1.6671037883497774E-13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283.28499080043167</v>
      </c>
      <c r="AO122" s="62">
        <f t="shared" si="90"/>
        <v>278.56966286485783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0.33492670321137985</v>
      </c>
      <c r="AV122" s="23">
        <f>EXP(-LN(2)/25)*AV121+(1-EXP(-LN(2)/25))/(LN(2)/25)*Calculateur!AQ122*Calculateur!AS122*VLOOKUP('Données projet'!$B$10,Paramètres!$A$1:$I$89,3,0)*0.475*44/12</f>
        <v>0.73881781018170767</v>
      </c>
      <c r="AW122" s="23">
        <f>EXP(-LN(2)/2)*AW121+(1-EXP(-LN(2)/2))/(LN(2)/2)*AQ122*AT122*VLOOKUP('Données projet'!$B$10,Paramètres!$A$1:$I$89,3,0)*0.475*44/12</f>
        <v>5.2130581407075826E-13</v>
      </c>
      <c r="AX122" s="23">
        <f t="shared" si="60"/>
        <v>1.073744513393609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-1.8089849618263545E-13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303.91914071195419</v>
      </c>
      <c r="BJ122" s="62">
        <f t="shared" si="92"/>
        <v>298.30050362688769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0.22045788607700867</v>
      </c>
      <c r="BR122" s="23">
        <f>EXP(-LN(2)/2)*BR121+(1-EXP(-LN(2)/2))/(LN(2)/2)*BL122*BO122*VLOOKUP('Données projet'!$B$11,Paramètres!$A$1:$I$89,3,0)*0.475*44/12</f>
        <v>1.0230843931183303E-12</v>
      </c>
      <c r="BS122" s="24">
        <f t="shared" si="63"/>
        <v>0.22045788607803174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446.15737983598251</v>
      </c>
      <c r="CE122" s="62">
        <f t="shared" si="94"/>
        <v>282.2299715529382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4.4337866711430253E-14</v>
      </c>
      <c r="CV122" s="14">
        <f t="shared" si="95"/>
        <v>7.3222115536967035E-13</v>
      </c>
      <c r="CW122" s="22">
        <f t="shared" si="67"/>
        <v>1.3525069634579169E-12</v>
      </c>
      <c r="CX122" s="62">
        <f t="shared" si="68"/>
        <v>290.93443150589985</v>
      </c>
      <c r="CY122" s="62">
        <f ca="1">AVERAGE(OFFSET($CX$3,0,0,'Données projet'!$E$13+1,1))-AVERAGE(OFFSET($H$3,0,0,'Données projet'!$E$13+1,1))</f>
        <v>293.03320024876842</v>
      </c>
      <c r="CZ122" s="62">
        <f t="shared" si="96"/>
        <v>287.49994652707915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1.6479011463860453E-13</v>
      </c>
      <c r="DI122" s="24">
        <f t="shared" si="69"/>
        <v>1.6479011463860453E-13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-1.7053025658242404E-13</v>
      </c>
      <c r="DP122" s="18">
        <f>DO122*VLOOKUP('Données projet'!$B$14,Paramètres!$A$1:$I$89,3,0)*VLOOKUP('Données projet'!$B$14,Paramètres!$A$1:$I$89,5,0)</f>
        <v>-9.3109520094003535E-14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253.0312006976271</v>
      </c>
      <c r="DU122" s="62">
        <f t="shared" si="98"/>
        <v>365.93937083714866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1.146252371908937</v>
      </c>
      <c r="EB122" s="23">
        <f>EXP(-LN(2)/25)*EB121+(1-EXP(-LN(2)/25))/(LN(2)/25)*Calculateur!DW122*Calculateur!DY122*VLOOKUP('Données projet'!$B$14,Paramètres!$A$1:$I$89,3,0)*0.475*44/12</f>
        <v>0.81422778436774412</v>
      </c>
      <c r="EC122" s="23">
        <f>EXP(-LN(2)/2)*EC121+(1-EXP(-LN(2)/2))/(LN(2)/2)*DW122*DZ122*VLOOKUP('Données projet'!$B$14,Paramètres!$A$1:$I$89,3,0)*0.475*44/12</f>
        <v>7.028531158323427E-13</v>
      </c>
      <c r="ED122" s="24">
        <f t="shared" si="72"/>
        <v>1.9604801562773839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1.05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3.85</v>
      </c>
      <c r="H123" s="70">
        <f t="shared" si="56"/>
        <v>241.26666666666665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290.97604708946528</v>
      </c>
      <c r="S123" s="62">
        <f ca="1">AVERAGE(OFFSET($R$3,0,0,'Données projet'!$E$9+1,1))-AVERAGE(OFFSET($H$3,0,0,'Données projet'!$E$9+1,1))</f>
        <v>393.3487617557011</v>
      </c>
      <c r="T123" s="62">
        <f t="shared" si="88"/>
        <v>360.09400083977084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0.89179480820660539</v>
      </c>
      <c r="AA123" s="23">
        <f>EXP(-LN(2)/25)*AA122+(1-EXP(-LN(2)/25))/(LN(2)/25)*Calculateur!V123*Calculateur!X123*VLOOKUP('Données projet'!$B$9,Paramètres!$A$1:$I$89,3,0)*0.475*44/12</f>
        <v>0.76575013490411026</v>
      </c>
      <c r="AB123" s="23">
        <f>EXP(-LN(2)/2)*AB122+(1-EXP(-LN(2)/2))/(LN(2)/2)*V123*Y123*VLOOKUP('Données projet'!$B$9,Paramètres!$A$1:$I$89,3,0)*0.475*44/12</f>
        <v>4.0593537094430209E-13</v>
      </c>
      <c r="AC123" s="24">
        <f t="shared" si="57"/>
        <v>1.6575449431111215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-1.6671037883497774E-13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283.28499080043167</v>
      </c>
      <c r="AO123" s="62">
        <f t="shared" si="90"/>
        <v>278.56966286485783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0.32835899484652215</v>
      </c>
      <c r="AV123" s="23">
        <f>EXP(-LN(2)/25)*AV122+(1-EXP(-LN(2)/25))/(LN(2)/25)*Calculateur!AQ123*Calculateur!AS123*VLOOKUP('Données projet'!$B$10,Paramètres!$A$1:$I$89,3,0)*0.475*44/12</f>
        <v>0.71861479830954877</v>
      </c>
      <c r="AW123" s="23">
        <f>EXP(-LN(2)/2)*AW122+(1-EXP(-LN(2)/2))/(LN(2)/2)*AQ123*AT123*VLOOKUP('Données projet'!$B$10,Paramètres!$A$1:$I$89,3,0)*0.475*44/12</f>
        <v>3.6861887620140669E-13</v>
      </c>
      <c r="AX123" s="23">
        <f t="shared" si="60"/>
        <v>1.0469737931564396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-1.8089849618263545E-13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303.91914071195419</v>
      </c>
      <c r="BJ123" s="62">
        <f t="shared" si="92"/>
        <v>298.30050362688769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0.21442945358885651</v>
      </c>
      <c r="BR123" s="23">
        <f>EXP(-LN(2)/2)*BR122+(1-EXP(-LN(2)/2))/(LN(2)/2)*BL123*BO123*VLOOKUP('Données projet'!$B$11,Paramètres!$A$1:$I$89,3,0)*0.475*44/12</f>
        <v>7.2342991210009496E-13</v>
      </c>
      <c r="BS123" s="24">
        <f t="shared" si="63"/>
        <v>0.21442945358957993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446.15737983598251</v>
      </c>
      <c r="CE123" s="62">
        <f t="shared" si="94"/>
        <v>282.2299715529382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4.4337866711430253E-14</v>
      </c>
      <c r="CV123" s="14">
        <f t="shared" si="95"/>
        <v>7.3222115536967035E-13</v>
      </c>
      <c r="CW123" s="22">
        <f t="shared" si="67"/>
        <v>1.3525069634579169E-12</v>
      </c>
      <c r="CX123" s="62">
        <f t="shared" si="68"/>
        <v>290.97604708946477</v>
      </c>
      <c r="CY123" s="62">
        <f ca="1">AVERAGE(OFFSET($CX$3,0,0,'Données projet'!$E$13+1,1))-AVERAGE(OFFSET($H$3,0,0,'Données projet'!$E$13+1,1))</f>
        <v>293.03320024876842</v>
      </c>
      <c r="CZ123" s="62">
        <f t="shared" si="96"/>
        <v>287.49994652707915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1.1652420753346581E-13</v>
      </c>
      <c r="DI123" s="24">
        <f t="shared" si="69"/>
        <v>1.1652420753346581E-13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-1.7053025658242404E-13</v>
      </c>
      <c r="DP123" s="18">
        <f>DO123*VLOOKUP('Données projet'!$B$14,Paramètres!$A$1:$I$89,3,0)*VLOOKUP('Données projet'!$B$14,Paramètres!$A$1:$I$89,5,0)</f>
        <v>-9.3109520094003535E-14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253.0312006976271</v>
      </c>
      <c r="DU123" s="62">
        <f t="shared" si="98"/>
        <v>365.93937083714866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1.1237750620407148</v>
      </c>
      <c r="EB123" s="23">
        <f>EXP(-LN(2)/25)*EB122+(1-EXP(-LN(2)/25))/(LN(2)/25)*Calculateur!DW123*Calculateur!DY123*VLOOKUP('Données projet'!$B$14,Paramètres!$A$1:$I$89,3,0)*0.475*44/12</f>
        <v>0.79196268278582993</v>
      </c>
      <c r="EC123" s="23">
        <f>EXP(-LN(2)/2)*EC122+(1-EXP(-LN(2)/2))/(LN(2)/2)*DW123*DZ123*VLOOKUP('Données projet'!$B$14,Paramètres!$A$1:$I$89,3,0)*0.475*44/12</f>
        <v>4.9699220438314347E-13</v>
      </c>
      <c r="ED123" s="24">
        <f t="shared" si="72"/>
        <v>1.9157377448270416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1.05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3.85</v>
      </c>
      <c r="H124" s="70">
        <f t="shared" si="56"/>
        <v>241.26666666666665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291.01694073569394</v>
      </c>
      <c r="S124" s="62">
        <f ca="1">AVERAGE(OFFSET($R$3,0,0,'Données projet'!$E$9+1,1))-AVERAGE(OFFSET($H$3,0,0,'Données projet'!$E$9+1,1))</f>
        <v>393.3487617557011</v>
      </c>
      <c r="T124" s="62">
        <f t="shared" si="88"/>
        <v>360.09400083977084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0.8743072559587971</v>
      </c>
      <c r="AA124" s="23">
        <f>EXP(-LN(2)/25)*AA123+(1-EXP(-LN(2)/25))/(LN(2)/25)*Calculateur!V124*Calculateur!X124*VLOOKUP('Données projet'!$B$9,Paramètres!$A$1:$I$89,3,0)*0.475*44/12</f>
        <v>0.74481065719610795</v>
      </c>
      <c r="AB124" s="23">
        <f>EXP(-LN(2)/2)*AB123+(1-EXP(-LN(2)/2))/(LN(2)/2)*V124*Y124*VLOOKUP('Données projet'!$B$9,Paramètres!$A$1:$I$89,3,0)*0.475*44/12</f>
        <v>2.8703965351819262E-13</v>
      </c>
      <c r="AC124" s="24">
        <f t="shared" si="57"/>
        <v>1.6191179131551923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-1.6671037883497774E-13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283.28499080043167</v>
      </c>
      <c r="AO124" s="62">
        <f t="shared" si="90"/>
        <v>278.56966286485783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0.32192007523679278</v>
      </c>
      <c r="AV124" s="23">
        <f>EXP(-LN(2)/25)*AV123+(1-EXP(-LN(2)/25))/(LN(2)/25)*Calculateur!AQ124*Calculateur!AS124*VLOOKUP('Données projet'!$B$10,Paramètres!$A$1:$I$89,3,0)*0.475*44/12</f>
        <v>0.69896423885946435</v>
      </c>
      <c r="AW124" s="23">
        <f>EXP(-LN(2)/2)*AW123+(1-EXP(-LN(2)/2))/(LN(2)/2)*AQ124*AT124*VLOOKUP('Données projet'!$B$10,Paramètres!$A$1:$I$89,3,0)*0.475*44/12</f>
        <v>2.6065290703537913E-13</v>
      </c>
      <c r="AX124" s="23">
        <f t="shared" si="60"/>
        <v>1.0208843140965178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-1.8089849618263545E-13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303.91914071195419</v>
      </c>
      <c r="BJ124" s="62">
        <f t="shared" si="92"/>
        <v>298.30050362688769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0.20856586890411435</v>
      </c>
      <c r="BR124" s="23">
        <f>EXP(-LN(2)/2)*BR123+(1-EXP(-LN(2)/2))/(LN(2)/2)*BL124*BO124*VLOOKUP('Données projet'!$B$11,Paramètres!$A$1:$I$89,3,0)*0.475*44/12</f>
        <v>5.1154219655916515E-13</v>
      </c>
      <c r="BS124" s="24">
        <f t="shared" si="63"/>
        <v>0.20856586890462589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446.15737983598251</v>
      </c>
      <c r="CE124" s="62">
        <f t="shared" si="94"/>
        <v>282.2299715529382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4.4337866711430253E-14</v>
      </c>
      <c r="CV124" s="14">
        <f t="shared" si="95"/>
        <v>7.3222115536967035E-13</v>
      </c>
      <c r="CW124" s="22">
        <f t="shared" si="67"/>
        <v>1.3525069634579169E-12</v>
      </c>
      <c r="CX124" s="62">
        <f t="shared" si="68"/>
        <v>291.01694073569342</v>
      </c>
      <c r="CY124" s="62">
        <f ca="1">AVERAGE(OFFSET($CX$3,0,0,'Données projet'!$E$13+1,1))-AVERAGE(OFFSET($H$3,0,0,'Données projet'!$E$13+1,1))</f>
        <v>293.03320024876842</v>
      </c>
      <c r="CZ124" s="62">
        <f t="shared" si="96"/>
        <v>287.49994652707915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8.2395057319302263E-14</v>
      </c>
      <c r="DI124" s="24">
        <f t="shared" si="69"/>
        <v>8.2395057319302263E-14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-1.7053025658242404E-13</v>
      </c>
      <c r="DP124" s="18">
        <f>DO124*VLOOKUP('Données projet'!$B$14,Paramètres!$A$1:$I$89,3,0)*VLOOKUP('Données projet'!$B$14,Paramètres!$A$1:$I$89,5,0)</f>
        <v>-9.3109520094003535E-14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253.0312006976271</v>
      </c>
      <c r="DU124" s="62">
        <f t="shared" si="98"/>
        <v>365.93937083714866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1.101738518509203</v>
      </c>
      <c r="EB124" s="23">
        <f>EXP(-LN(2)/25)*EB123+(1-EXP(-LN(2)/25))/(LN(2)/25)*Calculateur!DW124*Calculateur!DY124*VLOOKUP('Données projet'!$B$14,Paramètres!$A$1:$I$89,3,0)*0.475*44/12</f>
        <v>0.77030642157754403</v>
      </c>
      <c r="EC124" s="23">
        <f>EXP(-LN(2)/2)*EC123+(1-EXP(-LN(2)/2))/(LN(2)/2)*DW124*DZ124*VLOOKUP('Données projet'!$B$14,Paramètres!$A$1:$I$89,3,0)*0.475*44/12</f>
        <v>3.5142655791617135E-13</v>
      </c>
      <c r="ED124" s="24">
        <f t="shared" si="72"/>
        <v>1.8720449400870984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1.05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3.85</v>
      </c>
      <c r="H125" s="70">
        <f t="shared" si="56"/>
        <v>241.26666666666665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291.05712496858496</v>
      </c>
      <c r="S125" s="62">
        <f ca="1">AVERAGE(OFFSET($R$3,0,0,'Données projet'!$E$9+1,1))-AVERAGE(OFFSET($H$3,0,0,'Données projet'!$E$9+1,1))</f>
        <v>393.3487617557011</v>
      </c>
      <c r="T125" s="62">
        <f t="shared" si="88"/>
        <v>360.09400083977084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0.85716262394421472</v>
      </c>
      <c r="AA125" s="23">
        <f>EXP(-LN(2)/25)*AA124+(1-EXP(-LN(2)/25))/(LN(2)/25)*Calculateur!V125*Calculateur!X125*VLOOKUP('Données projet'!$B$9,Paramètres!$A$1:$I$89,3,0)*0.475*44/12</f>
        <v>0.72444377060719023</v>
      </c>
      <c r="AB125" s="23">
        <f>EXP(-LN(2)/2)*AB124+(1-EXP(-LN(2)/2))/(LN(2)/2)*V125*Y125*VLOOKUP('Données projet'!$B$9,Paramètres!$A$1:$I$89,3,0)*0.475*44/12</f>
        <v>2.0296768547215105E-13</v>
      </c>
      <c r="AC125" s="24">
        <f t="shared" si="57"/>
        <v>1.5816063945516079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-1.6671037883497774E-13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283.28499080043167</v>
      </c>
      <c r="AO125" s="62">
        <f t="shared" si="90"/>
        <v>278.56966286485783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0.31560741891325705</v>
      </c>
      <c r="AV125" s="23">
        <f>EXP(-LN(2)/25)*AV124+(1-EXP(-LN(2)/25))/(LN(2)/25)*Calculateur!AQ125*Calculateur!AS125*VLOOKUP('Données projet'!$B$10,Paramètres!$A$1:$I$89,3,0)*0.475*44/12</f>
        <v>0.67985102499092043</v>
      </c>
      <c r="AW125" s="23">
        <f>EXP(-LN(2)/2)*AW124+(1-EXP(-LN(2)/2))/(LN(2)/2)*AQ125*AT125*VLOOKUP('Données projet'!$B$10,Paramètres!$A$1:$I$89,3,0)*0.475*44/12</f>
        <v>1.8430943810070334E-13</v>
      </c>
      <c r="AX125" s="23">
        <f t="shared" si="60"/>
        <v>0.99545844390436178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-1.8089849618263545E-13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303.91914071195419</v>
      </c>
      <c r="BJ125" s="62">
        <f t="shared" si="92"/>
        <v>298.30050362688769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0.20286262425092899</v>
      </c>
      <c r="BR125" s="23">
        <f>EXP(-LN(2)/2)*BR124+(1-EXP(-LN(2)/2))/(LN(2)/2)*BL125*BO125*VLOOKUP('Données projet'!$B$11,Paramètres!$A$1:$I$89,3,0)*0.475*44/12</f>
        <v>3.6171495605004748E-13</v>
      </c>
      <c r="BS125" s="24">
        <f t="shared" si="63"/>
        <v>0.2028626242512907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446.15737983598251</v>
      </c>
      <c r="CE125" s="62">
        <f t="shared" si="94"/>
        <v>282.2299715529382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4.4337866711430253E-14</v>
      </c>
      <c r="CV125" s="14">
        <f t="shared" si="95"/>
        <v>7.3222115536967035E-13</v>
      </c>
      <c r="CW125" s="22">
        <f t="shared" si="67"/>
        <v>1.3525069634579169E-12</v>
      </c>
      <c r="CX125" s="62">
        <f t="shared" si="68"/>
        <v>291.05712496858445</v>
      </c>
      <c r="CY125" s="62">
        <f ca="1">AVERAGE(OFFSET($CX$3,0,0,'Données projet'!$E$13+1,1))-AVERAGE(OFFSET($H$3,0,0,'Données projet'!$E$13+1,1))</f>
        <v>293.03320024876842</v>
      </c>
      <c r="CZ125" s="62">
        <f t="shared" si="96"/>
        <v>287.49994652707915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5.8262103766732905E-14</v>
      </c>
      <c r="DI125" s="24">
        <f t="shared" si="69"/>
        <v>5.8262103766732905E-14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-1.7053025658242404E-13</v>
      </c>
      <c r="DP125" s="18">
        <f>DO125*VLOOKUP('Données projet'!$B$14,Paramètres!$A$1:$I$89,3,0)*VLOOKUP('Données projet'!$B$14,Paramètres!$A$1:$I$89,5,0)</f>
        <v>-9.3109520094003535E-14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253.0312006976271</v>
      </c>
      <c r="DU125" s="62">
        <f t="shared" si="98"/>
        <v>365.93937083714866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1.08013409815538</v>
      </c>
      <c r="EB125" s="23">
        <f>EXP(-LN(2)/25)*EB124+(1-EXP(-LN(2)/25))/(LN(2)/25)*Calculateur!DW125*Calculateur!DY125*VLOOKUP('Données projet'!$B$14,Paramètres!$A$1:$I$89,3,0)*0.475*44/12</f>
        <v>0.74924235197085198</v>
      </c>
      <c r="EC125" s="23">
        <f>EXP(-LN(2)/2)*EC124+(1-EXP(-LN(2)/2))/(LN(2)/2)*DW125*DZ125*VLOOKUP('Données projet'!$B$14,Paramètres!$A$1:$I$89,3,0)*0.475*44/12</f>
        <v>2.4849610219157174E-13</v>
      </c>
      <c r="ED125" s="24">
        <f t="shared" si="72"/>
        <v>1.8293764501264804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1.05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3.85</v>
      </c>
      <c r="H126" s="70">
        <f t="shared" si="56"/>
        <v>241.26666666666665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291.09661209487388</v>
      </c>
      <c r="S126" s="62">
        <f ca="1">AVERAGE(OFFSET($R$3,0,0,'Données projet'!$E$9+1,1))-AVERAGE(OFFSET($H$3,0,0,'Données projet'!$E$9+1,1))</f>
        <v>393.3487617557011</v>
      </c>
      <c r="T126" s="62">
        <f t="shared" si="88"/>
        <v>360.09400083977084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0.84035418770624537</v>
      </c>
      <c r="AA126" s="23">
        <f>EXP(-LN(2)/25)*AA125+(1-EXP(-LN(2)/25))/(LN(2)/25)*Calculateur!V126*Calculateur!X126*VLOOKUP('Données projet'!$B$9,Paramètres!$A$1:$I$89,3,0)*0.475*44/12</f>
        <v>0.7046338176030944</v>
      </c>
      <c r="AB126" s="23">
        <f>EXP(-LN(2)/2)*AB125+(1-EXP(-LN(2)/2))/(LN(2)/2)*V126*Y126*VLOOKUP('Données projet'!$B$9,Paramètres!$A$1:$I$89,3,0)*0.475*44/12</f>
        <v>1.4351982675909631E-13</v>
      </c>
      <c r="AC126" s="24">
        <f t="shared" si="57"/>
        <v>1.5449880053094831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-1.6671037883497774E-13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283.28499080043167</v>
      </c>
      <c r="AO126" s="62">
        <f t="shared" si="90"/>
        <v>278.56966286485783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0.30941854992988566</v>
      </c>
      <c r="AV126" s="23">
        <f>EXP(-LN(2)/25)*AV125+(1-EXP(-LN(2)/25))/(LN(2)/25)*Calculateur!AQ126*Calculateur!AS126*VLOOKUP('Données projet'!$B$10,Paramètres!$A$1:$I$89,3,0)*0.475*44/12</f>
        <v>0.66126046296073215</v>
      </c>
      <c r="AW126" s="23">
        <f>EXP(-LN(2)/2)*AW125+(1-EXP(-LN(2)/2))/(LN(2)/2)*AQ126*AT126*VLOOKUP('Données projet'!$B$10,Paramètres!$A$1:$I$89,3,0)*0.475*44/12</f>
        <v>1.3032645351768956E-13</v>
      </c>
      <c r="AX126" s="23">
        <f t="shared" si="60"/>
        <v>0.97067901289074809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-1.8089849618263545E-13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303.91914071195419</v>
      </c>
      <c r="BJ126" s="62">
        <f t="shared" si="92"/>
        <v>298.30050362688769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0.19731533512270558</v>
      </c>
      <c r="BR126" s="23">
        <f>EXP(-LN(2)/2)*BR125+(1-EXP(-LN(2)/2))/(LN(2)/2)*BL126*BO126*VLOOKUP('Données projet'!$B$11,Paramètres!$A$1:$I$89,3,0)*0.475*44/12</f>
        <v>2.5577109827958258E-13</v>
      </c>
      <c r="BS126" s="24">
        <f t="shared" si="63"/>
        <v>0.19731533512296134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446.15737983598251</v>
      </c>
      <c r="CE126" s="62">
        <f t="shared" si="94"/>
        <v>282.2299715529382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4.4337866711430253E-14</v>
      </c>
      <c r="CV126" s="14">
        <f t="shared" si="95"/>
        <v>7.3222115536967035E-13</v>
      </c>
      <c r="CW126" s="22">
        <f t="shared" si="67"/>
        <v>1.3525069634579169E-12</v>
      </c>
      <c r="CX126" s="62">
        <f t="shared" si="68"/>
        <v>291.09661209487336</v>
      </c>
      <c r="CY126" s="62">
        <f ca="1">AVERAGE(OFFSET($CX$3,0,0,'Données projet'!$E$13+1,1))-AVERAGE(OFFSET($H$3,0,0,'Données projet'!$E$13+1,1))</f>
        <v>293.03320024876842</v>
      </c>
      <c r="CZ126" s="62">
        <f t="shared" si="96"/>
        <v>287.49994652707915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4.1197528659651132E-14</v>
      </c>
      <c r="DI126" s="24">
        <f t="shared" si="69"/>
        <v>4.1197528659651132E-14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-1.7053025658242404E-13</v>
      </c>
      <c r="DP126" s="18">
        <f>DO126*VLOOKUP('Données projet'!$B$14,Paramètres!$A$1:$I$89,3,0)*VLOOKUP('Données projet'!$B$14,Paramètres!$A$1:$I$89,5,0)</f>
        <v>-9.3109520094003535E-14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253.0312006976271</v>
      </c>
      <c r="DU126" s="62">
        <f t="shared" si="98"/>
        <v>365.93937083714866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1.0589533273073002</v>
      </c>
      <c r="EB126" s="23">
        <f>EXP(-LN(2)/25)*EB125+(1-EXP(-LN(2)/25))/(LN(2)/25)*Calculateur!DW126*Calculateur!DY126*VLOOKUP('Données projet'!$B$14,Paramètres!$A$1:$I$89,3,0)*0.475*44/12</f>
        <v>0.72875428045526613</v>
      </c>
      <c r="EC126" s="23">
        <f>EXP(-LN(2)/2)*EC125+(1-EXP(-LN(2)/2))/(LN(2)/2)*DW126*DZ126*VLOOKUP('Données projet'!$B$14,Paramètres!$A$1:$I$89,3,0)*0.475*44/12</f>
        <v>1.7571327895808567E-13</v>
      </c>
      <c r="ED126" s="24">
        <f t="shared" si="72"/>
        <v>1.7877076077627418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1.05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3.85</v>
      </c>
      <c r="H127" s="70">
        <f t="shared" si="56"/>
        <v>241.26666666666665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291.13541420780166</v>
      </c>
      <c r="S127" s="62">
        <f ca="1">AVERAGE(OFFSET($R$3,0,0,'Données projet'!$E$9+1,1))-AVERAGE(OFFSET($H$3,0,0,'Données projet'!$E$9+1,1))</f>
        <v>393.3487617557011</v>
      </c>
      <c r="T127" s="62">
        <f t="shared" si="88"/>
        <v>360.09400083977084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0.82387535465076878</v>
      </c>
      <c r="AA127" s="23">
        <f>EXP(-LN(2)/25)*AA126+(1-EXP(-LN(2)/25))/(LN(2)/25)*Calculateur!V127*Calculateur!X127*VLOOKUP('Données projet'!$B$9,Paramètres!$A$1:$I$89,3,0)*0.475*44/12</f>
        <v>0.6853655688056558</v>
      </c>
      <c r="AB127" s="23">
        <f>EXP(-LN(2)/2)*AB126+(1-EXP(-LN(2)/2))/(LN(2)/2)*V127*Y127*VLOOKUP('Données projet'!$B$9,Paramètres!$A$1:$I$89,3,0)*0.475*44/12</f>
        <v>1.0148384273607552E-13</v>
      </c>
      <c r="AC127" s="24">
        <f t="shared" si="57"/>
        <v>1.5092409234565261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-1.6671037883497774E-13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283.28499080043167</v>
      </c>
      <c r="AO127" s="62">
        <f t="shared" si="90"/>
        <v>278.56966286485783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0.30335104089244086</v>
      </c>
      <c r="AV127" s="23">
        <f>EXP(-LN(2)/25)*AV126+(1-EXP(-LN(2)/25))/(LN(2)/25)*Calculateur!AQ127*Calculateur!AS127*VLOOKUP('Données projet'!$B$10,Paramètres!$A$1:$I$89,3,0)*0.475*44/12</f>
        <v>0.64317826082689455</v>
      </c>
      <c r="AW127" s="23">
        <f>EXP(-LN(2)/2)*AW126+(1-EXP(-LN(2)/2))/(LN(2)/2)*AQ127*AT127*VLOOKUP('Données projet'!$B$10,Paramètres!$A$1:$I$89,3,0)*0.475*44/12</f>
        <v>9.2154719050351672E-14</v>
      </c>
      <c r="AX127" s="23">
        <f t="shared" si="60"/>
        <v>0.94652930171942762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-1.8089849618263545E-13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303.91914071195419</v>
      </c>
      <c r="BJ127" s="62">
        <f t="shared" si="92"/>
        <v>298.30050362688769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0.19191973690741268</v>
      </c>
      <c r="BR127" s="23">
        <f>EXP(-LN(2)/2)*BR126+(1-EXP(-LN(2)/2))/(LN(2)/2)*BL127*BO127*VLOOKUP('Données projet'!$B$11,Paramètres!$A$1:$I$89,3,0)*0.475*44/12</f>
        <v>1.8085747802502374E-13</v>
      </c>
      <c r="BS127" s="24">
        <f t="shared" si="63"/>
        <v>0.19191973690759354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446.15737983598251</v>
      </c>
      <c r="CE127" s="62">
        <f t="shared" si="94"/>
        <v>282.2299715529382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4.4337866711430253E-14</v>
      </c>
      <c r="CV127" s="14">
        <f t="shared" si="95"/>
        <v>7.3222115536967035E-13</v>
      </c>
      <c r="CW127" s="22">
        <f t="shared" si="67"/>
        <v>1.3525069634579169E-12</v>
      </c>
      <c r="CX127" s="62">
        <f t="shared" si="68"/>
        <v>291.13541420780115</v>
      </c>
      <c r="CY127" s="62">
        <f ca="1">AVERAGE(OFFSET($CX$3,0,0,'Données projet'!$E$13+1,1))-AVERAGE(OFFSET($H$3,0,0,'Données projet'!$E$13+1,1))</f>
        <v>293.03320024876842</v>
      </c>
      <c r="CZ127" s="62">
        <f t="shared" si="96"/>
        <v>287.49994652707915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2.9131051883366452E-14</v>
      </c>
      <c r="DI127" s="24">
        <f t="shared" si="69"/>
        <v>2.9131051883366452E-14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-1.7053025658242404E-13</v>
      </c>
      <c r="DP127" s="18">
        <f>DO127*VLOOKUP('Données projet'!$B$14,Paramètres!$A$1:$I$89,3,0)*VLOOKUP('Données projet'!$B$14,Paramètres!$A$1:$I$89,5,0)</f>
        <v>-9.3109520094003535E-14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253.0312006976271</v>
      </c>
      <c r="DU127" s="62">
        <f t="shared" si="98"/>
        <v>365.93937083714866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1.0381878984565567</v>
      </c>
      <c r="EB127" s="23">
        <f>EXP(-LN(2)/25)*EB126+(1-EXP(-LN(2)/25))/(LN(2)/25)*Calculateur!DW127*Calculateur!DY127*VLOOKUP('Données projet'!$B$14,Paramètres!$A$1:$I$89,3,0)*0.475*44/12</f>
        <v>0.70882645633269481</v>
      </c>
      <c r="EC127" s="23">
        <f>EXP(-LN(2)/2)*EC126+(1-EXP(-LN(2)/2))/(LN(2)/2)*DW127*DZ127*VLOOKUP('Données projet'!$B$14,Paramètres!$A$1:$I$89,3,0)*0.475*44/12</f>
        <v>1.2424805109578587E-13</v>
      </c>
      <c r="ED127" s="24">
        <f t="shared" si="72"/>
        <v>1.7470143547893757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1.05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3.85</v>
      </c>
      <c r="H128" s="70">
        <f t="shared" si="56"/>
        <v>241.26666666666665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291.17354319081858</v>
      </c>
      <c r="S128" s="62">
        <f ca="1">AVERAGE(OFFSET($R$3,0,0,'Données projet'!$E$9+1,1))-AVERAGE(OFFSET($H$3,0,0,'Données projet'!$E$9+1,1))</f>
        <v>393.3487617557011</v>
      </c>
      <c r="T128" s="62">
        <f t="shared" si="88"/>
        <v>360.09400083977084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0.80771966146041441</v>
      </c>
      <c r="AA128" s="23">
        <f>EXP(-LN(2)/25)*AA127+(1-EXP(-LN(2)/25))/(LN(2)/25)*Calculateur!V128*Calculateur!X128*VLOOKUP('Données projet'!$B$9,Paramètres!$A$1:$I$89,3,0)*0.475*44/12</f>
        <v>0.66662421128485627</v>
      </c>
      <c r="AB128" s="23">
        <f>EXP(-LN(2)/2)*AB127+(1-EXP(-LN(2)/2))/(LN(2)/2)*V128*Y128*VLOOKUP('Données projet'!$B$9,Paramètres!$A$1:$I$89,3,0)*0.475*44/12</f>
        <v>7.1759913379548155E-14</v>
      </c>
      <c r="AC128" s="24">
        <f t="shared" si="57"/>
        <v>1.4743438727453424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-1.6671037883497774E-13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283.28499080043167</v>
      </c>
      <c r="AO128" s="62">
        <f t="shared" si="90"/>
        <v>278.56966286485783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0.29740251200640527</v>
      </c>
      <c r="AV128" s="23">
        <f>EXP(-LN(2)/25)*AV127+(1-EXP(-LN(2)/25))/(LN(2)/25)*Calculateur!AQ128*Calculateur!AS128*VLOOKUP('Données projet'!$B$10,Paramètres!$A$1:$I$89,3,0)*0.475*44/12</f>
        <v>0.62559051746130834</v>
      </c>
      <c r="AW128" s="23">
        <f>EXP(-LN(2)/2)*AW127+(1-EXP(-LN(2)/2))/(LN(2)/2)*AQ128*AT128*VLOOKUP('Données projet'!$B$10,Paramètres!$A$1:$I$89,3,0)*0.475*44/12</f>
        <v>6.5163226758844782E-14</v>
      </c>
      <c r="AX128" s="23">
        <f t="shared" si="60"/>
        <v>0.92299302946777873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-1.8089849618263545E-13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303.91914071195419</v>
      </c>
      <c r="BJ128" s="62">
        <f t="shared" si="92"/>
        <v>298.30050362688769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0.18667168160905914</v>
      </c>
      <c r="BR128" s="23">
        <f>EXP(-LN(2)/2)*BR127+(1-EXP(-LN(2)/2))/(LN(2)/2)*BL128*BO128*VLOOKUP('Données projet'!$B$11,Paramètres!$A$1:$I$89,3,0)*0.475*44/12</f>
        <v>1.2788554913979129E-13</v>
      </c>
      <c r="BS128" s="24">
        <f t="shared" si="63"/>
        <v>0.18667168160918704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446.15737983598251</v>
      </c>
      <c r="CE128" s="62">
        <f t="shared" si="94"/>
        <v>282.2299715529382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4.4337866711430253E-14</v>
      </c>
      <c r="CV128" s="14">
        <f t="shared" si="95"/>
        <v>7.3222115536967035E-13</v>
      </c>
      <c r="CW128" s="22">
        <f t="shared" si="67"/>
        <v>1.3525069634579169E-12</v>
      </c>
      <c r="CX128" s="62">
        <f t="shared" si="68"/>
        <v>291.17354319081807</v>
      </c>
      <c r="CY128" s="62">
        <f ca="1">AVERAGE(OFFSET($CX$3,0,0,'Données projet'!$E$13+1,1))-AVERAGE(OFFSET($H$3,0,0,'Données projet'!$E$13+1,1))</f>
        <v>293.03320024876842</v>
      </c>
      <c r="CZ128" s="62">
        <f t="shared" si="96"/>
        <v>287.49994652707915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2.0598764329825566E-14</v>
      </c>
      <c r="DI128" s="24">
        <f t="shared" si="69"/>
        <v>2.0598764329825566E-14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-1.7053025658242404E-13</v>
      </c>
      <c r="DP128" s="18">
        <f>DO128*VLOOKUP('Données projet'!$B$14,Paramètres!$A$1:$I$89,3,0)*VLOOKUP('Données projet'!$B$14,Paramètres!$A$1:$I$89,5,0)</f>
        <v>-9.3109520094003535E-14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253.0312006976271</v>
      </c>
      <c r="DU128" s="62">
        <f t="shared" si="98"/>
        <v>365.93937083714866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1.0178296669999152</v>
      </c>
      <c r="EB128" s="23">
        <f>EXP(-LN(2)/25)*EB127+(1-EXP(-LN(2)/25))/(LN(2)/25)*Calculateur!DW128*Calculateur!DY128*VLOOKUP('Données projet'!$B$14,Paramètres!$A$1:$I$89,3,0)*0.475*44/12</f>
        <v>0.68944355960871395</v>
      </c>
      <c r="EC128" s="23">
        <f>EXP(-LN(2)/2)*EC127+(1-EXP(-LN(2)/2))/(LN(2)/2)*DW128*DZ128*VLOOKUP('Données projet'!$B$14,Paramètres!$A$1:$I$89,3,0)*0.475*44/12</f>
        <v>8.7856639479042837E-14</v>
      </c>
      <c r="ED128" s="24">
        <f t="shared" si="72"/>
        <v>1.7072732266087169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1.05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3.85</v>
      </c>
      <c r="H129" s="70">
        <f t="shared" si="56"/>
        <v>241.26666666666665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291.21101072122389</v>
      </c>
      <c r="S129" s="62">
        <f ca="1">AVERAGE(OFFSET($R$3,0,0,'Données projet'!$E$9+1,1))-AVERAGE(OFFSET($H$3,0,0,'Données projet'!$E$9+1,1))</f>
        <v>393.3487617557011</v>
      </c>
      <c r="T129" s="62">
        <f t="shared" si="88"/>
        <v>360.09400083977084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0.79188077155952297</v>
      </c>
      <c r="AA129" s="23">
        <f>EXP(-LN(2)/25)*AA128+(1-EXP(-LN(2)/25))/(LN(2)/25)*Calculateur!V129*Calculateur!X129*VLOOKUP('Données projet'!$B$9,Paramètres!$A$1:$I$89,3,0)*0.475*44/12</f>
        <v>0.64839533717102815</v>
      </c>
      <c r="AB129" s="23">
        <f>EXP(-LN(2)/2)*AB128+(1-EXP(-LN(2)/2))/(LN(2)/2)*V129*Y129*VLOOKUP('Données projet'!$B$9,Paramètres!$A$1:$I$89,3,0)*0.475*44/12</f>
        <v>5.0741921368037762E-14</v>
      </c>
      <c r="AC129" s="24">
        <f t="shared" si="57"/>
        <v>1.440276108730602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-1.6671037883497774E-13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283.28499080043167</v>
      </c>
      <c r="AO129" s="62">
        <f t="shared" si="90"/>
        <v>278.56966286485783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0.29157063014358048</v>
      </c>
      <c r="AV129" s="23">
        <f>EXP(-LN(2)/25)*AV128+(1-EXP(-LN(2)/25))/(LN(2)/25)*Calculateur!AQ129*Calculateur!AS129*VLOOKUP('Données projet'!$B$10,Paramètres!$A$1:$I$89,3,0)*0.475*44/12</f>
        <v>0.60848371186295336</v>
      </c>
      <c r="AW129" s="23">
        <f>EXP(-LN(2)/2)*AW128+(1-EXP(-LN(2)/2))/(LN(2)/2)*AQ129*AT129*VLOOKUP('Données projet'!$B$10,Paramètres!$A$1:$I$89,3,0)*0.475*44/12</f>
        <v>4.6077359525175836E-14</v>
      </c>
      <c r="AX129" s="23">
        <f t="shared" si="60"/>
        <v>0.90005434200657997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-1.8089849618263545E-13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303.91914071195419</v>
      </c>
      <c r="BJ129" s="62">
        <f t="shared" si="92"/>
        <v>298.30050362688769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0.18156713465882232</v>
      </c>
      <c r="BR129" s="23">
        <f>EXP(-LN(2)/2)*BR128+(1-EXP(-LN(2)/2))/(LN(2)/2)*BL129*BO129*VLOOKUP('Données projet'!$B$11,Paramètres!$A$1:$I$89,3,0)*0.475*44/12</f>
        <v>9.042873901251187E-14</v>
      </c>
      <c r="BS129" s="24">
        <f t="shared" si="63"/>
        <v>0.18156713465891275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446.15737983598251</v>
      </c>
      <c r="CE129" s="62">
        <f t="shared" si="94"/>
        <v>282.2299715529382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4.4337866711430253E-14</v>
      </c>
      <c r="CV129" s="14">
        <f t="shared" si="95"/>
        <v>7.3222115536967035E-13</v>
      </c>
      <c r="CW129" s="22">
        <f t="shared" si="67"/>
        <v>1.3525069634579169E-12</v>
      </c>
      <c r="CX129" s="62">
        <f t="shared" si="68"/>
        <v>291.21101072122337</v>
      </c>
      <c r="CY129" s="62">
        <f ca="1">AVERAGE(OFFSET($CX$3,0,0,'Données projet'!$E$13+1,1))-AVERAGE(OFFSET($H$3,0,0,'Données projet'!$E$13+1,1))</f>
        <v>293.03320024876842</v>
      </c>
      <c r="CZ129" s="62">
        <f t="shared" si="96"/>
        <v>287.49994652707915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1.4565525941683226E-14</v>
      </c>
      <c r="DI129" s="24">
        <f t="shared" si="69"/>
        <v>1.4565525941683226E-14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-1.7053025658242404E-13</v>
      </c>
      <c r="DP129" s="18">
        <f>DO129*VLOOKUP('Données projet'!$B$14,Paramètres!$A$1:$I$89,3,0)*VLOOKUP('Données projet'!$B$14,Paramètres!$A$1:$I$89,5,0)</f>
        <v>-9.3109520094003535E-14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253.0312006976271</v>
      </c>
      <c r="DU129" s="62">
        <f t="shared" si="98"/>
        <v>365.93937083714866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0.99787064804484338</v>
      </c>
      <c r="EB129" s="23">
        <f>EXP(-LN(2)/25)*EB128+(1-EXP(-LN(2)/25))/(LN(2)/25)*Calculateur!DW129*Calculateur!DY129*VLOOKUP('Données projet'!$B$14,Paramètres!$A$1:$I$89,3,0)*0.475*44/12</f>
        <v>0.67059068921495257</v>
      </c>
      <c r="EC129" s="23">
        <f>EXP(-LN(2)/2)*EC128+(1-EXP(-LN(2)/2))/(LN(2)/2)*DW129*DZ129*VLOOKUP('Données projet'!$B$14,Paramètres!$A$1:$I$89,3,0)*0.475*44/12</f>
        <v>6.2124025547892934E-14</v>
      </c>
      <c r="ED129" s="24">
        <f t="shared" si="72"/>
        <v>1.668461337259858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1.05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3.85</v>
      </c>
      <c r="H130" s="70">
        <f t="shared" si="56"/>
        <v>241.26666666666665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291.24782827374145</v>
      </c>
      <c r="S130" s="62">
        <f ca="1">AVERAGE(OFFSET($R$3,0,0,'Données projet'!$E$9+1,1))-AVERAGE(OFFSET($H$3,0,0,'Données projet'!$E$9+1,1))</f>
        <v>393.3487617557011</v>
      </c>
      <c r="T130" s="62">
        <f t="shared" si="88"/>
        <v>360.09400083977084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0.77635247262881912</v>
      </c>
      <c r="AA130" s="23">
        <f>EXP(-LN(2)/25)*AA129+(1-EXP(-LN(2)/25))/(LN(2)/25)*Calculateur!V130*Calculateur!X130*VLOOKUP('Données projet'!$B$9,Paramètres!$A$1:$I$89,3,0)*0.475*44/12</f>
        <v>0.63066493257845757</v>
      </c>
      <c r="AB130" s="23">
        <f>EXP(-LN(2)/2)*AB129+(1-EXP(-LN(2)/2))/(LN(2)/2)*V130*Y130*VLOOKUP('Données projet'!$B$9,Paramètres!$A$1:$I$89,3,0)*0.475*44/12</f>
        <v>3.5879956689774077E-14</v>
      </c>
      <c r="AC130" s="24">
        <f t="shared" si="57"/>
        <v>1.4070174052073128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-1.6671037883497774E-13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283.28499080043167</v>
      </c>
      <c r="AO130" s="62">
        <f t="shared" si="90"/>
        <v>278.56966286485783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0.28585310792698898</v>
      </c>
      <c r="AV130" s="23">
        <f>EXP(-LN(2)/25)*AV129+(1-EXP(-LN(2)/25))/(LN(2)/25)*Calculateur!AQ130*Calculateur!AS130*VLOOKUP('Données projet'!$B$10,Paramètres!$A$1:$I$89,3,0)*0.475*44/12</f>
        <v>0.59184469276329321</v>
      </c>
      <c r="AW130" s="23">
        <f>EXP(-LN(2)/2)*AW129+(1-EXP(-LN(2)/2))/(LN(2)/2)*AQ130*AT130*VLOOKUP('Données projet'!$B$10,Paramètres!$A$1:$I$89,3,0)*0.475*44/12</f>
        <v>3.2581613379422391E-14</v>
      </c>
      <c r="AX130" s="23">
        <f t="shared" si="60"/>
        <v>0.87769780069031478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-1.8089849618263545E-13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303.91914071195419</v>
      </c>
      <c r="BJ130" s="62">
        <f t="shared" si="92"/>
        <v>298.30050362688769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0.1766021718133762</v>
      </c>
      <c r="BR130" s="23">
        <f>EXP(-LN(2)/2)*BR129+(1-EXP(-LN(2)/2))/(LN(2)/2)*BL130*BO130*VLOOKUP('Données projet'!$B$11,Paramètres!$A$1:$I$89,3,0)*0.475*44/12</f>
        <v>6.3942774569895644E-14</v>
      </c>
      <c r="BS130" s="24">
        <f t="shared" si="63"/>
        <v>0.17660217181344015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446.15737983598251</v>
      </c>
      <c r="CE130" s="62">
        <f t="shared" si="94"/>
        <v>282.2299715529382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4.4337866711430253E-14</v>
      </c>
      <c r="CV130" s="14">
        <f t="shared" si="95"/>
        <v>7.3222115536967035E-13</v>
      </c>
      <c r="CW130" s="22">
        <f t="shared" si="67"/>
        <v>1.3525069634579169E-12</v>
      </c>
      <c r="CX130" s="62">
        <f t="shared" si="68"/>
        <v>291.24782827374094</v>
      </c>
      <c r="CY130" s="62">
        <f ca="1">AVERAGE(OFFSET($CX$3,0,0,'Données projet'!$E$13+1,1))-AVERAGE(OFFSET($H$3,0,0,'Données projet'!$E$13+1,1))</f>
        <v>293.03320024876842</v>
      </c>
      <c r="CZ130" s="62">
        <f t="shared" si="96"/>
        <v>287.49994652707915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1.0299382164912783E-14</v>
      </c>
      <c r="DI130" s="24">
        <f t="shared" si="69"/>
        <v>1.0299382164912783E-14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-1.7053025658242404E-13</v>
      </c>
      <c r="DP130" s="18">
        <f>DO130*VLOOKUP('Données projet'!$B$14,Paramètres!$A$1:$I$89,3,0)*VLOOKUP('Données projet'!$B$14,Paramètres!$A$1:$I$89,5,0)</f>
        <v>-9.3109520094003535E-14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253.0312006976271</v>
      </c>
      <c r="DU130" s="62">
        <f t="shared" si="98"/>
        <v>365.93937083714866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0.97830301327768099</v>
      </c>
      <c r="EB130" s="23">
        <f>EXP(-LN(2)/25)*EB129+(1-EXP(-LN(2)/25))/(LN(2)/25)*Calculateur!DW130*Calculateur!DY130*VLOOKUP('Données projet'!$B$14,Paramètres!$A$1:$I$89,3,0)*0.475*44/12</f>
        <v>0.65225335155353803</v>
      </c>
      <c r="EC130" s="23">
        <f>EXP(-LN(2)/2)*EC129+(1-EXP(-LN(2)/2))/(LN(2)/2)*DW130*DZ130*VLOOKUP('Données projet'!$B$14,Paramètres!$A$1:$I$89,3,0)*0.475*44/12</f>
        <v>4.3928319739521419E-14</v>
      </c>
      <c r="ED130" s="24">
        <f t="shared" si="72"/>
        <v>1.6305563648312629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1.05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3.85</v>
      </c>
      <c r="H131" s="70">
        <f t="shared" si="56"/>
        <v>241.26666666666665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291.28400712403459</v>
      </c>
      <c r="S131" s="62">
        <f ca="1">AVERAGE(OFFSET($R$3,0,0,'Données projet'!$E$9+1,1))-AVERAGE(OFFSET($H$3,0,0,'Données projet'!$E$9+1,1))</f>
        <v>393.3487617557011</v>
      </c>
      <c r="T131" s="62">
        <f t="shared" si="88"/>
        <v>360.09400083977084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0.76112867416881924</v>
      </c>
      <c r="AA131" s="23">
        <f>EXP(-LN(2)/25)*AA130+(1-EXP(-LN(2)/25))/(LN(2)/25)*Calculateur!V131*Calculateur!X131*VLOOKUP('Données projet'!$B$9,Paramètres!$A$1:$I$89,3,0)*0.475*44/12</f>
        <v>0.61341936683187226</v>
      </c>
      <c r="AB131" s="23">
        <f>EXP(-LN(2)/2)*AB130+(1-EXP(-LN(2)/2))/(LN(2)/2)*V131*Y131*VLOOKUP('Données projet'!$B$9,Paramètres!$A$1:$I$89,3,0)*0.475*44/12</f>
        <v>2.5370960684018881E-14</v>
      </c>
      <c r="AC131" s="24">
        <f t="shared" si="57"/>
        <v>1.3745480410007169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-1.6671037883497774E-13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283.28499080043167</v>
      </c>
      <c r="AO131" s="62">
        <f t="shared" si="90"/>
        <v>278.56966286485783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0.28024770283372064</v>
      </c>
      <c r="AV131" s="23">
        <f>EXP(-LN(2)/25)*AV130+(1-EXP(-LN(2)/25))/(LN(2)/25)*Calculateur!AQ131*Calculateur!AS131*VLOOKUP('Données projet'!$B$10,Paramètres!$A$1:$I$89,3,0)*0.475*44/12</f>
        <v>0.57566066851592124</v>
      </c>
      <c r="AW131" s="23">
        <f>EXP(-LN(2)/2)*AW130+(1-EXP(-LN(2)/2))/(LN(2)/2)*AQ131*AT131*VLOOKUP('Données projet'!$B$10,Paramètres!$A$1:$I$89,3,0)*0.475*44/12</f>
        <v>2.3038679762587918E-14</v>
      </c>
      <c r="AX131" s="23">
        <f t="shared" si="60"/>
        <v>0.85590837134966491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-1.8089849618263545E-13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303.91914071195419</v>
      </c>
      <c r="BJ131" s="62">
        <f t="shared" si="92"/>
        <v>298.30050362688769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0.17177297613803486</v>
      </c>
      <c r="BR131" s="23">
        <f>EXP(-LN(2)/2)*BR130+(1-EXP(-LN(2)/2))/(LN(2)/2)*BL131*BO131*VLOOKUP('Données projet'!$B$11,Paramètres!$A$1:$I$89,3,0)*0.475*44/12</f>
        <v>4.5214369506255935E-14</v>
      </c>
      <c r="BS131" s="24">
        <f t="shared" si="63"/>
        <v>0.17177297613808007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446.15737983598251</v>
      </c>
      <c r="CE131" s="62">
        <f t="shared" si="94"/>
        <v>282.2299715529382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4.4337866711430253E-14</v>
      </c>
      <c r="CV131" s="14">
        <f t="shared" si="95"/>
        <v>7.3222115536967035E-13</v>
      </c>
      <c r="CW131" s="22">
        <f t="shared" si="67"/>
        <v>1.3525069634579169E-12</v>
      </c>
      <c r="CX131" s="62">
        <f t="shared" si="68"/>
        <v>291.28400712403408</v>
      </c>
      <c r="CY131" s="62">
        <f ca="1">AVERAGE(OFFSET($CX$3,0,0,'Données projet'!$E$13+1,1))-AVERAGE(OFFSET($H$3,0,0,'Données projet'!$E$13+1,1))</f>
        <v>293.03320024876842</v>
      </c>
      <c r="CZ131" s="62">
        <f t="shared" si="96"/>
        <v>287.49994652707915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7.2827629708416131E-15</v>
      </c>
      <c r="DI131" s="24">
        <f t="shared" si="69"/>
        <v>7.2827629708416131E-15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-1.7053025658242404E-13</v>
      </c>
      <c r="DP131" s="18">
        <f>DO131*VLOOKUP('Données projet'!$B$14,Paramètres!$A$1:$I$89,3,0)*VLOOKUP('Données projet'!$B$14,Paramètres!$A$1:$I$89,5,0)</f>
        <v>-9.3109520094003535E-14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253.0312006976271</v>
      </c>
      <c r="DU131" s="62">
        <f t="shared" si="98"/>
        <v>365.93937083714866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0.95911908789322398</v>
      </c>
      <c r="EB131" s="23">
        <f>EXP(-LN(2)/25)*EB130+(1-EXP(-LN(2)/25))/(LN(2)/25)*Calculateur!DW131*Calculateur!DY131*VLOOKUP('Données projet'!$B$14,Paramètres!$A$1:$I$89,3,0)*0.475*44/12</f>
        <v>0.63441744935479349</v>
      </c>
      <c r="EC131" s="23">
        <f>EXP(-LN(2)/2)*EC130+(1-EXP(-LN(2)/2))/(LN(2)/2)*DW131*DZ131*VLOOKUP('Données projet'!$B$14,Paramètres!$A$1:$I$89,3,0)*0.475*44/12</f>
        <v>3.1062012773946467E-14</v>
      </c>
      <c r="ED131" s="24">
        <f t="shared" si="72"/>
        <v>1.5935365372480486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1.05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3.85</v>
      </c>
      <c r="H132" s="70">
        <f t="shared" ref="H132:H195" si="110">(B132+E132+F132)*44/12+(C132+D132)*0.475*44/12</f>
        <v>241.26666666666665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291.31955835215894</v>
      </c>
      <c r="S132" s="62">
        <f ca="1">AVERAGE(OFFSET($R$3,0,0,'Données projet'!$E$9+1,1))-AVERAGE(OFFSET($H$3,0,0,'Données projet'!$E$9+1,1))</f>
        <v>393.3487617557011</v>
      </c>
      <c r="T132" s="62">
        <f t="shared" si="88"/>
        <v>360.09400083977084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0.74620340511101979</v>
      </c>
      <c r="AA132" s="23">
        <f>EXP(-LN(2)/25)*AA131+(1-EXP(-LN(2)/25))/(LN(2)/25)*Calculateur!V132*Calculateur!X132*VLOOKUP('Données projet'!$B$9,Paramètres!$A$1:$I$89,3,0)*0.475*44/12</f>
        <v>0.59664538198753225</v>
      </c>
      <c r="AB132" s="23">
        <f>EXP(-LN(2)/2)*AB131+(1-EXP(-LN(2)/2))/(LN(2)/2)*V132*Y132*VLOOKUP('Données projet'!$B$9,Paramètres!$A$1:$I$89,3,0)*0.475*44/12</f>
        <v>1.7939978344887039E-14</v>
      </c>
      <c r="AC132" s="24">
        <f t="shared" ref="AC132:AC153" si="111">SUM(Z132:AB132)</f>
        <v>1.3428487870985701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-1.6671037883497774E-13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283.28499080043167</v>
      </c>
      <c r="AO132" s="62">
        <f t="shared" si="90"/>
        <v>278.56966286485783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0.27475221631537172</v>
      </c>
      <c r="AV132" s="23">
        <f>EXP(-LN(2)/25)*AV131+(1-EXP(-LN(2)/25))/(LN(2)/25)*Calculateur!AQ132*Calculateur!AS132*VLOOKUP('Données projet'!$B$10,Paramètres!$A$1:$I$89,3,0)*0.475*44/12</f>
        <v>0.55991919726267447</v>
      </c>
      <c r="AW132" s="23">
        <f>EXP(-LN(2)/2)*AW131+(1-EXP(-LN(2)/2))/(LN(2)/2)*AQ132*AT132*VLOOKUP('Données projet'!$B$10,Paramètres!$A$1:$I$89,3,0)*0.475*44/12</f>
        <v>1.6290806689711196E-14</v>
      </c>
      <c r="AX132" s="23">
        <f t="shared" ref="AX132:AX153" si="114">SUM(AU132:AW132)</f>
        <v>0.83467141357806252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-1.8089849618263545E-13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303.91914071195419</v>
      </c>
      <c r="BJ132" s="62">
        <f t="shared" si="92"/>
        <v>298.30050362688769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0.16707583507239207</v>
      </c>
      <c r="BR132" s="23">
        <f>EXP(-LN(2)/2)*BR131+(1-EXP(-LN(2)/2))/(LN(2)/2)*BL132*BO132*VLOOKUP('Données projet'!$B$11,Paramètres!$A$1:$I$89,3,0)*0.475*44/12</f>
        <v>3.1971387284947822E-14</v>
      </c>
      <c r="BS132" s="24">
        <f t="shared" ref="BS132:BS153" si="117">SUM(BP132:BR132)</f>
        <v>0.16707583507242404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446.15737983598251</v>
      </c>
      <c r="CE132" s="62">
        <f t="shared" si="94"/>
        <v>282.2299715529382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4.4337866711430253E-14</v>
      </c>
      <c r="CV132" s="14">
        <f t="shared" si="95"/>
        <v>7.3222115536967035E-13</v>
      </c>
      <c r="CW132" s="22">
        <f t="shared" ref="CW132:CW153" si="121">(CU132+CV132)*0.475*44/12</f>
        <v>1.3525069634579169E-12</v>
      </c>
      <c r="CX132" s="62">
        <f t="shared" ref="CX132:CX195" si="122">CW132+(CO132+CP132)*44/12</f>
        <v>291.31955835215842</v>
      </c>
      <c r="CY132" s="62">
        <f ca="1">AVERAGE(OFFSET($CX$3,0,0,'Données projet'!$E$13+1,1))-AVERAGE(OFFSET($H$3,0,0,'Données projet'!$E$13+1,1))</f>
        <v>293.03320024876842</v>
      </c>
      <c r="CZ132" s="62">
        <f t="shared" si="96"/>
        <v>287.49994652707915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5.1496910824563914E-15</v>
      </c>
      <c r="DI132" s="24">
        <f t="shared" ref="DI132:DI153" si="123">SUM(DF132:DH132)</f>
        <v>5.1496910824563914E-15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-1.7053025658242404E-13</v>
      </c>
      <c r="DP132" s="18">
        <f>DO132*VLOOKUP('Données projet'!$B$14,Paramètres!$A$1:$I$89,3,0)*VLOOKUP('Données projet'!$B$14,Paramètres!$A$1:$I$89,5,0)</f>
        <v>-9.3109520094003535E-14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253.0312006976271</v>
      </c>
      <c r="DU132" s="62">
        <f t="shared" si="98"/>
        <v>365.93937083714866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0.94031134758451707</v>
      </c>
      <c r="EB132" s="23">
        <f>EXP(-LN(2)/25)*EB131+(1-EXP(-LN(2)/25))/(LN(2)/25)*Calculateur!DW132*Calculateur!DY132*VLOOKUP('Données projet'!$B$14,Paramètres!$A$1:$I$89,3,0)*0.475*44/12</f>
        <v>0.61706927083962304</v>
      </c>
      <c r="EC132" s="23">
        <f>EXP(-LN(2)/2)*EC131+(1-EXP(-LN(2)/2))/(LN(2)/2)*DW132*DZ132*VLOOKUP('Données projet'!$B$14,Paramètres!$A$1:$I$89,3,0)*0.475*44/12</f>
        <v>2.1964159869760709E-14</v>
      </c>
      <c r="ED132" s="24">
        <f t="shared" ref="ED132:ED153" si="126">SUM(EA132:EC132)</f>
        <v>1.5573806184241621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1.05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3.85</v>
      </c>
      <c r="H133" s="70">
        <f t="shared" si="110"/>
        <v>241.26666666666665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291.35449284595597</v>
      </c>
      <c r="S133" s="62">
        <f ca="1">AVERAGE(OFFSET($R$3,0,0,'Données projet'!$E$9+1,1))-AVERAGE(OFFSET($H$3,0,0,'Données projet'!$E$9+1,1))</f>
        <v>393.3487617557011</v>
      </c>
      <c r="T133" s="62">
        <f t="shared" ref="T133:T196" si="142">$T$3</f>
        <v>360.09400083977084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0.73157081147592851</v>
      </c>
      <c r="AA133" s="23">
        <f>EXP(-LN(2)/25)*AA132+(1-EXP(-LN(2)/25))/(LN(2)/25)*Calculateur!V133*Calculateur!X133*VLOOKUP('Données projet'!$B$9,Paramètres!$A$1:$I$89,3,0)*0.475*44/12</f>
        <v>0.58033008264086616</v>
      </c>
      <c r="AB133" s="23">
        <f>EXP(-LN(2)/2)*AB132+(1-EXP(-LN(2)/2))/(LN(2)/2)*V133*Y133*VLOOKUP('Données projet'!$B$9,Paramètres!$A$1:$I$89,3,0)*0.475*44/12</f>
        <v>1.268548034200944E-14</v>
      </c>
      <c r="AC133" s="24">
        <f t="shared" si="111"/>
        <v>1.3119008941168073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-1.6671037883497774E-13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283.28499080043167</v>
      </c>
      <c r="AO133" s="62">
        <f t="shared" ref="AO133:AO196" si="144">$AO$3</f>
        <v>278.56966286485783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0.26936449293573184</v>
      </c>
      <c r="AV133" s="23">
        <f>EXP(-LN(2)/25)*AV132+(1-EXP(-LN(2)/25))/(LN(2)/25)*Calculateur!AQ133*Calculateur!AS133*VLOOKUP('Données projet'!$B$10,Paramètres!$A$1:$I$89,3,0)*0.475*44/12</f>
        <v>0.54460817736865574</v>
      </c>
      <c r="AW133" s="23">
        <f>EXP(-LN(2)/2)*AW132+(1-EXP(-LN(2)/2))/(LN(2)/2)*AQ133*AT133*VLOOKUP('Données projet'!$B$10,Paramètres!$A$1:$I$89,3,0)*0.475*44/12</f>
        <v>1.1519339881293959E-14</v>
      </c>
      <c r="AX133" s="23">
        <f t="shared" si="114"/>
        <v>0.81397267030439913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-1.8089849618263545E-13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303.91914071195419</v>
      </c>
      <c r="BJ133" s="62">
        <f t="shared" ref="BJ133:BJ196" si="146">$BJ$3</f>
        <v>298.30050362688769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0.16250713757620119</v>
      </c>
      <c r="BR133" s="23">
        <f>EXP(-LN(2)/2)*BR132+(1-EXP(-LN(2)/2))/(LN(2)/2)*BL133*BO133*VLOOKUP('Données projet'!$B$11,Paramètres!$A$1:$I$89,3,0)*0.475*44/12</f>
        <v>2.2607184753127967E-14</v>
      </c>
      <c r="BS133" s="24">
        <f t="shared" si="117"/>
        <v>0.16250713757622381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446.15737983598251</v>
      </c>
      <c r="CE133" s="62">
        <f t="shared" ref="CE133:CE196" si="148">$CE$3</f>
        <v>282.2299715529382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4.4337866711430253E-14</v>
      </c>
      <c r="CV133" s="14">
        <f t="shared" ref="CV133:CV153" si="149">EXP(-1.0587+0.8836*LN(CU133)+0.284)</f>
        <v>7.3222115536967035E-13</v>
      </c>
      <c r="CW133" s="22">
        <f t="shared" si="121"/>
        <v>1.3525069634579169E-12</v>
      </c>
      <c r="CX133" s="62">
        <f t="shared" si="122"/>
        <v>291.35449284595546</v>
      </c>
      <c r="CY133" s="62">
        <f ca="1">AVERAGE(OFFSET($CX$3,0,0,'Données projet'!$E$13+1,1))-AVERAGE(OFFSET($H$3,0,0,'Données projet'!$E$13+1,1))</f>
        <v>293.03320024876842</v>
      </c>
      <c r="CZ133" s="62">
        <f t="shared" ref="CZ133:CZ196" si="150">$CZ$3</f>
        <v>287.49994652707915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3.6413814854208066E-15</v>
      </c>
      <c r="DI133" s="24">
        <f t="shared" si="123"/>
        <v>3.6413814854208066E-15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-1.7053025658242404E-13</v>
      </c>
      <c r="DP133" s="18">
        <f>DO133*VLOOKUP('Données projet'!$B$14,Paramètres!$A$1:$I$89,3,0)*VLOOKUP('Données projet'!$B$14,Paramètres!$A$1:$I$89,5,0)</f>
        <v>-9.3109520094003535E-14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253.0312006976271</v>
      </c>
      <c r="DU133" s="62">
        <f t="shared" ref="DU133:DU196" si="152">$DU$3</f>
        <v>365.93937083714866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0.92187241559167499</v>
      </c>
      <c r="EB133" s="23">
        <f>EXP(-LN(2)/25)*EB132+(1-EXP(-LN(2)/25))/(LN(2)/25)*Calculateur!DW133*Calculateur!DY133*VLOOKUP('Données projet'!$B$14,Paramètres!$A$1:$I$89,3,0)*0.475*44/12</f>
        <v>0.60019547917825089</v>
      </c>
      <c r="EC133" s="23">
        <f>EXP(-LN(2)/2)*EC132+(1-EXP(-LN(2)/2))/(LN(2)/2)*DW133*DZ133*VLOOKUP('Données projet'!$B$14,Paramètres!$A$1:$I$89,3,0)*0.475*44/12</f>
        <v>1.5531006386973234E-14</v>
      </c>
      <c r="ED133" s="24">
        <f t="shared" si="126"/>
        <v>1.5220678947699415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1.05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3.85</v>
      </c>
      <c r="H134" s="70">
        <f t="shared" si="110"/>
        <v>241.26666666666665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291.38882130438742</v>
      </c>
      <c r="S134" s="62">
        <f ca="1">AVERAGE(OFFSET($R$3,0,0,'Données projet'!$E$9+1,1))-AVERAGE(OFFSET($H$3,0,0,'Données projet'!$E$9+1,1))</f>
        <v>393.3487617557011</v>
      </c>
      <c r="T134" s="62">
        <f t="shared" si="142"/>
        <v>360.09400083977084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0.71722515407702059</v>
      </c>
      <c r="AA134" s="23">
        <f>EXP(-LN(2)/25)*AA133+(1-EXP(-LN(2)/25))/(LN(2)/25)*Calculateur!V134*Calculateur!X134*VLOOKUP('Données projet'!$B$9,Paramètres!$A$1:$I$89,3,0)*0.475*44/12</f>
        <v>0.56446092601281894</v>
      </c>
      <c r="AB134" s="23">
        <f>EXP(-LN(2)/2)*AB133+(1-EXP(-LN(2)/2))/(LN(2)/2)*V134*Y134*VLOOKUP('Données projet'!$B$9,Paramètres!$A$1:$I$89,3,0)*0.475*44/12</f>
        <v>8.9699891724435193E-15</v>
      </c>
      <c r="AC134" s="24">
        <f t="shared" si="111"/>
        <v>1.2816860800898484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-1.6671037883497774E-13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283.28499080043167</v>
      </c>
      <c r="AO134" s="62">
        <f t="shared" si="144"/>
        <v>278.56966286485783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0.26408241952537992</v>
      </c>
      <c r="AV134" s="23">
        <f>EXP(-LN(2)/25)*AV133+(1-EXP(-LN(2)/25))/(LN(2)/25)*Calculateur!AQ134*Calculateur!AS134*VLOOKUP('Données projet'!$B$10,Paramètres!$A$1:$I$89,3,0)*0.475*44/12</f>
        <v>0.52971583811881051</v>
      </c>
      <c r="AW134" s="23">
        <f>EXP(-LN(2)/2)*AW133+(1-EXP(-LN(2)/2))/(LN(2)/2)*AQ134*AT134*VLOOKUP('Données projet'!$B$10,Paramètres!$A$1:$I$89,3,0)*0.475*44/12</f>
        <v>8.1454033448555978E-15</v>
      </c>
      <c r="AX134" s="23">
        <f t="shared" si="114"/>
        <v>0.79379825764419853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-1.8089849618263545E-13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303.91914071195419</v>
      </c>
      <c r="BJ134" s="62">
        <f t="shared" si="146"/>
        <v>298.30050362688769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0.15806337135330104</v>
      </c>
      <c r="BR134" s="23">
        <f>EXP(-LN(2)/2)*BR133+(1-EXP(-LN(2)/2))/(LN(2)/2)*BL134*BO134*VLOOKUP('Données projet'!$B$11,Paramètres!$A$1:$I$89,3,0)*0.475*44/12</f>
        <v>1.5985693642473911E-14</v>
      </c>
      <c r="BS134" s="24">
        <f t="shared" si="117"/>
        <v>0.15806337135331702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446.15737983598251</v>
      </c>
      <c r="CE134" s="62">
        <f t="shared" si="148"/>
        <v>282.2299715529382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4.4337866711430253E-14</v>
      </c>
      <c r="CV134" s="14">
        <f t="shared" si="149"/>
        <v>7.3222115536967035E-13</v>
      </c>
      <c r="CW134" s="22">
        <f t="shared" si="121"/>
        <v>1.3525069634579169E-12</v>
      </c>
      <c r="CX134" s="62">
        <f t="shared" si="122"/>
        <v>291.38882130438691</v>
      </c>
      <c r="CY134" s="62">
        <f ca="1">AVERAGE(OFFSET($CX$3,0,0,'Données projet'!$E$13+1,1))-AVERAGE(OFFSET($H$3,0,0,'Données projet'!$E$13+1,1))</f>
        <v>293.03320024876842</v>
      </c>
      <c r="CZ134" s="62">
        <f t="shared" si="150"/>
        <v>287.49994652707915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2.5748455412281957E-15</v>
      </c>
      <c r="DI134" s="24">
        <f t="shared" si="123"/>
        <v>2.5748455412281957E-15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-1.7053025658242404E-13</v>
      </c>
      <c r="DP134" s="18">
        <f>DO134*VLOOKUP('Données projet'!$B$14,Paramètres!$A$1:$I$89,3,0)*VLOOKUP('Données projet'!$B$14,Paramètres!$A$1:$I$89,5,0)</f>
        <v>-9.3109520094003535E-14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253.0312006976271</v>
      </c>
      <c r="DU134" s="62">
        <f t="shared" si="152"/>
        <v>365.93937083714866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0.90379505980857455</v>
      </c>
      <c r="EB134" s="23">
        <f>EXP(-LN(2)/25)*EB133+(1-EXP(-LN(2)/25))/(LN(2)/25)*Calculateur!DW134*Calculateur!DY134*VLOOKUP('Données projet'!$B$14,Paramètres!$A$1:$I$89,3,0)*0.475*44/12</f>
        <v>0.58378310223721308</v>
      </c>
      <c r="EC134" s="23">
        <f>EXP(-LN(2)/2)*EC133+(1-EXP(-LN(2)/2))/(LN(2)/2)*DW134*DZ134*VLOOKUP('Données projet'!$B$14,Paramètres!$A$1:$I$89,3,0)*0.475*44/12</f>
        <v>1.0982079934880355E-14</v>
      </c>
      <c r="ED134" s="24">
        <f t="shared" si="126"/>
        <v>1.4875781620457984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1.05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3.85</v>
      </c>
      <c r="H135" s="70">
        <f t="shared" si="110"/>
        <v>241.26666666666665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291.42255424081202</v>
      </c>
      <c r="S135" s="62">
        <f ca="1">AVERAGE(OFFSET($R$3,0,0,'Données projet'!$E$9+1,1))-AVERAGE(OFFSET($H$3,0,0,'Données projet'!$E$9+1,1))</f>
        <v>393.3487617557011</v>
      </c>
      <c r="T135" s="62">
        <f t="shared" si="142"/>
        <v>360.09400083977084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0.70316080626971822</v>
      </c>
      <c r="AA135" s="23">
        <f>EXP(-LN(2)/25)*AA134+(1-EXP(-LN(2)/25))/(LN(2)/25)*Calculateur!V135*Calculateur!X135*VLOOKUP('Données projet'!$B$9,Paramètres!$A$1:$I$89,3,0)*0.475*44/12</f>
        <v>0.54902571230728836</v>
      </c>
      <c r="AB135" s="23">
        <f>EXP(-LN(2)/2)*AB134+(1-EXP(-LN(2)/2))/(LN(2)/2)*V135*Y135*VLOOKUP('Données projet'!$B$9,Paramètres!$A$1:$I$89,3,0)*0.475*44/12</f>
        <v>6.3427401710047202E-15</v>
      </c>
      <c r="AC135" s="24">
        <f t="shared" si="111"/>
        <v>1.2521865185770131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-1.6671037883497774E-13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283.28499080043167</v>
      </c>
      <c r="AO135" s="62">
        <f t="shared" si="144"/>
        <v>278.56966286485783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0.25890392435285836</v>
      </c>
      <c r="AV135" s="23">
        <f>EXP(-LN(2)/25)*AV134+(1-EXP(-LN(2)/25))/(LN(2)/25)*Calculateur!AQ135*Calculateur!AS135*VLOOKUP('Données projet'!$B$10,Paramètres!$A$1:$I$89,3,0)*0.475*44/12</f>
        <v>0.51523073066890634</v>
      </c>
      <c r="AW135" s="23">
        <f>EXP(-LN(2)/2)*AW134+(1-EXP(-LN(2)/2))/(LN(2)/2)*AQ135*AT135*VLOOKUP('Données projet'!$B$10,Paramètres!$A$1:$I$89,3,0)*0.475*44/12</f>
        <v>5.7596699406469795E-15</v>
      </c>
      <c r="AX135" s="23">
        <f t="shared" si="114"/>
        <v>0.77413465502177048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-1.8089849618263545E-13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303.91914071195419</v>
      </c>
      <c r="BJ135" s="62">
        <f t="shared" si="146"/>
        <v>298.30050362688769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0.15374112015145358</v>
      </c>
      <c r="BR135" s="23">
        <f>EXP(-LN(2)/2)*BR134+(1-EXP(-LN(2)/2))/(LN(2)/2)*BL135*BO135*VLOOKUP('Données projet'!$B$11,Paramètres!$A$1:$I$89,3,0)*0.475*44/12</f>
        <v>1.1303592376563984E-14</v>
      </c>
      <c r="BS135" s="24">
        <f t="shared" si="117"/>
        <v>0.15374112015146488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446.15737983598251</v>
      </c>
      <c r="CE135" s="62">
        <f t="shared" si="148"/>
        <v>282.2299715529382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4.4337866711430253E-14</v>
      </c>
      <c r="CV135" s="14">
        <f t="shared" si="149"/>
        <v>7.3222115536967035E-13</v>
      </c>
      <c r="CW135" s="22">
        <f t="shared" si="121"/>
        <v>1.3525069634579169E-12</v>
      </c>
      <c r="CX135" s="62">
        <f t="shared" si="122"/>
        <v>291.42255424081151</v>
      </c>
      <c r="CY135" s="62">
        <f ca="1">AVERAGE(OFFSET($CX$3,0,0,'Données projet'!$E$13+1,1))-AVERAGE(OFFSET($H$3,0,0,'Données projet'!$E$13+1,1))</f>
        <v>293.03320024876842</v>
      </c>
      <c r="CZ135" s="62">
        <f t="shared" si="150"/>
        <v>287.49994652707915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1.8206907427104033E-15</v>
      </c>
      <c r="DI135" s="24">
        <f t="shared" si="123"/>
        <v>1.8206907427104033E-15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-1.7053025658242404E-13</v>
      </c>
      <c r="DP135" s="18">
        <f>DO135*VLOOKUP('Données projet'!$B$14,Paramètres!$A$1:$I$89,3,0)*VLOOKUP('Données projet'!$B$14,Paramètres!$A$1:$I$89,5,0)</f>
        <v>-9.3109520094003535E-14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253.0312006976271</v>
      </c>
      <c r="DU135" s="62">
        <f t="shared" si="152"/>
        <v>365.93937083714866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0.88607218994628245</v>
      </c>
      <c r="EB135" s="23">
        <f>EXP(-LN(2)/25)*EB134+(1-EXP(-LN(2)/25))/(LN(2)/25)*Calculateur!DW135*Calculateur!DY135*VLOOKUP('Données projet'!$B$14,Paramètres!$A$1:$I$89,3,0)*0.475*44/12</f>
        <v>0.56781952260671742</v>
      </c>
      <c r="EC135" s="23">
        <f>EXP(-LN(2)/2)*EC134+(1-EXP(-LN(2)/2))/(LN(2)/2)*DW135*DZ135*VLOOKUP('Données projet'!$B$14,Paramètres!$A$1:$I$89,3,0)*0.475*44/12</f>
        <v>7.7655031934866168E-15</v>
      </c>
      <c r="ED135" s="24">
        <f t="shared" si="126"/>
        <v>1.4538917125530075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1.05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3.85</v>
      </c>
      <c r="H136" s="70">
        <f t="shared" si="110"/>
        <v>241.26666666666665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291.45570198620521</v>
      </c>
      <c r="S136" s="62">
        <f ca="1">AVERAGE(OFFSET($R$3,0,0,'Données projet'!$E$9+1,1))-AVERAGE(OFFSET($H$3,0,0,'Données projet'!$E$9+1,1))</f>
        <v>393.3487617557011</v>
      </c>
      <c r="T136" s="62">
        <f t="shared" si="142"/>
        <v>360.09400083977084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0.68937225174451189</v>
      </c>
      <c r="AA136" s="23">
        <f>EXP(-LN(2)/25)*AA135+(1-EXP(-LN(2)/25))/(LN(2)/25)*Calculateur!V136*Calculateur!X136*VLOOKUP('Données projet'!$B$9,Paramètres!$A$1:$I$89,3,0)*0.475*44/12</f>
        <v>0.53401257533223812</v>
      </c>
      <c r="AB136" s="23">
        <f>EXP(-LN(2)/2)*AB135+(1-EXP(-LN(2)/2))/(LN(2)/2)*V136*Y136*VLOOKUP('Données projet'!$B$9,Paramètres!$A$1:$I$89,3,0)*0.475*44/12</f>
        <v>4.4849945862217597E-15</v>
      </c>
      <c r="AC136" s="24">
        <f t="shared" si="111"/>
        <v>1.2233848270767544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-1.6671037883497774E-13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283.28499080043167</v>
      </c>
      <c r="AO136" s="62">
        <f t="shared" si="144"/>
        <v>278.56966286485783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0.25382697631209977</v>
      </c>
      <c r="AV136" s="23">
        <f>EXP(-LN(2)/25)*AV135+(1-EXP(-LN(2)/25))/(LN(2)/25)*Calculateur!AQ136*Calculateur!AS136*VLOOKUP('Données projet'!$B$10,Paramètres!$A$1:$I$89,3,0)*0.475*44/12</f>
        <v>0.50114171924395856</v>
      </c>
      <c r="AW136" s="23">
        <f>EXP(-LN(2)/2)*AW135+(1-EXP(-LN(2)/2))/(LN(2)/2)*AQ136*AT136*VLOOKUP('Données projet'!$B$10,Paramètres!$A$1:$I$89,3,0)*0.475*44/12</f>
        <v>4.0727016724277989E-15</v>
      </c>
      <c r="AX136" s="23">
        <f t="shared" si="114"/>
        <v>0.7549686955560625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-1.8089849618263545E-13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303.91914071195419</v>
      </c>
      <c r="BJ136" s="62">
        <f t="shared" si="146"/>
        <v>298.30050362688769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0.14953706113601795</v>
      </c>
      <c r="BR136" s="23">
        <f>EXP(-LN(2)/2)*BR135+(1-EXP(-LN(2)/2))/(LN(2)/2)*BL136*BO136*VLOOKUP('Données projet'!$B$11,Paramètres!$A$1:$I$89,3,0)*0.475*44/12</f>
        <v>7.9928468212369555E-15</v>
      </c>
      <c r="BS136" s="24">
        <f t="shared" si="117"/>
        <v>0.14953706113602594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446.15737983598251</v>
      </c>
      <c r="CE136" s="62">
        <f t="shared" si="148"/>
        <v>282.2299715529382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4.4337866711430253E-14</v>
      </c>
      <c r="CV136" s="14">
        <f t="shared" si="149"/>
        <v>7.3222115536967035E-13</v>
      </c>
      <c r="CW136" s="22">
        <f t="shared" si="121"/>
        <v>1.3525069634579169E-12</v>
      </c>
      <c r="CX136" s="62">
        <f t="shared" si="122"/>
        <v>291.4557019862047</v>
      </c>
      <c r="CY136" s="62">
        <f ca="1">AVERAGE(OFFSET($CX$3,0,0,'Données projet'!$E$13+1,1))-AVERAGE(OFFSET($H$3,0,0,'Données projet'!$E$13+1,1))</f>
        <v>293.03320024876842</v>
      </c>
      <c r="CZ136" s="62">
        <f t="shared" si="150"/>
        <v>287.49994652707915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1.2874227706140979E-15</v>
      </c>
      <c r="DI136" s="24">
        <f t="shared" si="123"/>
        <v>1.2874227706140979E-15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-1.7053025658242404E-13</v>
      </c>
      <c r="DP136" s="18">
        <f>DO136*VLOOKUP('Données projet'!$B$14,Paramètres!$A$1:$I$89,3,0)*VLOOKUP('Données projet'!$B$14,Paramètres!$A$1:$I$89,5,0)</f>
        <v>-9.3109520094003535E-14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253.0312006976271</v>
      </c>
      <c r="DU136" s="62">
        <f t="shared" si="152"/>
        <v>365.93937083714866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0.86869685475210667</v>
      </c>
      <c r="EB136" s="23">
        <f>EXP(-LN(2)/25)*EB135+(1-EXP(-LN(2)/25))/(LN(2)/25)*Calculateur!DW136*Calculateur!DY136*VLOOKUP('Données projet'!$B$14,Paramètres!$A$1:$I$89,3,0)*0.475*44/12</f>
        <v>0.55229246790070585</v>
      </c>
      <c r="EC136" s="23">
        <f>EXP(-LN(2)/2)*EC135+(1-EXP(-LN(2)/2))/(LN(2)/2)*DW136*DZ136*VLOOKUP('Données projet'!$B$14,Paramètres!$A$1:$I$89,3,0)*0.475*44/12</f>
        <v>5.4910399674401773E-15</v>
      </c>
      <c r="ED136" s="24">
        <f t="shared" si="126"/>
        <v>1.4209893226528181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1.05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3.85</v>
      </c>
      <c r="H137" s="70">
        <f t="shared" si="110"/>
        <v>241.26666666666665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291.4882746923231</v>
      </c>
      <c r="S137" s="62">
        <f ca="1">AVERAGE(OFFSET($R$3,0,0,'Données projet'!$E$9+1,1))-AVERAGE(OFFSET($H$3,0,0,'Données projet'!$E$9+1,1))</f>
        <v>393.3487617557011</v>
      </c>
      <c r="T137" s="62">
        <f t="shared" si="142"/>
        <v>360.09400083977084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0.67585408236335709</v>
      </c>
      <c r="AA137" s="23">
        <f>EXP(-LN(2)/25)*AA136+(1-EXP(-LN(2)/25))/(LN(2)/25)*Calculateur!V137*Calculateur!X137*VLOOKUP('Données projet'!$B$9,Paramètres!$A$1:$I$89,3,0)*0.475*44/12</f>
        <v>0.51940997337727723</v>
      </c>
      <c r="AB137" s="23">
        <f>EXP(-LN(2)/2)*AB136+(1-EXP(-LN(2)/2))/(LN(2)/2)*V137*Y137*VLOOKUP('Données projet'!$B$9,Paramètres!$A$1:$I$89,3,0)*0.475*44/12</f>
        <v>3.1713700855023601E-15</v>
      </c>
      <c r="AC137" s="24">
        <f t="shared" si="111"/>
        <v>1.1952640557406373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-1.6671037883497774E-13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283.28499080043167</v>
      </c>
      <c r="AO137" s="62">
        <f t="shared" si="144"/>
        <v>278.56966286485783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0.24884958412578792</v>
      </c>
      <c r="AV137" s="23">
        <f>EXP(-LN(2)/25)*AV136+(1-EXP(-LN(2)/25))/(LN(2)/25)*Calculateur!AQ137*Calculateur!AS137*VLOOKUP('Données projet'!$B$10,Paramètres!$A$1:$I$89,3,0)*0.475*44/12</f>
        <v>0.4874379725773349</v>
      </c>
      <c r="AW137" s="23">
        <f>EXP(-LN(2)/2)*AW136+(1-EXP(-LN(2)/2))/(LN(2)/2)*AQ137*AT137*VLOOKUP('Données projet'!$B$10,Paramètres!$A$1:$I$89,3,0)*0.475*44/12</f>
        <v>2.8798349703234898E-15</v>
      </c>
      <c r="AX137" s="23">
        <f t="shared" si="114"/>
        <v>0.73628755670312573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-1.8089849618263545E-13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303.91914071195419</v>
      </c>
      <c r="BJ137" s="62">
        <f t="shared" si="146"/>
        <v>298.30050362688769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0.14544796233544127</v>
      </c>
      <c r="BR137" s="23">
        <f>EXP(-LN(2)/2)*BR136+(1-EXP(-LN(2)/2))/(LN(2)/2)*BL137*BO137*VLOOKUP('Données projet'!$B$11,Paramètres!$A$1:$I$89,3,0)*0.475*44/12</f>
        <v>5.6517961882819919E-15</v>
      </c>
      <c r="BS137" s="24">
        <f t="shared" si="117"/>
        <v>0.14544796233544693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446.15737983598251</v>
      </c>
      <c r="CE137" s="62">
        <f t="shared" si="148"/>
        <v>282.2299715529382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4.4337866711430253E-14</v>
      </c>
      <c r="CV137" s="14">
        <f t="shared" si="149"/>
        <v>7.3222115536967035E-13</v>
      </c>
      <c r="CW137" s="22">
        <f t="shared" si="121"/>
        <v>1.3525069634579169E-12</v>
      </c>
      <c r="CX137" s="62">
        <f t="shared" si="122"/>
        <v>291.48827469232259</v>
      </c>
      <c r="CY137" s="62">
        <f ca="1">AVERAGE(OFFSET($CX$3,0,0,'Données projet'!$E$13+1,1))-AVERAGE(OFFSET($H$3,0,0,'Données projet'!$E$13+1,1))</f>
        <v>293.03320024876842</v>
      </c>
      <c r="CZ137" s="62">
        <f t="shared" si="150"/>
        <v>287.49994652707915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9.1034537135520164E-16</v>
      </c>
      <c r="DI137" s="24">
        <f t="shared" si="123"/>
        <v>9.1034537135520164E-16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-1.7053025658242404E-13</v>
      </c>
      <c r="DP137" s="18">
        <f>DO137*VLOOKUP('Données projet'!$B$14,Paramètres!$A$1:$I$89,3,0)*VLOOKUP('Données projet'!$B$14,Paramètres!$A$1:$I$89,5,0)</f>
        <v>-9.3109520094003535E-14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253.0312006976271</v>
      </c>
      <c r="DU137" s="62">
        <f t="shared" si="152"/>
        <v>365.93937083714866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0.85166223928318063</v>
      </c>
      <c r="EB137" s="23">
        <f>EXP(-LN(2)/25)*EB136+(1-EXP(-LN(2)/25))/(LN(2)/25)*Calculateur!DW137*Calculateur!DY137*VLOOKUP('Données projet'!$B$14,Paramètres!$A$1:$I$89,3,0)*0.475*44/12</f>
        <v>0.53719000132216244</v>
      </c>
      <c r="EC137" s="23">
        <f>EXP(-LN(2)/2)*EC136+(1-EXP(-LN(2)/2))/(LN(2)/2)*DW137*DZ137*VLOOKUP('Données projet'!$B$14,Paramètres!$A$1:$I$89,3,0)*0.475*44/12</f>
        <v>3.8827515967433084E-15</v>
      </c>
      <c r="ED137" s="24">
        <f t="shared" si="126"/>
        <v>1.388852240605347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1.05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3.85</v>
      </c>
      <c r="H138" s="70">
        <f t="shared" si="110"/>
        <v>241.26666666666665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291.52028233481155</v>
      </c>
      <c r="S138" s="62">
        <f ca="1">AVERAGE(OFFSET($R$3,0,0,'Données projet'!$E$9+1,1))-AVERAGE(OFFSET($H$3,0,0,'Données projet'!$E$9+1,1))</f>
        <v>393.3487617557011</v>
      </c>
      <c r="T138" s="62">
        <f t="shared" si="142"/>
        <v>360.09400083977084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0.66260099603849754</v>
      </c>
      <c r="AA138" s="23">
        <f>EXP(-LN(2)/25)*AA137+(1-EXP(-LN(2)/25))/(LN(2)/25)*Calculateur!V138*Calculateur!X138*VLOOKUP('Données projet'!$B$9,Paramètres!$A$1:$I$89,3,0)*0.475*44/12</f>
        <v>0.50520668034069227</v>
      </c>
      <c r="AB138" s="23">
        <f>EXP(-LN(2)/2)*AB137+(1-EXP(-LN(2)/2))/(LN(2)/2)*V138*Y138*VLOOKUP('Données projet'!$B$9,Paramètres!$A$1:$I$89,3,0)*0.475*44/12</f>
        <v>2.2424972931108798E-15</v>
      </c>
      <c r="AC138" s="24">
        <f t="shared" si="111"/>
        <v>1.167807676379192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-1.6671037883497774E-13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283.28499080043167</v>
      </c>
      <c r="AO138" s="62">
        <f t="shared" si="144"/>
        <v>278.56966286485783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0.24396979556434017</v>
      </c>
      <c r="AV138" s="23">
        <f>EXP(-LN(2)/25)*AV137+(1-EXP(-LN(2)/25))/(LN(2)/25)*Calculateur!AQ138*Calculateur!AS138*VLOOKUP('Données projet'!$B$10,Paramètres!$A$1:$I$89,3,0)*0.475*44/12</f>
        <v>0.47410895558395877</v>
      </c>
      <c r="AW138" s="23">
        <f>EXP(-LN(2)/2)*AW137+(1-EXP(-LN(2)/2))/(LN(2)/2)*AQ138*AT138*VLOOKUP('Données projet'!$B$10,Paramètres!$A$1:$I$89,3,0)*0.475*44/12</f>
        <v>2.0363508362138995E-15</v>
      </c>
      <c r="AX138" s="23">
        <f t="shared" si="114"/>
        <v>0.71807875114830089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-1.8089849618263545E-13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303.91914071195419</v>
      </c>
      <c r="BJ138" s="62">
        <f t="shared" si="146"/>
        <v>298.30050362688769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0.14147068015660272</v>
      </c>
      <c r="BR138" s="23">
        <f>EXP(-LN(2)/2)*BR137+(1-EXP(-LN(2)/2))/(LN(2)/2)*BL138*BO138*VLOOKUP('Données projet'!$B$11,Paramètres!$A$1:$I$89,3,0)*0.475*44/12</f>
        <v>3.9964234106184777E-15</v>
      </c>
      <c r="BS138" s="24">
        <f t="shared" si="117"/>
        <v>0.14147068015660672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446.15737983598251</v>
      </c>
      <c r="CE138" s="62">
        <f t="shared" si="148"/>
        <v>282.2299715529382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4.4337866711430253E-14</v>
      </c>
      <c r="CV138" s="14">
        <f t="shared" si="149"/>
        <v>7.3222115536967035E-13</v>
      </c>
      <c r="CW138" s="22">
        <f t="shared" si="121"/>
        <v>1.3525069634579169E-12</v>
      </c>
      <c r="CX138" s="62">
        <f t="shared" si="122"/>
        <v>291.52028233481104</v>
      </c>
      <c r="CY138" s="62">
        <f ca="1">AVERAGE(OFFSET($CX$3,0,0,'Données projet'!$E$13+1,1))-AVERAGE(OFFSET($H$3,0,0,'Données projet'!$E$13+1,1))</f>
        <v>293.03320024876842</v>
      </c>
      <c r="CZ138" s="62">
        <f t="shared" si="150"/>
        <v>287.49994652707915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6.4371138530704893E-16</v>
      </c>
      <c r="DI138" s="24">
        <f t="shared" si="123"/>
        <v>6.4371138530704893E-16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-1.7053025658242404E-13</v>
      </c>
      <c r="DP138" s="18">
        <f>DO138*VLOOKUP('Données projet'!$B$14,Paramètres!$A$1:$I$89,3,0)*VLOOKUP('Données projet'!$B$14,Paramètres!$A$1:$I$89,5,0)</f>
        <v>-9.3109520094003535E-14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253.0312006976271</v>
      </c>
      <c r="DU138" s="62">
        <f t="shared" si="152"/>
        <v>365.93937083714866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0.83496166223351076</v>
      </c>
      <c r="EB138" s="23">
        <f>EXP(-LN(2)/25)*EB137+(1-EXP(-LN(2)/25))/(LN(2)/25)*Calculateur!DW138*Calculateur!DY138*VLOOKUP('Données projet'!$B$14,Paramètres!$A$1:$I$89,3,0)*0.475*44/12</f>
        <v>0.52250051248641349</v>
      </c>
      <c r="EC138" s="23">
        <f>EXP(-LN(2)/2)*EC137+(1-EXP(-LN(2)/2))/(LN(2)/2)*DW138*DZ138*VLOOKUP('Données projet'!$B$14,Paramètres!$A$1:$I$89,3,0)*0.475*44/12</f>
        <v>2.7455199837200887E-15</v>
      </c>
      <c r="ED138" s="24">
        <f t="shared" si="126"/>
        <v>1.3574621747199269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1.05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3.85</v>
      </c>
      <c r="H139" s="70">
        <f t="shared" si="110"/>
        <v>241.26666666666665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291.55173471626108</v>
      </c>
      <c r="S139" s="62">
        <f ca="1">AVERAGE(OFFSET($R$3,0,0,'Données projet'!$E$9+1,1))-AVERAGE(OFFSET($H$3,0,0,'Données projet'!$E$9+1,1))</f>
        <v>393.3487617557011</v>
      </c>
      <c r="T139" s="62">
        <f t="shared" si="142"/>
        <v>360.09400083977084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0.64960779465288399</v>
      </c>
      <c r="AA139" s="23">
        <f>EXP(-LN(2)/25)*AA138+(1-EXP(-LN(2)/25))/(LN(2)/25)*Calculateur!V139*Calculateur!X139*VLOOKUP('Données projet'!$B$9,Paramètres!$A$1:$I$89,3,0)*0.475*44/12</f>
        <v>0.49139177709911136</v>
      </c>
      <c r="AB139" s="23">
        <f>EXP(-LN(2)/2)*AB138+(1-EXP(-LN(2)/2))/(LN(2)/2)*V139*Y139*VLOOKUP('Données projet'!$B$9,Paramètres!$A$1:$I$89,3,0)*0.475*44/12</f>
        <v>1.5856850427511801E-15</v>
      </c>
      <c r="AC139" s="24">
        <f t="shared" si="111"/>
        <v>1.140999571751997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-1.6671037883497774E-13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283.28499080043167</v>
      </c>
      <c r="AO139" s="62">
        <f t="shared" si="144"/>
        <v>278.56966286485783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0.23918569668020531</v>
      </c>
      <c r="AV139" s="23">
        <f>EXP(-LN(2)/25)*AV138+(1-EXP(-LN(2)/25))/(LN(2)/25)*Calculateur!AQ139*Calculateur!AS139*VLOOKUP('Données projet'!$B$10,Paramètres!$A$1:$I$89,3,0)*0.475*44/12</f>
        <v>0.46114442126120903</v>
      </c>
      <c r="AW139" s="23">
        <f>EXP(-LN(2)/2)*AW138+(1-EXP(-LN(2)/2))/(LN(2)/2)*AQ139*AT139*VLOOKUP('Données projet'!$B$10,Paramètres!$A$1:$I$89,3,0)*0.475*44/12</f>
        <v>1.4399174851617449E-15</v>
      </c>
      <c r="AX139" s="23">
        <f t="shared" si="114"/>
        <v>0.70033011794141575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-1.8089849618263545E-13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303.91914071195419</v>
      </c>
      <c r="BJ139" s="62">
        <f t="shared" si="146"/>
        <v>298.30050362688769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0.13760215696810069</v>
      </c>
      <c r="BR139" s="23">
        <f>EXP(-LN(2)/2)*BR138+(1-EXP(-LN(2)/2))/(LN(2)/2)*BL139*BO139*VLOOKUP('Données projet'!$B$11,Paramètres!$A$1:$I$89,3,0)*0.475*44/12</f>
        <v>2.8258980941409959E-15</v>
      </c>
      <c r="BS139" s="24">
        <f t="shared" si="117"/>
        <v>0.13760215696810352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446.15737983598251</v>
      </c>
      <c r="CE139" s="62">
        <f t="shared" si="148"/>
        <v>282.2299715529382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4.4337866711430253E-14</v>
      </c>
      <c r="CV139" s="14">
        <f t="shared" si="149"/>
        <v>7.3222115536967035E-13</v>
      </c>
      <c r="CW139" s="22">
        <f t="shared" si="121"/>
        <v>1.3525069634579169E-12</v>
      </c>
      <c r="CX139" s="62">
        <f t="shared" si="122"/>
        <v>291.55173471626057</v>
      </c>
      <c r="CY139" s="62">
        <f ca="1">AVERAGE(OFFSET($CX$3,0,0,'Données projet'!$E$13+1,1))-AVERAGE(OFFSET($H$3,0,0,'Données projet'!$E$13+1,1))</f>
        <v>293.03320024876842</v>
      </c>
      <c r="CZ139" s="62">
        <f t="shared" si="150"/>
        <v>287.49994652707915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4.5517268567760082E-16</v>
      </c>
      <c r="DI139" s="24">
        <f t="shared" si="123"/>
        <v>4.5517268567760082E-16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-1.7053025658242404E-13</v>
      </c>
      <c r="DP139" s="18">
        <f>DO139*VLOOKUP('Données projet'!$B$14,Paramètres!$A$1:$I$89,3,0)*VLOOKUP('Données projet'!$B$14,Paramètres!$A$1:$I$89,5,0)</f>
        <v>-9.3109520094003535E-14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253.0312006976271</v>
      </c>
      <c r="DU139" s="62">
        <f t="shared" si="152"/>
        <v>365.93937083714866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0.81858857331343871</v>
      </c>
      <c r="EB139" s="23">
        <f>EXP(-LN(2)/25)*EB138+(1-EXP(-LN(2)/25))/(LN(2)/25)*Calculateur!DW139*Calculateur!DY139*VLOOKUP('Données projet'!$B$14,Paramètres!$A$1:$I$89,3,0)*0.475*44/12</f>
        <v>0.50821270849536471</v>
      </c>
      <c r="EC139" s="23">
        <f>EXP(-LN(2)/2)*EC138+(1-EXP(-LN(2)/2))/(LN(2)/2)*DW139*DZ139*VLOOKUP('Données projet'!$B$14,Paramètres!$A$1:$I$89,3,0)*0.475*44/12</f>
        <v>1.9413757983716542E-15</v>
      </c>
      <c r="ED139" s="24">
        <f t="shared" si="126"/>
        <v>1.3268012818088055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1.05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3.85</v>
      </c>
      <c r="H140" s="70">
        <f t="shared" si="110"/>
        <v>241.26666666666665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291.58264146920953</v>
      </c>
      <c r="S140" s="62">
        <f ca="1">AVERAGE(OFFSET($R$3,0,0,'Données projet'!$E$9+1,1))-AVERAGE(OFFSET($H$3,0,0,'Données projet'!$E$9+1,1))</f>
        <v>393.3487617557011</v>
      </c>
      <c r="T140" s="62">
        <f t="shared" si="142"/>
        <v>360.09400083977084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0.636869382021372</v>
      </c>
      <c r="AA140" s="23">
        <f>EXP(-LN(2)/25)*AA139+(1-EXP(-LN(2)/25))/(LN(2)/25)*Calculateur!V140*Calculateur!X140*VLOOKUP('Données projet'!$B$9,Paramètres!$A$1:$I$89,3,0)*0.475*44/12</f>
        <v>0.47795464311316571</v>
      </c>
      <c r="AB140" s="23">
        <f>EXP(-LN(2)/2)*AB139+(1-EXP(-LN(2)/2))/(LN(2)/2)*V140*Y140*VLOOKUP('Données projet'!$B$9,Paramètres!$A$1:$I$89,3,0)*0.475*44/12</f>
        <v>1.1212486465554399E-15</v>
      </c>
      <c r="AC140" s="24">
        <f t="shared" si="111"/>
        <v>1.1148240251345387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-1.6671037883497774E-13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283.28499080043167</v>
      </c>
      <c r="AO140" s="62">
        <f t="shared" si="144"/>
        <v>278.56966286485783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0.23449541105717614</v>
      </c>
      <c r="AV140" s="23">
        <f>EXP(-LN(2)/25)*AV139+(1-EXP(-LN(2)/25))/(LN(2)/25)*Calculateur!AQ140*Calculateur!AS140*VLOOKUP('Données projet'!$B$10,Paramètres!$A$1:$I$89,3,0)*0.475*44/12</f>
        <v>0.44853440281129009</v>
      </c>
      <c r="AW140" s="23">
        <f>EXP(-LN(2)/2)*AW139+(1-EXP(-LN(2)/2))/(LN(2)/2)*AQ140*AT140*VLOOKUP('Données projet'!$B$10,Paramètres!$A$1:$I$89,3,0)*0.475*44/12</f>
        <v>1.0181754181069497E-15</v>
      </c>
      <c r="AX140" s="23">
        <f t="shared" si="114"/>
        <v>0.68302981386846728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-1.8089849618263545E-13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303.91914071195419</v>
      </c>
      <c r="BJ140" s="62">
        <f t="shared" si="146"/>
        <v>298.30050362688769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0.13383941874962504</v>
      </c>
      <c r="BR140" s="23">
        <f>EXP(-LN(2)/2)*BR139+(1-EXP(-LN(2)/2))/(LN(2)/2)*BL140*BO140*VLOOKUP('Données projet'!$B$11,Paramètres!$A$1:$I$89,3,0)*0.475*44/12</f>
        <v>1.9982117053092389E-15</v>
      </c>
      <c r="BS140" s="24">
        <f t="shared" si="117"/>
        <v>0.13383941874962704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446.15737983598251</v>
      </c>
      <c r="CE140" s="62">
        <f t="shared" si="148"/>
        <v>282.2299715529382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4.4337866711430253E-14</v>
      </c>
      <c r="CV140" s="14">
        <f t="shared" si="149"/>
        <v>7.3222115536967035E-13</v>
      </c>
      <c r="CW140" s="22">
        <f t="shared" si="121"/>
        <v>1.3525069634579169E-12</v>
      </c>
      <c r="CX140" s="62">
        <f t="shared" si="122"/>
        <v>291.58264146920902</v>
      </c>
      <c r="CY140" s="62">
        <f ca="1">AVERAGE(OFFSET($CX$3,0,0,'Données projet'!$E$13+1,1))-AVERAGE(OFFSET($H$3,0,0,'Données projet'!$E$13+1,1))</f>
        <v>293.03320024876842</v>
      </c>
      <c r="CZ140" s="62">
        <f t="shared" si="150"/>
        <v>287.49994652707915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3.2185569265352447E-16</v>
      </c>
      <c r="DI140" s="24">
        <f t="shared" si="123"/>
        <v>3.2185569265352447E-16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-1.7053025658242404E-13</v>
      </c>
      <c r="DP140" s="18">
        <f>DO140*VLOOKUP('Données projet'!$B$14,Paramètres!$A$1:$I$89,3,0)*VLOOKUP('Données projet'!$B$14,Paramètres!$A$1:$I$89,5,0)</f>
        <v>-9.3109520094003535E-14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253.0312006976271</v>
      </c>
      <c r="DU140" s="62">
        <f t="shared" si="152"/>
        <v>365.93937083714866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0.80253655068049112</v>
      </c>
      <c r="EB140" s="23">
        <f>EXP(-LN(2)/25)*EB139+(1-EXP(-LN(2)/25))/(LN(2)/25)*Calculateur!DW140*Calculateur!DY140*VLOOKUP('Données projet'!$B$14,Paramètres!$A$1:$I$89,3,0)*0.475*44/12</f>
        <v>0.49431560525581414</v>
      </c>
      <c r="EC140" s="23">
        <f>EXP(-LN(2)/2)*EC139+(1-EXP(-LN(2)/2))/(LN(2)/2)*DW140*DZ140*VLOOKUP('Données projet'!$B$14,Paramètres!$A$1:$I$89,3,0)*0.475*44/12</f>
        <v>1.3727599918600443E-15</v>
      </c>
      <c r="ED140" s="24">
        <f t="shared" si="126"/>
        <v>1.2968521559363066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1.05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3.85</v>
      </c>
      <c r="H141" s="70">
        <f t="shared" si="110"/>
        <v>241.26666666666665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291.61301205909149</v>
      </c>
      <c r="S141" s="62">
        <f ca="1">AVERAGE(OFFSET($R$3,0,0,'Données projet'!$E$9+1,1))-AVERAGE(OFFSET($H$3,0,0,'Données projet'!$E$9+1,1))</f>
        <v>393.3487617557011</v>
      </c>
      <c r="T141" s="62">
        <f t="shared" si="142"/>
        <v>360.09400083977084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0.62438076189189951</v>
      </c>
      <c r="AA141" s="23">
        <f>EXP(-LN(2)/25)*AA140+(1-EXP(-LN(2)/25))/(LN(2)/25)*Calculateur!V141*Calculateur!X141*VLOOKUP('Données projet'!$B$9,Paramètres!$A$1:$I$89,3,0)*0.475*44/12</f>
        <v>0.46488494826269389</v>
      </c>
      <c r="AB141" s="23">
        <f>EXP(-LN(2)/2)*AB140+(1-EXP(-LN(2)/2))/(LN(2)/2)*V141*Y141*VLOOKUP('Données projet'!$B$9,Paramètres!$A$1:$I$89,3,0)*0.475*44/12</f>
        <v>7.9284252137559003E-16</v>
      </c>
      <c r="AC141" s="24">
        <f t="shared" si="111"/>
        <v>1.0892657101545944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-1.6671037883497774E-13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283.28499080043167</v>
      </c>
      <c r="AO141" s="62">
        <f t="shared" si="144"/>
        <v>278.56966286485783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0.22989709907442282</v>
      </c>
      <c r="AV141" s="23">
        <f>EXP(-LN(2)/25)*AV140+(1-EXP(-LN(2)/25))/(LN(2)/25)*Calculateur!AQ141*Calculateur!AS141*VLOOKUP('Données projet'!$B$10,Paramètres!$A$1:$I$89,3,0)*0.475*44/12</f>
        <v>0.43626920597901625</v>
      </c>
      <c r="AW141" s="23">
        <f>EXP(-LN(2)/2)*AW140+(1-EXP(-LN(2)/2))/(LN(2)/2)*AQ141*AT141*VLOOKUP('Données projet'!$B$10,Paramètres!$A$1:$I$89,3,0)*0.475*44/12</f>
        <v>7.1995874258087244E-16</v>
      </c>
      <c r="AX141" s="23">
        <f t="shared" si="114"/>
        <v>0.66616630505343977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-1.8089849618263545E-13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303.91914071195419</v>
      </c>
      <c r="BJ141" s="62">
        <f t="shared" si="146"/>
        <v>298.30050362688769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0.13017957280560741</v>
      </c>
      <c r="BR141" s="23">
        <f>EXP(-LN(2)/2)*BR140+(1-EXP(-LN(2)/2))/(LN(2)/2)*BL141*BO141*VLOOKUP('Données projet'!$B$11,Paramètres!$A$1:$I$89,3,0)*0.475*44/12</f>
        <v>1.412949047070498E-15</v>
      </c>
      <c r="BS141" s="24">
        <f t="shared" si="117"/>
        <v>0.13017957280560882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446.15737983598251</v>
      </c>
      <c r="CE141" s="62">
        <f t="shared" si="148"/>
        <v>282.2299715529382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4.4337866711430253E-14</v>
      </c>
      <c r="CV141" s="14">
        <f t="shared" si="149"/>
        <v>7.3222115536967035E-13</v>
      </c>
      <c r="CW141" s="22">
        <f t="shared" si="121"/>
        <v>1.3525069634579169E-12</v>
      </c>
      <c r="CX141" s="62">
        <f t="shared" si="122"/>
        <v>291.61301205909098</v>
      </c>
      <c r="CY141" s="62">
        <f ca="1">AVERAGE(OFFSET($CX$3,0,0,'Données projet'!$E$13+1,1))-AVERAGE(OFFSET($H$3,0,0,'Données projet'!$E$13+1,1))</f>
        <v>293.03320024876842</v>
      </c>
      <c r="CZ141" s="62">
        <f t="shared" si="150"/>
        <v>287.49994652707915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2.2758634283880041E-16</v>
      </c>
      <c r="DI141" s="24">
        <f t="shared" si="123"/>
        <v>2.2758634283880041E-16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-1.7053025658242404E-13</v>
      </c>
      <c r="DP141" s="18">
        <f>DO141*VLOOKUP('Données projet'!$B$14,Paramètres!$A$1:$I$89,3,0)*VLOOKUP('Données projet'!$B$14,Paramètres!$A$1:$I$89,5,0)</f>
        <v>-9.3109520094003535E-14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253.0312006976271</v>
      </c>
      <c r="DU141" s="62">
        <f t="shared" si="152"/>
        <v>365.93937083714866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0.78679929842060858</v>
      </c>
      <c r="EB141" s="23">
        <f>EXP(-LN(2)/25)*EB140+(1-EXP(-LN(2)/25))/(LN(2)/25)*Calculateur!DW141*Calculateur!DY141*VLOOKUP('Données projet'!$B$14,Paramètres!$A$1:$I$89,3,0)*0.475*44/12</f>
        <v>0.48079851903516602</v>
      </c>
      <c r="EC141" s="23">
        <f>EXP(-LN(2)/2)*EC140+(1-EXP(-LN(2)/2))/(LN(2)/2)*DW141*DZ141*VLOOKUP('Données projet'!$B$14,Paramètres!$A$1:$I$89,3,0)*0.475*44/12</f>
        <v>9.706878991858271E-16</v>
      </c>
      <c r="ED141" s="24">
        <f t="shared" si="126"/>
        <v>1.2675978174557754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1.05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3.85</v>
      </c>
      <c r="H142" s="70">
        <f t="shared" si="110"/>
        <v>241.26666666666665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291.64285578713742</v>
      </c>
      <c r="S142" s="62">
        <f ca="1">AVERAGE(OFFSET($R$3,0,0,'Données projet'!$E$9+1,1))-AVERAGE(OFFSET($H$3,0,0,'Données projet'!$E$9+1,1))</f>
        <v>393.3487617557011</v>
      </c>
      <c r="T142" s="62">
        <f t="shared" si="142"/>
        <v>360.09400083977084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0.61213703598585978</v>
      </c>
      <c r="AA142" s="23">
        <f>EXP(-LN(2)/25)*AA141+(1-EXP(-LN(2)/25))/(LN(2)/25)*Calculateur!V142*Calculateur!X142*VLOOKUP('Données projet'!$B$9,Paramètres!$A$1:$I$89,3,0)*0.475*44/12</f>
        <v>0.45217264490521358</v>
      </c>
      <c r="AB142" s="23">
        <f>EXP(-LN(2)/2)*AB141+(1-EXP(-LN(2)/2))/(LN(2)/2)*V142*Y142*VLOOKUP('Données projet'!$B$9,Paramètres!$A$1:$I$89,3,0)*0.475*44/12</f>
        <v>5.6062432327771996E-16</v>
      </c>
      <c r="AC142" s="24">
        <f t="shared" si="111"/>
        <v>1.0643096808910741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-1.6671037883497774E-13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283.28499080043167</v>
      </c>
      <c r="AO142" s="62">
        <f t="shared" si="144"/>
        <v>278.56966286485783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0.22538895718495791</v>
      </c>
      <c r="AV142" s="23">
        <f>EXP(-LN(2)/25)*AV141+(1-EXP(-LN(2)/25))/(LN(2)/25)*Calculateur!AQ142*Calculateur!AS142*VLOOKUP('Données projet'!$B$10,Paramètres!$A$1:$I$89,3,0)*0.475*44/12</f>
        <v>0.42433940159911959</v>
      </c>
      <c r="AW142" s="23">
        <f>EXP(-LN(2)/2)*AW141+(1-EXP(-LN(2)/2))/(LN(2)/2)*AQ142*AT142*VLOOKUP('Données projet'!$B$10,Paramètres!$A$1:$I$89,3,0)*0.475*44/12</f>
        <v>5.0908770905347486E-16</v>
      </c>
      <c r="AX142" s="23">
        <f t="shared" si="114"/>
        <v>0.64972835878407809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-1.8089849618263545E-13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303.91914071195419</v>
      </c>
      <c r="BJ142" s="62">
        <f t="shared" si="146"/>
        <v>298.30050362688769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0.12661980554139188</v>
      </c>
      <c r="BR142" s="23">
        <f>EXP(-LN(2)/2)*BR141+(1-EXP(-LN(2)/2))/(LN(2)/2)*BL142*BO142*VLOOKUP('Données projet'!$B$11,Paramètres!$A$1:$I$89,3,0)*0.475*44/12</f>
        <v>9.9910585265461943E-16</v>
      </c>
      <c r="BS142" s="24">
        <f t="shared" si="117"/>
        <v>0.12661980554139288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446.15737983598251</v>
      </c>
      <c r="CE142" s="62">
        <f t="shared" si="148"/>
        <v>282.2299715529382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4.4337866711430253E-14</v>
      </c>
      <c r="CV142" s="14">
        <f t="shared" si="149"/>
        <v>7.3222115536967035E-13</v>
      </c>
      <c r="CW142" s="22">
        <f t="shared" si="121"/>
        <v>1.3525069634579169E-12</v>
      </c>
      <c r="CX142" s="62">
        <f t="shared" si="122"/>
        <v>291.64285578713691</v>
      </c>
      <c r="CY142" s="62">
        <f ca="1">AVERAGE(OFFSET($CX$3,0,0,'Données projet'!$E$13+1,1))-AVERAGE(OFFSET($H$3,0,0,'Données projet'!$E$13+1,1))</f>
        <v>293.03320024876842</v>
      </c>
      <c r="CZ142" s="62">
        <f t="shared" si="150"/>
        <v>287.49994652707915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1.6092784632676223E-16</v>
      </c>
      <c r="DI142" s="24">
        <f t="shared" si="123"/>
        <v>1.6092784632676223E-16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-1.7053025658242404E-13</v>
      </c>
      <c r="DP142" s="18">
        <f>DO142*VLOOKUP('Données projet'!$B$14,Paramètres!$A$1:$I$89,3,0)*VLOOKUP('Données projet'!$B$14,Paramètres!$A$1:$I$89,5,0)</f>
        <v>-9.3109520094003535E-14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253.0312006976271</v>
      </c>
      <c r="DU142" s="62">
        <f t="shared" si="152"/>
        <v>365.93937083714866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0.77137064407876632</v>
      </c>
      <c r="EB142" s="23">
        <f>EXP(-LN(2)/25)*EB141+(1-EXP(-LN(2)/25))/(LN(2)/25)*Calculateur!DW142*Calculateur!DY142*VLOOKUP('Données projet'!$B$14,Paramètres!$A$1:$I$89,3,0)*0.475*44/12</f>
        <v>0.46765105824805414</v>
      </c>
      <c r="EC142" s="23">
        <f>EXP(-LN(2)/2)*EC141+(1-EXP(-LN(2)/2))/(LN(2)/2)*DW142*DZ142*VLOOKUP('Données projet'!$B$14,Paramètres!$A$1:$I$89,3,0)*0.475*44/12</f>
        <v>6.8637999593002216E-16</v>
      </c>
      <c r="ED142" s="24">
        <f t="shared" si="126"/>
        <v>1.2390217023268211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1.05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3.85</v>
      </c>
      <c r="H143" s="70">
        <f t="shared" si="110"/>
        <v>241.26666666666665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291.67218179322236</v>
      </c>
      <c r="S143" s="62">
        <f ca="1">AVERAGE(OFFSET($R$3,0,0,'Données projet'!$E$9+1,1))-AVERAGE(OFFSET($H$3,0,0,'Données projet'!$E$9+1,1))</f>
        <v>393.3487617557011</v>
      </c>
      <c r="T143" s="62">
        <f t="shared" si="142"/>
        <v>360.09400083977084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0.60013340207690213</v>
      </c>
      <c r="AA143" s="23">
        <f>EXP(-LN(2)/25)*AA142+(1-EXP(-LN(2)/25))/(LN(2)/25)*Calculateur!V143*Calculateur!X143*VLOOKUP('Données projet'!$B$9,Paramètres!$A$1:$I$89,3,0)*0.475*44/12</f>
        <v>0.4398079601515546</v>
      </c>
      <c r="AB143" s="23">
        <f>EXP(-LN(2)/2)*AB142+(1-EXP(-LN(2)/2))/(LN(2)/2)*V143*Y143*VLOOKUP('Données projet'!$B$9,Paramètres!$A$1:$I$89,3,0)*0.475*44/12</f>
        <v>3.9642126068779501E-16</v>
      </c>
      <c r="AC143" s="24">
        <f t="shared" si="111"/>
        <v>1.0399413622284572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-1.6671037883497774E-13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283.28499080043167</v>
      </c>
      <c r="AO143" s="62">
        <f t="shared" si="144"/>
        <v>278.56966286485783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0.22096921720825036</v>
      </c>
      <c r="AV143" s="23">
        <f>EXP(-LN(2)/25)*AV142+(1-EXP(-LN(2)/25))/(LN(2)/25)*Calculateur!AQ143*Calculateur!AS143*VLOOKUP('Données projet'!$B$10,Paramètres!$A$1:$I$89,3,0)*0.475*44/12</f>
        <v>0.4127358183473524</v>
      </c>
      <c r="AW143" s="23">
        <f>EXP(-LN(2)/2)*AW142+(1-EXP(-LN(2)/2))/(LN(2)/2)*AQ143*AT143*VLOOKUP('Données projet'!$B$10,Paramètres!$A$1:$I$89,3,0)*0.475*44/12</f>
        <v>3.5997937129043622E-16</v>
      </c>
      <c r="AX143" s="23">
        <f t="shared" si="114"/>
        <v>0.63370503555560309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-1.8089849618263545E-13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303.91914071195419</v>
      </c>
      <c r="BJ143" s="62">
        <f t="shared" si="146"/>
        <v>298.30050362688769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0.12315738030021633</v>
      </c>
      <c r="BR143" s="23">
        <f>EXP(-LN(2)/2)*BR142+(1-EXP(-LN(2)/2))/(LN(2)/2)*BL143*BO143*VLOOKUP('Données projet'!$B$11,Paramètres!$A$1:$I$89,3,0)*0.475*44/12</f>
        <v>7.0647452353524898E-16</v>
      </c>
      <c r="BS143" s="24">
        <f t="shared" si="117"/>
        <v>0.12315738030021704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446.15737983598251</v>
      </c>
      <c r="CE143" s="62">
        <f t="shared" si="148"/>
        <v>282.2299715529382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4.4337866711430253E-14</v>
      </c>
      <c r="CV143" s="14">
        <f t="shared" si="149"/>
        <v>7.3222115536967035E-13</v>
      </c>
      <c r="CW143" s="22">
        <f t="shared" si="121"/>
        <v>1.3525069634579169E-12</v>
      </c>
      <c r="CX143" s="62">
        <f t="shared" si="122"/>
        <v>291.67218179322185</v>
      </c>
      <c r="CY143" s="62">
        <f ca="1">AVERAGE(OFFSET($CX$3,0,0,'Données projet'!$E$13+1,1))-AVERAGE(OFFSET($H$3,0,0,'Données projet'!$E$13+1,1))</f>
        <v>293.03320024876842</v>
      </c>
      <c r="CZ143" s="62">
        <f t="shared" si="150"/>
        <v>287.49994652707915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1.137931714194002E-16</v>
      </c>
      <c r="DI143" s="24">
        <f t="shared" si="123"/>
        <v>1.137931714194002E-16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-1.7053025658242404E-13</v>
      </c>
      <c r="DP143" s="18">
        <f>DO143*VLOOKUP('Données projet'!$B$14,Paramètres!$A$1:$I$89,3,0)*VLOOKUP('Données projet'!$B$14,Paramètres!$A$1:$I$89,5,0)</f>
        <v>-9.3109520094003535E-14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253.0312006976271</v>
      </c>
      <c r="DU143" s="62">
        <f t="shared" si="152"/>
        <v>365.93937083714866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0.75624453623801757</v>
      </c>
      <c r="EB143" s="23">
        <f>EXP(-LN(2)/25)*EB142+(1-EXP(-LN(2)/25))/(LN(2)/25)*Calculateur!DW143*Calculateur!DY143*VLOOKUP('Données projet'!$B$14,Paramètres!$A$1:$I$89,3,0)*0.475*44/12</f>
        <v>0.45486311546756075</v>
      </c>
      <c r="EC143" s="23">
        <f>EXP(-LN(2)/2)*EC142+(1-EXP(-LN(2)/2))/(LN(2)/2)*DW143*DZ143*VLOOKUP('Données projet'!$B$14,Paramètres!$A$1:$I$89,3,0)*0.475*44/12</f>
        <v>4.8534394959291355E-16</v>
      </c>
      <c r="ED143" s="24">
        <f t="shared" si="126"/>
        <v>1.2111076517055788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1.05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3.85</v>
      </c>
      <c r="H144" s="70">
        <f t="shared" si="110"/>
        <v>241.26666666666665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291.70099905866482</v>
      </c>
      <c r="S144" s="62">
        <f ca="1">AVERAGE(OFFSET($R$3,0,0,'Données projet'!$E$9+1,1))-AVERAGE(OFFSET($H$3,0,0,'Données projet'!$E$9+1,1))</f>
        <v>393.3487617557011</v>
      </c>
      <c r="T144" s="62">
        <f t="shared" si="142"/>
        <v>360.09400083977084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0.58836515210740536</v>
      </c>
      <c r="AA144" s="23">
        <f>EXP(-LN(2)/25)*AA143+(1-EXP(-LN(2)/25))/(LN(2)/25)*Calculateur!V144*Calculateur!X144*VLOOKUP('Données projet'!$B$9,Paramètres!$A$1:$I$89,3,0)*0.475*44/12</f>
        <v>0.4277813883527149</v>
      </c>
      <c r="AB144" s="23">
        <f>EXP(-LN(2)/2)*AB143+(1-EXP(-LN(2)/2))/(LN(2)/2)*V144*Y144*VLOOKUP('Données projet'!$B$9,Paramètres!$A$1:$I$89,3,0)*0.475*44/12</f>
        <v>2.8031216163885998E-16</v>
      </c>
      <c r="AC144" s="24">
        <f t="shared" si="111"/>
        <v>1.0161465404601204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-1.6671037883497774E-13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283.28499080043167</v>
      </c>
      <c r="AO144" s="62">
        <f t="shared" si="144"/>
        <v>278.56966286485783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0.21663614563671085</v>
      </c>
      <c r="AV144" s="23">
        <f>EXP(-LN(2)/25)*AV143+(1-EXP(-LN(2)/25))/(LN(2)/25)*Calculateur!AQ144*Calculateur!AS144*VLOOKUP('Données projet'!$B$10,Paramètres!$A$1:$I$89,3,0)*0.475*44/12</f>
        <v>0.40144953568981068</v>
      </c>
      <c r="AW144" s="23">
        <f>EXP(-LN(2)/2)*AW143+(1-EXP(-LN(2)/2))/(LN(2)/2)*AQ144*AT144*VLOOKUP('Données projet'!$B$10,Paramètres!$A$1:$I$89,3,0)*0.475*44/12</f>
        <v>2.5454385452673743E-16</v>
      </c>
      <c r="AX144" s="23">
        <f t="shared" si="114"/>
        <v>0.61808568132652175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-1.8089849618263545E-13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303.91914071195419</v>
      </c>
      <c r="BJ144" s="62">
        <f t="shared" si="146"/>
        <v>298.30050362688769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0.11978963525934178</v>
      </c>
      <c r="BR144" s="23">
        <f>EXP(-LN(2)/2)*BR143+(1-EXP(-LN(2)/2))/(LN(2)/2)*BL144*BO144*VLOOKUP('Données projet'!$B$11,Paramètres!$A$1:$I$89,3,0)*0.475*44/12</f>
        <v>4.9955292632730972E-16</v>
      </c>
      <c r="BS144" s="24">
        <f t="shared" si="117"/>
        <v>0.11978963525934228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446.15737983598251</v>
      </c>
      <c r="CE144" s="62">
        <f t="shared" si="148"/>
        <v>282.2299715529382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4.4337866711430253E-14</v>
      </c>
      <c r="CV144" s="14">
        <f t="shared" si="149"/>
        <v>7.3222115536967035E-13</v>
      </c>
      <c r="CW144" s="22">
        <f t="shared" si="121"/>
        <v>1.3525069634579169E-12</v>
      </c>
      <c r="CX144" s="62">
        <f t="shared" si="122"/>
        <v>291.70099905866431</v>
      </c>
      <c r="CY144" s="62">
        <f ca="1">AVERAGE(OFFSET($CX$3,0,0,'Données projet'!$E$13+1,1))-AVERAGE(OFFSET($H$3,0,0,'Données projet'!$E$13+1,1))</f>
        <v>293.03320024876842</v>
      </c>
      <c r="CZ144" s="62">
        <f t="shared" si="150"/>
        <v>287.49994652707915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8.0463923163381116E-17</v>
      </c>
      <c r="DI144" s="24">
        <f t="shared" si="123"/>
        <v>8.0463923163381116E-17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-1.7053025658242404E-13</v>
      </c>
      <c r="DP144" s="18">
        <f>DO144*VLOOKUP('Données projet'!$B$14,Paramètres!$A$1:$I$89,3,0)*VLOOKUP('Données projet'!$B$14,Paramètres!$A$1:$I$89,5,0)</f>
        <v>-9.3109520094003535E-14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253.0312006976271</v>
      </c>
      <c r="DU144" s="62">
        <f t="shared" si="152"/>
        <v>365.93937083714866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0.74141504214601117</v>
      </c>
      <c r="EB144" s="23">
        <f>EXP(-LN(2)/25)*EB143+(1-EXP(-LN(2)/25))/(LN(2)/25)*Calculateur!DW144*Calculateur!DY144*VLOOKUP('Données projet'!$B$14,Paramètres!$A$1:$I$89,3,0)*0.475*44/12</f>
        <v>0.44242485965488865</v>
      </c>
      <c r="EC144" s="23">
        <f>EXP(-LN(2)/2)*EC143+(1-EXP(-LN(2)/2))/(LN(2)/2)*DW144*DZ144*VLOOKUP('Données projet'!$B$14,Paramètres!$A$1:$I$89,3,0)*0.475*44/12</f>
        <v>3.4318999796501108E-16</v>
      </c>
      <c r="ED144" s="24">
        <f t="shared" si="126"/>
        <v>1.1838399018009003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1.05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3.85</v>
      </c>
      <c r="H145" s="70">
        <f t="shared" si="110"/>
        <v>241.26666666666665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291.72931640897764</v>
      </c>
      <c r="S145" s="62">
        <f ca="1">AVERAGE(OFFSET($R$3,0,0,'Données projet'!$E$9+1,1))-AVERAGE(OFFSET($H$3,0,0,'Données projet'!$E$9+1,1))</f>
        <v>393.3487617557011</v>
      </c>
      <c r="T145" s="62">
        <f t="shared" si="142"/>
        <v>360.09400083977084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0.57682767034188676</v>
      </c>
      <c r="AA145" s="23">
        <f>EXP(-LN(2)/25)*AA144+(1-EXP(-LN(2)/25))/(LN(2)/25)*Calculateur!V145*Calculateur!X145*VLOOKUP('Données projet'!$B$9,Paramètres!$A$1:$I$89,3,0)*0.475*44/12</f>
        <v>0.41608368379216443</v>
      </c>
      <c r="AB145" s="23">
        <f>EXP(-LN(2)/2)*AB144+(1-EXP(-LN(2)/2))/(LN(2)/2)*V145*Y145*VLOOKUP('Données projet'!$B$9,Paramètres!$A$1:$I$89,3,0)*0.475*44/12</f>
        <v>1.9821063034389751E-16</v>
      </c>
      <c r="AC145" s="24">
        <f t="shared" si="111"/>
        <v>0.9929113541340514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-1.6671037883497774E-13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283.28499080043167</v>
      </c>
      <c r="AO145" s="62">
        <f t="shared" si="144"/>
        <v>278.56966286485783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0.21238804295577654</v>
      </c>
      <c r="AV145" s="23">
        <f>EXP(-LN(2)/25)*AV144+(1-EXP(-LN(2)/25))/(LN(2)/25)*Calculateur!AQ145*Calculateur!AS145*VLOOKUP('Données projet'!$B$10,Paramètres!$A$1:$I$89,3,0)*0.475*44/12</f>
        <v>0.39047187702505926</v>
      </c>
      <c r="AW145" s="23">
        <f>EXP(-LN(2)/2)*AW144+(1-EXP(-LN(2)/2))/(LN(2)/2)*AQ145*AT145*VLOOKUP('Données projet'!$B$10,Paramètres!$A$1:$I$89,3,0)*0.475*44/12</f>
        <v>1.7998968564521811E-16</v>
      </c>
      <c r="AX145" s="23">
        <f t="shared" si="114"/>
        <v>0.60285991998083599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-1.8089849618263545E-13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303.91914071195419</v>
      </c>
      <c r="BJ145" s="62">
        <f t="shared" si="146"/>
        <v>298.30050362688769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0.11651398138371194</v>
      </c>
      <c r="BR145" s="23">
        <f>EXP(-LN(2)/2)*BR144+(1-EXP(-LN(2)/2))/(LN(2)/2)*BL145*BO145*VLOOKUP('Données projet'!$B$11,Paramètres!$A$1:$I$89,3,0)*0.475*44/12</f>
        <v>3.5323726176762449E-16</v>
      </c>
      <c r="BS145" s="24">
        <f t="shared" si="117"/>
        <v>0.11651398138371229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446.15737983598251</v>
      </c>
      <c r="CE145" s="62">
        <f t="shared" si="148"/>
        <v>282.2299715529382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4.4337866711430253E-14</v>
      </c>
      <c r="CV145" s="14">
        <f t="shared" si="149"/>
        <v>7.3222115536967035E-13</v>
      </c>
      <c r="CW145" s="22">
        <f t="shared" si="121"/>
        <v>1.3525069634579169E-12</v>
      </c>
      <c r="CX145" s="62">
        <f t="shared" si="122"/>
        <v>291.72931640897713</v>
      </c>
      <c r="CY145" s="62">
        <f ca="1">AVERAGE(OFFSET($CX$3,0,0,'Données projet'!$E$13+1,1))-AVERAGE(OFFSET($H$3,0,0,'Données projet'!$E$13+1,1))</f>
        <v>293.03320024876842</v>
      </c>
      <c r="CZ145" s="62">
        <f t="shared" si="150"/>
        <v>287.49994652707915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5.6896585709700102E-17</v>
      </c>
      <c r="DI145" s="24">
        <f t="shared" si="123"/>
        <v>5.6896585709700102E-17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-1.7053025658242404E-13</v>
      </c>
      <c r="DP145" s="18">
        <f>DO145*VLOOKUP('Données projet'!$B$14,Paramètres!$A$1:$I$89,3,0)*VLOOKUP('Données projet'!$B$14,Paramètres!$A$1:$I$89,5,0)</f>
        <v>-9.3109520094003535E-14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253.0312006976271</v>
      </c>
      <c r="DU145" s="62">
        <f t="shared" si="152"/>
        <v>365.93937083714866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0.72687634538805068</v>
      </c>
      <c r="EB145" s="23">
        <f>EXP(-LN(2)/25)*EB144+(1-EXP(-LN(2)/25))/(LN(2)/25)*Calculateur!DW145*Calculateur!DY145*VLOOKUP('Données projet'!$B$14,Paramètres!$A$1:$I$89,3,0)*0.475*44/12</f>
        <v>0.4303267286015135</v>
      </c>
      <c r="EC145" s="23">
        <f>EXP(-LN(2)/2)*EC144+(1-EXP(-LN(2)/2))/(LN(2)/2)*DW145*DZ145*VLOOKUP('Données projet'!$B$14,Paramètres!$A$1:$I$89,3,0)*0.475*44/12</f>
        <v>2.4267197479645677E-16</v>
      </c>
      <c r="ED145" s="24">
        <f t="shared" si="126"/>
        <v>1.1572030739895645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1.05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3.85</v>
      </c>
      <c r="H146" s="70">
        <f t="shared" si="110"/>
        <v>241.26666666666665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291.75714251657064</v>
      </c>
      <c r="S146" s="62">
        <f ca="1">AVERAGE(OFFSET($R$3,0,0,'Données projet'!$E$9+1,1))-AVERAGE(OFFSET($H$3,0,0,'Données projet'!$E$9+1,1))</f>
        <v>393.3487617557011</v>
      </c>
      <c r="T146" s="62">
        <f t="shared" si="142"/>
        <v>360.09400083977084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0.5655164315566209</v>
      </c>
      <c r="AA146" s="23">
        <f>EXP(-LN(2)/25)*AA145+(1-EXP(-LN(2)/25))/(LN(2)/25)*Calculateur!V146*Calculateur!X146*VLOOKUP('Données projet'!$B$9,Paramètres!$A$1:$I$89,3,0)*0.475*44/12</f>
        <v>0.40470585357797773</v>
      </c>
      <c r="AB146" s="23">
        <f>EXP(-LN(2)/2)*AB145+(1-EXP(-LN(2)/2))/(LN(2)/2)*V146*Y146*VLOOKUP('Données projet'!$B$9,Paramètres!$A$1:$I$89,3,0)*0.475*44/12</f>
        <v>1.4015608081942999E-16</v>
      </c>
      <c r="AC146" s="24">
        <f t="shared" si="111"/>
        <v>0.97022228513459874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-1.6671037883497774E-13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283.28499080043167</v>
      </c>
      <c r="AO146" s="62">
        <f t="shared" si="144"/>
        <v>278.56966286485783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0.20822324297732855</v>
      </c>
      <c r="AV146" s="23">
        <f>EXP(-LN(2)/25)*AV145+(1-EXP(-LN(2)/25))/(LN(2)/25)*Calculateur!AQ146*Calculateur!AS146*VLOOKUP('Données projet'!$B$10,Paramètres!$A$1:$I$89,3,0)*0.475*44/12</f>
        <v>0.37979440301378542</v>
      </c>
      <c r="AW146" s="23">
        <f>EXP(-LN(2)/2)*AW145+(1-EXP(-LN(2)/2))/(LN(2)/2)*AQ146*AT146*VLOOKUP('Données projet'!$B$10,Paramètres!$A$1:$I$89,3,0)*0.475*44/12</f>
        <v>1.2727192726336872E-16</v>
      </c>
      <c r="AX146" s="23">
        <f t="shared" si="114"/>
        <v>0.58801764599111406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-1.8089849618263545E-13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303.91914071195419</v>
      </c>
      <c r="BJ146" s="62">
        <f t="shared" si="146"/>
        <v>298.30050362688769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0.11332790043557035</v>
      </c>
      <c r="BR146" s="23">
        <f>EXP(-LN(2)/2)*BR145+(1-EXP(-LN(2)/2))/(LN(2)/2)*BL146*BO146*VLOOKUP('Données projet'!$B$11,Paramètres!$A$1:$I$89,3,0)*0.475*44/12</f>
        <v>2.4977646316365486E-16</v>
      </c>
      <c r="BS146" s="24">
        <f t="shared" si="117"/>
        <v>0.1133279004355706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446.15737983598251</v>
      </c>
      <c r="CE146" s="62">
        <f t="shared" si="148"/>
        <v>282.2299715529382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4.4337866711430253E-14</v>
      </c>
      <c r="CV146" s="14">
        <f t="shared" si="149"/>
        <v>7.3222115536967035E-13</v>
      </c>
      <c r="CW146" s="22">
        <f t="shared" si="121"/>
        <v>1.3525069634579169E-12</v>
      </c>
      <c r="CX146" s="62">
        <f t="shared" si="122"/>
        <v>291.75714251657013</v>
      </c>
      <c r="CY146" s="62">
        <f ca="1">AVERAGE(OFFSET($CX$3,0,0,'Données projet'!$E$13+1,1))-AVERAGE(OFFSET($H$3,0,0,'Données projet'!$E$13+1,1))</f>
        <v>293.03320024876842</v>
      </c>
      <c r="CZ146" s="62">
        <f t="shared" si="150"/>
        <v>287.49994652707915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4.0231961581690558E-17</v>
      </c>
      <c r="DI146" s="24">
        <f t="shared" si="123"/>
        <v>4.0231961581690558E-17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-1.7053025658242404E-13</v>
      </c>
      <c r="DP146" s="18">
        <f>DO146*VLOOKUP('Données projet'!$B$14,Paramètres!$A$1:$I$89,3,0)*VLOOKUP('Données projet'!$B$14,Paramètres!$A$1:$I$89,5,0)</f>
        <v>-9.3109520094003535E-14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253.0312006976271</v>
      </c>
      <c r="DU146" s="62">
        <f t="shared" si="152"/>
        <v>365.93937083714866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0.71262274360578448</v>
      </c>
      <c r="EB146" s="23">
        <f>EXP(-LN(2)/25)*EB145+(1-EXP(-LN(2)/25))/(LN(2)/25)*Calculateur!DW146*Calculateur!DY146*VLOOKUP('Données projet'!$B$14,Paramètres!$A$1:$I$89,3,0)*0.475*44/12</f>
        <v>0.41855942157800596</v>
      </c>
      <c r="EC146" s="23">
        <f>EXP(-LN(2)/2)*EC145+(1-EXP(-LN(2)/2))/(LN(2)/2)*DW146*DZ146*VLOOKUP('Données projet'!$B$14,Paramètres!$A$1:$I$89,3,0)*0.475*44/12</f>
        <v>1.7159499898250554E-16</v>
      </c>
      <c r="ED146" s="24">
        <f t="shared" si="126"/>
        <v>1.1311821651837908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1.05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3.85</v>
      </c>
      <c r="H147" s="70">
        <f t="shared" si="110"/>
        <v>241.26666666666665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291.78448590340673</v>
      </c>
      <c r="S147" s="62">
        <f ca="1">AVERAGE(OFFSET($R$3,0,0,'Données projet'!$E$9+1,1))-AVERAGE(OFFSET($H$3,0,0,'Données projet'!$E$9+1,1))</f>
        <v>393.3487617557011</v>
      </c>
      <c r="T147" s="62">
        <f t="shared" si="142"/>
        <v>360.09400083977084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0.55442699926475969</v>
      </c>
      <c r="AA147" s="23">
        <f>EXP(-LN(2)/25)*AA146+(1-EXP(-LN(2)/25))/(LN(2)/25)*Calculateur!V147*Calculateur!X147*VLOOKUP('Données projet'!$B$9,Paramètres!$A$1:$I$89,3,0)*0.475*44/12</f>
        <v>0.39363915072933203</v>
      </c>
      <c r="AB147" s="23">
        <f>EXP(-LN(2)/2)*AB146+(1-EXP(-LN(2)/2))/(LN(2)/2)*V147*Y147*VLOOKUP('Données projet'!$B$9,Paramètres!$A$1:$I$89,3,0)*0.475*44/12</f>
        <v>9.9105315171948754E-17</v>
      </c>
      <c r="AC147" s="24">
        <f t="shared" si="111"/>
        <v>0.94806614999409178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-1.6671037883497774E-13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283.28499080043167</v>
      </c>
      <c r="AO147" s="62">
        <f t="shared" si="144"/>
        <v>278.56966286485783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0.20414011218618078</v>
      </c>
      <c r="AV147" s="23">
        <f>EXP(-LN(2)/25)*AV146+(1-EXP(-LN(2)/25))/(LN(2)/25)*Calculateur!AQ147*Calculateur!AS147*VLOOKUP('Données projet'!$B$10,Paramètres!$A$1:$I$89,3,0)*0.475*44/12</f>
        <v>0.36940890509085383</v>
      </c>
      <c r="AW147" s="23">
        <f>EXP(-LN(2)/2)*AW146+(1-EXP(-LN(2)/2))/(LN(2)/2)*AQ147*AT147*VLOOKUP('Données projet'!$B$10,Paramètres!$A$1:$I$89,3,0)*0.475*44/12</f>
        <v>8.9994842822609055E-17</v>
      </c>
      <c r="AX147" s="23">
        <f t="shared" si="114"/>
        <v>0.57354901727703467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-1.8089849618263545E-13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303.91914071195419</v>
      </c>
      <c r="BJ147" s="62">
        <f t="shared" si="146"/>
        <v>298.30050362688769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0.11022894303850442</v>
      </c>
      <c r="BR147" s="23">
        <f>EXP(-LN(2)/2)*BR146+(1-EXP(-LN(2)/2))/(LN(2)/2)*BL147*BO147*VLOOKUP('Données projet'!$B$11,Paramètres!$A$1:$I$89,3,0)*0.475*44/12</f>
        <v>1.7661863088381225E-16</v>
      </c>
      <c r="BS147" s="24">
        <f t="shared" si="117"/>
        <v>0.1102289430385046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446.15737983598251</v>
      </c>
      <c r="CE147" s="62">
        <f t="shared" si="148"/>
        <v>282.2299715529382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4.4337866711430253E-14</v>
      </c>
      <c r="CV147" s="14">
        <f t="shared" si="149"/>
        <v>7.3222115536967035E-13</v>
      </c>
      <c r="CW147" s="22">
        <f t="shared" si="121"/>
        <v>1.3525069634579169E-12</v>
      </c>
      <c r="CX147" s="62">
        <f t="shared" si="122"/>
        <v>291.78448590340622</v>
      </c>
      <c r="CY147" s="62">
        <f ca="1">AVERAGE(OFFSET($CX$3,0,0,'Données projet'!$E$13+1,1))-AVERAGE(OFFSET($H$3,0,0,'Données projet'!$E$13+1,1))</f>
        <v>293.03320024876842</v>
      </c>
      <c r="CZ147" s="62">
        <f t="shared" si="150"/>
        <v>287.49994652707915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2.8448292854850051E-17</v>
      </c>
      <c r="DI147" s="24">
        <f t="shared" si="123"/>
        <v>2.8448292854850051E-17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-1.7053025658242404E-13</v>
      </c>
      <c r="DP147" s="18">
        <f>DO147*VLOOKUP('Données projet'!$B$14,Paramètres!$A$1:$I$89,3,0)*VLOOKUP('Données projet'!$B$14,Paramètres!$A$1:$I$89,5,0)</f>
        <v>-9.3109520094003535E-14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253.0312006976271</v>
      </c>
      <c r="DU147" s="62">
        <f t="shared" si="152"/>
        <v>365.93937083714866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0.69864864626062984</v>
      </c>
      <c r="EB147" s="23">
        <f>EXP(-LN(2)/25)*EB146+(1-EXP(-LN(2)/25))/(LN(2)/25)*Calculateur!DW147*Calculateur!DY147*VLOOKUP('Données projet'!$B$14,Paramètres!$A$1:$I$89,3,0)*0.475*44/12</f>
        <v>0.40711389218387206</v>
      </c>
      <c r="EC147" s="23">
        <f>EXP(-LN(2)/2)*EC146+(1-EXP(-LN(2)/2))/(LN(2)/2)*DW147*DZ147*VLOOKUP('Données projet'!$B$14,Paramètres!$A$1:$I$89,3,0)*0.475*44/12</f>
        <v>1.2133598739822839E-16</v>
      </c>
      <c r="ED147" s="24">
        <f t="shared" si="126"/>
        <v>1.105762538444502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1.05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3.85</v>
      </c>
      <c r="H148" s="70">
        <f t="shared" si="110"/>
        <v>241.26666666666665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291.81135494361189</v>
      </c>
      <c r="S148" s="62">
        <f ca="1">AVERAGE(OFFSET($R$3,0,0,'Données projet'!$E$9+1,1))-AVERAGE(OFFSET($H$3,0,0,'Données projet'!$E$9+1,1))</f>
        <v>393.3487617557011</v>
      </c>
      <c r="T148" s="62">
        <f t="shared" si="142"/>
        <v>360.09400083977084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0.5435550239762561</v>
      </c>
      <c r="AA148" s="23">
        <f>EXP(-LN(2)/25)*AA147+(1-EXP(-LN(2)/25))/(LN(2)/25)*Calculateur!V148*Calculateur!X148*VLOOKUP('Données projet'!$B$9,Paramètres!$A$1:$I$89,3,0)*0.475*44/12</f>
        <v>0.38287506745205518</v>
      </c>
      <c r="AB148" s="23">
        <f>EXP(-LN(2)/2)*AB147+(1-EXP(-LN(2)/2))/(LN(2)/2)*V148*Y148*VLOOKUP('Données projet'!$B$9,Paramètres!$A$1:$I$89,3,0)*0.475*44/12</f>
        <v>7.0078040409714995E-17</v>
      </c>
      <c r="AC148" s="24">
        <f t="shared" si="111"/>
        <v>0.92643009142831134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-1.6671037883497774E-13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283.28499080043167</v>
      </c>
      <c r="AO148" s="62">
        <f t="shared" si="144"/>
        <v>278.56966286485783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0.20013704909938354</v>
      </c>
      <c r="AV148" s="23">
        <f>EXP(-LN(2)/25)*AV147+(1-EXP(-LN(2)/25))/(LN(2)/25)*Calculateur!AQ148*Calculateur!AS148*VLOOKUP('Données projet'!$B$10,Paramètres!$A$1:$I$89,3,0)*0.475*44/12</f>
        <v>0.35930739915477439</v>
      </c>
      <c r="AW148" s="23">
        <f>EXP(-LN(2)/2)*AW147+(1-EXP(-LN(2)/2))/(LN(2)/2)*AQ148*AT148*VLOOKUP('Données projet'!$B$10,Paramètres!$A$1:$I$89,3,0)*0.475*44/12</f>
        <v>6.3635963631684358E-17</v>
      </c>
      <c r="AX148" s="23">
        <f t="shared" si="114"/>
        <v>0.55944444825415807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-1.8089849618263545E-13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303.91914071195419</v>
      </c>
      <c r="BJ148" s="62">
        <f t="shared" si="146"/>
        <v>298.30050362688769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0.10721472679442832</v>
      </c>
      <c r="BR148" s="23">
        <f>EXP(-LN(2)/2)*BR147+(1-EXP(-LN(2)/2))/(LN(2)/2)*BL148*BO148*VLOOKUP('Données projet'!$B$11,Paramètres!$A$1:$I$89,3,0)*0.475*44/12</f>
        <v>1.2488823158182743E-16</v>
      </c>
      <c r="BS148" s="24">
        <f t="shared" si="117"/>
        <v>0.10721472679442845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446.15737983598251</v>
      </c>
      <c r="CE148" s="62">
        <f t="shared" si="148"/>
        <v>282.2299715529382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4.4337866711430253E-14</v>
      </c>
      <c r="CV148" s="14">
        <f t="shared" si="149"/>
        <v>7.3222115536967035E-13</v>
      </c>
      <c r="CW148" s="22">
        <f t="shared" si="121"/>
        <v>1.3525069634579169E-12</v>
      </c>
      <c r="CX148" s="62">
        <f t="shared" si="122"/>
        <v>291.81135494361138</v>
      </c>
      <c r="CY148" s="62">
        <f ca="1">AVERAGE(OFFSET($CX$3,0,0,'Données projet'!$E$13+1,1))-AVERAGE(OFFSET($H$3,0,0,'Données projet'!$E$13+1,1))</f>
        <v>293.03320024876842</v>
      </c>
      <c r="CZ148" s="62">
        <f t="shared" si="150"/>
        <v>287.49994652707915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2.0115980790845279E-17</v>
      </c>
      <c r="DI148" s="24">
        <f t="shared" si="123"/>
        <v>2.0115980790845279E-17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-1.7053025658242404E-13</v>
      </c>
      <c r="DP148" s="18">
        <f>DO148*VLOOKUP('Données projet'!$B$14,Paramètres!$A$1:$I$89,3,0)*VLOOKUP('Données projet'!$B$14,Paramètres!$A$1:$I$89,5,0)</f>
        <v>-9.3109520094003535E-14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253.0312006976271</v>
      </c>
      <c r="DU148" s="62">
        <f t="shared" si="152"/>
        <v>365.93937083714866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0.68494857244105589</v>
      </c>
      <c r="EB148" s="23">
        <f>EXP(-LN(2)/25)*EB147+(1-EXP(-LN(2)/25))/(LN(2)/25)*Calculateur!DW148*Calculateur!DY148*VLOOKUP('Données projet'!$B$14,Paramètres!$A$1:$I$89,3,0)*0.475*44/12</f>
        <v>0.39598134139291497</v>
      </c>
      <c r="EC148" s="23">
        <f>EXP(-LN(2)/2)*EC147+(1-EXP(-LN(2)/2))/(LN(2)/2)*DW148*DZ148*VLOOKUP('Données projet'!$B$14,Paramètres!$A$1:$I$89,3,0)*0.475*44/12</f>
        <v>8.5797499491252771E-17</v>
      </c>
      <c r="ED148" s="24">
        <f t="shared" si="126"/>
        <v>1.080929913833971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1.05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3.85</v>
      </c>
      <c r="H149" s="70">
        <f t="shared" si="110"/>
        <v>241.26666666666665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291.83775786603962</v>
      </c>
      <c r="S149" s="62">
        <f ca="1">AVERAGE(OFFSET($R$3,0,0,'Données projet'!$E$9+1,1))-AVERAGE(OFFSET($H$3,0,0,'Données projet'!$E$9+1,1))</f>
        <v>393.3487617557011</v>
      </c>
      <c r="T149" s="62">
        <f t="shared" si="142"/>
        <v>360.09400083977084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0.53289624149190995</v>
      </c>
      <c r="AA149" s="23">
        <f>EXP(-LN(2)/25)*AA148+(1-EXP(-LN(2)/25))/(LN(2)/25)*Calculateur!V149*Calculateur!X149*VLOOKUP('Données projet'!$B$9,Paramètres!$A$1:$I$89,3,0)*0.475*44/12</f>
        <v>0.37240532859805403</v>
      </c>
      <c r="AB149" s="23">
        <f>EXP(-LN(2)/2)*AB148+(1-EXP(-LN(2)/2))/(LN(2)/2)*V149*Y149*VLOOKUP('Données projet'!$B$9,Paramètres!$A$1:$I$89,3,0)*0.475*44/12</f>
        <v>4.9552657585974377E-17</v>
      </c>
      <c r="AC149" s="24">
        <f t="shared" si="111"/>
        <v>0.90530157008996404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-1.6671037883497774E-13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283.28499080043167</v>
      </c>
      <c r="AO149" s="62">
        <f t="shared" si="144"/>
        <v>278.56966286485783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0.19621248363809102</v>
      </c>
      <c r="AV149" s="23">
        <f>EXP(-LN(2)/25)*AV148+(1-EXP(-LN(2)/25))/(LN(2)/25)*Calculateur!AQ149*Calculateur!AS149*VLOOKUP('Données projet'!$B$10,Paramètres!$A$1:$I$89,3,0)*0.475*44/12</f>
        <v>0.34948211942973217</v>
      </c>
      <c r="AW149" s="23">
        <f>EXP(-LN(2)/2)*AW148+(1-EXP(-LN(2)/2))/(LN(2)/2)*AQ149*AT149*VLOOKUP('Données projet'!$B$10,Paramètres!$A$1:$I$89,3,0)*0.475*44/12</f>
        <v>4.4997421411304527E-17</v>
      </c>
      <c r="AX149" s="23">
        <f t="shared" si="114"/>
        <v>0.54569460306782314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-1.8089849618263545E-13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303.91914071195419</v>
      </c>
      <c r="BJ149" s="62">
        <f t="shared" si="146"/>
        <v>298.30050362688769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0.10428293445205725</v>
      </c>
      <c r="BR149" s="23">
        <f>EXP(-LN(2)/2)*BR148+(1-EXP(-LN(2)/2))/(LN(2)/2)*BL149*BO149*VLOOKUP('Données projet'!$B$11,Paramètres!$A$1:$I$89,3,0)*0.475*44/12</f>
        <v>8.8309315441906123E-17</v>
      </c>
      <c r="BS149" s="24">
        <f t="shared" si="117"/>
        <v>0.10428293445205733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446.15737983598251</v>
      </c>
      <c r="CE149" s="62">
        <f t="shared" si="148"/>
        <v>282.2299715529382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4.4337866711430253E-14</v>
      </c>
      <c r="CV149" s="14">
        <f t="shared" si="149"/>
        <v>7.3222115536967035E-13</v>
      </c>
      <c r="CW149" s="22">
        <f t="shared" si="121"/>
        <v>1.3525069634579169E-12</v>
      </c>
      <c r="CX149" s="62">
        <f t="shared" si="122"/>
        <v>291.83775786603911</v>
      </c>
      <c r="CY149" s="62">
        <f ca="1">AVERAGE(OFFSET($CX$3,0,0,'Données projet'!$E$13+1,1))-AVERAGE(OFFSET($H$3,0,0,'Données projet'!$E$13+1,1))</f>
        <v>293.03320024876842</v>
      </c>
      <c r="CZ149" s="62">
        <f t="shared" si="150"/>
        <v>287.49994652707915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1.4224146427425026E-17</v>
      </c>
      <c r="DI149" s="24">
        <f t="shared" si="123"/>
        <v>1.4224146427425026E-17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-1.7053025658242404E-13</v>
      </c>
      <c r="DP149" s="18">
        <f>DO149*VLOOKUP('Données projet'!$B$14,Paramètres!$A$1:$I$89,3,0)*VLOOKUP('Données projet'!$B$14,Paramètres!$A$1:$I$89,5,0)</f>
        <v>-9.3109520094003535E-14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253.0312006976271</v>
      </c>
      <c r="DU149" s="62">
        <f t="shared" si="152"/>
        <v>365.93937083714866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0.67151714871286383</v>
      </c>
      <c r="EB149" s="23">
        <f>EXP(-LN(2)/25)*EB148+(1-EXP(-LN(2)/25))/(LN(2)/25)*Calculateur!DW149*Calculateur!DY149*VLOOKUP('Données projet'!$B$14,Paramètres!$A$1:$I$89,3,0)*0.475*44/12</f>
        <v>0.38515321078877202</v>
      </c>
      <c r="EC149" s="23">
        <f>EXP(-LN(2)/2)*EC148+(1-EXP(-LN(2)/2))/(LN(2)/2)*DW149*DZ149*VLOOKUP('Données projet'!$B$14,Paramètres!$A$1:$I$89,3,0)*0.475*44/12</f>
        <v>6.0667993699114194E-17</v>
      </c>
      <c r="ED149" s="24">
        <f t="shared" si="126"/>
        <v>1.0566703595016358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1.05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3.85</v>
      </c>
      <c r="H150" s="70">
        <f t="shared" si="110"/>
        <v>241.26666666666665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291.86370275679138</v>
      </c>
      <c r="S150" s="62">
        <f ca="1">AVERAGE(OFFSET($R$3,0,0,'Données projet'!$E$9+1,1))-AVERAGE(OFFSET($H$3,0,0,'Données projet'!$E$9+1,1))</f>
        <v>393.3487617557011</v>
      </c>
      <c r="T150" s="62">
        <f t="shared" si="142"/>
        <v>360.09400083977084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0.5224464712308664</v>
      </c>
      <c r="AA150" s="23">
        <f>EXP(-LN(2)/25)*AA149+(1-EXP(-LN(2)/25))/(LN(2)/25)*Calculateur!V150*Calculateur!X150*VLOOKUP('Données projet'!$B$9,Paramètres!$A$1:$I$89,3,0)*0.475*44/12</f>
        <v>0.36222188530359517</v>
      </c>
      <c r="AB150" s="23">
        <f>EXP(-LN(2)/2)*AB149+(1-EXP(-LN(2)/2))/(LN(2)/2)*V150*Y150*VLOOKUP('Données projet'!$B$9,Paramètres!$A$1:$I$89,3,0)*0.475*44/12</f>
        <v>3.5039020204857497E-17</v>
      </c>
      <c r="AC150" s="24">
        <f t="shared" si="111"/>
        <v>0.88466835653446152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-1.6671037883497774E-13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283.28499080043167</v>
      </c>
      <c r="AO150" s="62">
        <f t="shared" si="144"/>
        <v>278.56966286485783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0.19236487651174586</v>
      </c>
      <c r="AV150" s="23">
        <f>EXP(-LN(2)/25)*AV149+(1-EXP(-LN(2)/25))/(LN(2)/25)*Calculateur!AQ150*Calculateur!AS150*VLOOKUP('Données projet'!$B$10,Paramètres!$A$1:$I$89,3,0)*0.475*44/12</f>
        <v>0.33992551249546021</v>
      </c>
      <c r="AW150" s="23">
        <f>EXP(-LN(2)/2)*AW149+(1-EXP(-LN(2)/2))/(LN(2)/2)*AQ150*AT150*VLOOKUP('Données projet'!$B$10,Paramètres!$A$1:$I$89,3,0)*0.475*44/12</f>
        <v>3.1817981815842179E-17</v>
      </c>
      <c r="AX150" s="23">
        <f t="shared" si="114"/>
        <v>0.53229038900720604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-1.8089849618263545E-13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303.91914071195419</v>
      </c>
      <c r="BJ150" s="62">
        <f t="shared" si="146"/>
        <v>298.30050362688769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0.10143131212546456</v>
      </c>
      <c r="BR150" s="23">
        <f>EXP(-LN(2)/2)*BR149+(1-EXP(-LN(2)/2))/(LN(2)/2)*BL150*BO150*VLOOKUP('Données projet'!$B$11,Paramètres!$A$1:$I$89,3,0)*0.475*44/12</f>
        <v>6.2444115790913715E-17</v>
      </c>
      <c r="BS150" s="24">
        <f t="shared" si="117"/>
        <v>0.10143131212546462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446.15737983598251</v>
      </c>
      <c r="CE150" s="62">
        <f t="shared" si="148"/>
        <v>282.2299715529382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4.4337866711430253E-14</v>
      </c>
      <c r="CV150" s="14">
        <f t="shared" si="149"/>
        <v>7.3222115536967035E-13</v>
      </c>
      <c r="CW150" s="22">
        <f t="shared" si="121"/>
        <v>1.3525069634579169E-12</v>
      </c>
      <c r="CX150" s="62">
        <f t="shared" si="122"/>
        <v>291.86370275679087</v>
      </c>
      <c r="CY150" s="62">
        <f ca="1">AVERAGE(OFFSET($CX$3,0,0,'Données projet'!$E$13+1,1))-AVERAGE(OFFSET($H$3,0,0,'Données projet'!$E$13+1,1))</f>
        <v>293.03320024876842</v>
      </c>
      <c r="CZ150" s="62">
        <f t="shared" si="150"/>
        <v>287.49994652707915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1.005799039542264E-17</v>
      </c>
      <c r="DI150" s="24">
        <f t="shared" si="123"/>
        <v>1.005799039542264E-17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-1.7053025658242404E-13</v>
      </c>
      <c r="DP150" s="18">
        <f>DO150*VLOOKUP('Données projet'!$B$14,Paramètres!$A$1:$I$89,3,0)*VLOOKUP('Données projet'!$B$14,Paramètres!$A$1:$I$89,5,0)</f>
        <v>-9.3109520094003535E-14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253.0312006976271</v>
      </c>
      <c r="DU150" s="62">
        <f t="shared" si="152"/>
        <v>365.93937083714866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0.65834910701162208</v>
      </c>
      <c r="EB150" s="23">
        <f>EXP(-LN(2)/25)*EB149+(1-EXP(-LN(2)/25))/(LN(2)/25)*Calculateur!DW150*Calculateur!DY150*VLOOKUP('Données projet'!$B$14,Paramètres!$A$1:$I$89,3,0)*0.475*44/12</f>
        <v>0.37462117598542599</v>
      </c>
      <c r="EC150" s="23">
        <f>EXP(-LN(2)/2)*EC149+(1-EXP(-LN(2)/2))/(LN(2)/2)*DW150*DZ150*VLOOKUP('Données projet'!$B$14,Paramètres!$A$1:$I$89,3,0)*0.475*44/12</f>
        <v>4.2898749745626385E-17</v>
      </c>
      <c r="ED150" s="24">
        <f t="shared" si="126"/>
        <v>1.0329702829970482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1.05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3.85</v>
      </c>
      <c r="H151" s="70">
        <f t="shared" si="110"/>
        <v>241.26666666666665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291.88919756169264</v>
      </c>
      <c r="S151" s="62">
        <f ca="1">AVERAGE(OFFSET($R$3,0,0,'Données projet'!$E$9+1,1))-AVERAGE(OFFSET($H$3,0,0,'Données projet'!$E$9+1,1))</f>
        <v>393.3487617557011</v>
      </c>
      <c r="T151" s="62">
        <f t="shared" si="142"/>
        <v>360.09400083977084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0.5122016145909114</v>
      </c>
      <c r="AA151" s="23">
        <f>EXP(-LN(2)/25)*AA150+(1-EXP(-LN(2)/25))/(LN(2)/25)*Calculateur!V151*Calculateur!X151*VLOOKUP('Données projet'!$B$9,Paramètres!$A$1:$I$89,3,0)*0.475*44/12</f>
        <v>0.35231690880154726</v>
      </c>
      <c r="AB151" s="23">
        <f>EXP(-LN(2)/2)*AB150+(1-EXP(-LN(2)/2))/(LN(2)/2)*V151*Y151*VLOOKUP('Données projet'!$B$9,Paramètres!$A$1:$I$89,3,0)*0.475*44/12</f>
        <v>2.4776328792987188E-17</v>
      </c>
      <c r="AC151" s="24">
        <f t="shared" si="111"/>
        <v>0.8645185233924586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-1.6671037883497774E-13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283.28499080043167</v>
      </c>
      <c r="AO151" s="62">
        <f t="shared" si="144"/>
        <v>278.56966286485783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0.18859271861433971</v>
      </c>
      <c r="AV151" s="23">
        <f>EXP(-LN(2)/25)*AV150+(1-EXP(-LN(2)/25))/(LN(2)/25)*Calculateur!AQ151*Calculateur!AS151*VLOOKUP('Données projet'!$B$10,Paramètres!$A$1:$I$89,3,0)*0.475*44/12</f>
        <v>0.33063023148036608</v>
      </c>
      <c r="AW151" s="23">
        <f>EXP(-LN(2)/2)*AW150+(1-EXP(-LN(2)/2))/(LN(2)/2)*AQ151*AT151*VLOOKUP('Données projet'!$B$10,Paramètres!$A$1:$I$89,3,0)*0.475*44/12</f>
        <v>2.2498710705652264E-17</v>
      </c>
      <c r="AX151" s="23">
        <f t="shared" si="114"/>
        <v>0.51922295009470576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-1.8089849618263545E-13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303.91914071195419</v>
      </c>
      <c r="BJ151" s="62">
        <f t="shared" si="146"/>
        <v>298.30050362688769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9.8657667561352858E-2</v>
      </c>
      <c r="BR151" s="23">
        <f>EXP(-LN(2)/2)*BR150+(1-EXP(-LN(2)/2))/(LN(2)/2)*BL151*BO151*VLOOKUP('Données projet'!$B$11,Paramètres!$A$1:$I$89,3,0)*0.475*44/12</f>
        <v>4.4154657720953061E-17</v>
      </c>
      <c r="BS151" s="24">
        <f t="shared" si="117"/>
        <v>9.8657667561352899E-2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446.15737983598251</v>
      </c>
      <c r="CE151" s="62">
        <f t="shared" si="148"/>
        <v>282.2299715529382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4.4337866711430253E-14</v>
      </c>
      <c r="CV151" s="14">
        <f t="shared" si="149"/>
        <v>7.3222115536967035E-13</v>
      </c>
      <c r="CW151" s="22">
        <f t="shared" si="121"/>
        <v>1.3525069634579169E-12</v>
      </c>
      <c r="CX151" s="62">
        <f t="shared" si="122"/>
        <v>291.88919756169213</v>
      </c>
      <c r="CY151" s="62">
        <f ca="1">AVERAGE(OFFSET($CX$3,0,0,'Données projet'!$E$13+1,1))-AVERAGE(OFFSET($H$3,0,0,'Données projet'!$E$13+1,1))</f>
        <v>293.03320024876842</v>
      </c>
      <c r="CZ151" s="62">
        <f t="shared" si="150"/>
        <v>287.49994652707915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7.1120732137125128E-18</v>
      </c>
      <c r="DI151" s="24">
        <f t="shared" si="123"/>
        <v>7.1120732137125128E-18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-1.7053025658242404E-13</v>
      </c>
      <c r="DP151" s="18">
        <f>DO151*VLOOKUP('Données projet'!$B$14,Paramètres!$A$1:$I$89,3,0)*VLOOKUP('Données projet'!$B$14,Paramètres!$A$1:$I$89,5,0)</f>
        <v>-9.3109520094003535E-14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253.0312006976271</v>
      </c>
      <c r="DU151" s="62">
        <f t="shared" si="152"/>
        <v>365.93937083714866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0.64543928257642935</v>
      </c>
      <c r="EB151" s="23">
        <f>EXP(-LN(2)/25)*EB150+(1-EXP(-LN(2)/25))/(LN(2)/25)*Calculateur!DW151*Calculateur!DY151*VLOOKUP('Données projet'!$B$14,Paramètres!$A$1:$I$89,3,0)*0.475*44/12</f>
        <v>0.36437714022763307</v>
      </c>
      <c r="EC151" s="23">
        <f>EXP(-LN(2)/2)*EC150+(1-EXP(-LN(2)/2))/(LN(2)/2)*DW151*DZ151*VLOOKUP('Données projet'!$B$14,Paramètres!$A$1:$I$89,3,0)*0.475*44/12</f>
        <v>3.0333996849557097E-17</v>
      </c>
      <c r="ED151" s="24">
        <f t="shared" si="126"/>
        <v>1.0098164228040625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1.05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3.85</v>
      </c>
      <c r="H152" s="70">
        <f t="shared" si="110"/>
        <v>241.26666666666665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291.91425008872676</v>
      </c>
      <c r="S152" s="62">
        <f ca="1">AVERAGE(OFFSET($R$3,0,0,'Données projet'!$E$9+1,1))-AVERAGE(OFFSET($H$3,0,0,'Données projet'!$E$9+1,1))</f>
        <v>393.3487617557011</v>
      </c>
      <c r="T152" s="62">
        <f t="shared" si="142"/>
        <v>360.09400083977084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0.50215765334092044</v>
      </c>
      <c r="AA152" s="23">
        <f>EXP(-LN(2)/25)*AA151+(1-EXP(-LN(2)/25))/(LN(2)/25)*Calculateur!V152*Calculateur!X152*VLOOKUP('Données projet'!$B$9,Paramètres!$A$1:$I$89,3,0)*0.475*44/12</f>
        <v>0.34268278440282796</v>
      </c>
      <c r="AB152" s="23">
        <f>EXP(-LN(2)/2)*AB151+(1-EXP(-LN(2)/2))/(LN(2)/2)*V152*Y152*VLOOKUP('Données projet'!$B$9,Paramètres!$A$1:$I$89,3,0)*0.475*44/12</f>
        <v>1.7519510102428749E-17</v>
      </c>
      <c r="AC152" s="24">
        <f t="shared" si="111"/>
        <v>0.8448404377437484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-1.6671037883497774E-13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283.28499080043167</v>
      </c>
      <c r="AO152" s="62">
        <f t="shared" si="144"/>
        <v>278.56966286485783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0.18489453043251258</v>
      </c>
      <c r="AV152" s="23">
        <f>EXP(-LN(2)/25)*AV151+(1-EXP(-LN(2)/25))/(LN(2)/25)*Calculateur!AQ152*Calculateur!AS152*VLOOKUP('Données projet'!$B$10,Paramètres!$A$1:$I$89,3,0)*0.475*44/12</f>
        <v>0.32158913041344728</v>
      </c>
      <c r="AW152" s="23">
        <f>EXP(-LN(2)/2)*AW151+(1-EXP(-LN(2)/2))/(LN(2)/2)*AQ152*AT152*VLOOKUP('Données projet'!$B$10,Paramètres!$A$1:$I$89,3,0)*0.475*44/12</f>
        <v>1.5908990907921089E-17</v>
      </c>
      <c r="AX152" s="23">
        <f t="shared" si="114"/>
        <v>0.50648366084595986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-1.8089849618263545E-13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303.91914071195419</v>
      </c>
      <c r="BJ152" s="62">
        <f t="shared" si="146"/>
        <v>298.30050362688769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9.5959868453706409E-2</v>
      </c>
      <c r="BR152" s="23">
        <f>EXP(-LN(2)/2)*BR151+(1-EXP(-LN(2)/2))/(LN(2)/2)*BL152*BO152*VLOOKUP('Données projet'!$B$11,Paramètres!$A$1:$I$89,3,0)*0.475*44/12</f>
        <v>3.1222057895456857E-17</v>
      </c>
      <c r="BS152" s="24">
        <f t="shared" si="117"/>
        <v>9.5959868453706437E-2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446.15737983598251</v>
      </c>
      <c r="CE152" s="62">
        <f t="shared" si="148"/>
        <v>282.2299715529382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4.4337866711430253E-14</v>
      </c>
      <c r="CV152" s="14">
        <f t="shared" si="149"/>
        <v>7.3222115536967035E-13</v>
      </c>
      <c r="CW152" s="22">
        <f t="shared" si="121"/>
        <v>1.3525069634579169E-12</v>
      </c>
      <c r="CX152" s="62">
        <f t="shared" si="122"/>
        <v>291.91425008872625</v>
      </c>
      <c r="CY152" s="62">
        <f ca="1">AVERAGE(OFFSET($CX$3,0,0,'Données projet'!$E$13+1,1))-AVERAGE(OFFSET($H$3,0,0,'Données projet'!$E$13+1,1))</f>
        <v>293.03320024876842</v>
      </c>
      <c r="CZ152" s="62">
        <f t="shared" si="150"/>
        <v>287.49994652707915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5.0289951977113198E-18</v>
      </c>
      <c r="DI152" s="24">
        <f t="shared" si="123"/>
        <v>5.0289951977113198E-18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-1.7053025658242404E-13</v>
      </c>
      <c r="DP152" s="18">
        <f>DO152*VLOOKUP('Données projet'!$B$14,Paramètres!$A$1:$I$89,3,0)*VLOOKUP('Données projet'!$B$14,Paramètres!$A$1:$I$89,5,0)</f>
        <v>-9.3109520094003535E-14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253.0312006976271</v>
      </c>
      <c r="DU152" s="62">
        <f t="shared" si="152"/>
        <v>365.93937083714866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0.63278261192419538</v>
      </c>
      <c r="EB152" s="23">
        <f>EXP(-LN(2)/25)*EB151+(1-EXP(-LN(2)/25))/(LN(2)/25)*Calculateur!DW152*Calculateur!DY152*VLOOKUP('Données projet'!$B$14,Paramètres!$A$1:$I$89,3,0)*0.475*44/12</f>
        <v>0.3544132281663474</v>
      </c>
      <c r="EC152" s="23">
        <f>EXP(-LN(2)/2)*EC151+(1-EXP(-LN(2)/2))/(LN(2)/2)*DW152*DZ152*VLOOKUP('Données projet'!$B$14,Paramètres!$A$1:$I$89,3,0)*0.475*44/12</f>
        <v>2.1449374872813193E-17</v>
      </c>
      <c r="ED152" s="24">
        <f t="shared" si="126"/>
        <v>0.98719584009054273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1.05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3.85</v>
      </c>
      <c r="H153" s="70">
        <f t="shared" si="110"/>
        <v>241.26666666666665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291.93886801042589</v>
      </c>
      <c r="S153" s="62">
        <f ca="1">AVERAGE(OFFSET($R$3,0,0,'Données projet'!$E$9+1,1))-AVERAGE(OFFSET($H$3,0,0,'Données projet'!$E$9+1,1))</f>
        <v>393.3487617557011</v>
      </c>
      <c r="T153" s="62">
        <f t="shared" si="142"/>
        <v>360.09400083977084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0.49231064804483032</v>
      </c>
      <c r="AA153" s="23">
        <f>EXP(-LN(2)/25)*AA152+(1-EXP(-LN(2)/25))/(LN(2)/25)*Calculateur!V153*Calculateur!X153*VLOOKUP('Données projet'!$B$9,Paramètres!$A$1:$I$89,3,0)*0.475*44/12</f>
        <v>0.33331210564242819</v>
      </c>
      <c r="AB153" s="23">
        <f>EXP(-LN(2)/2)*AB152+(1-EXP(-LN(2)/2))/(LN(2)/2)*V153*Y153*VLOOKUP('Données projet'!$B$9,Paramètres!$A$1:$I$89,3,0)*0.475*44/12</f>
        <v>1.2388164396493594E-17</v>
      </c>
      <c r="AC153" s="24">
        <f t="shared" si="111"/>
        <v>0.82562275368725846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-1.6671037883497774E-13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283.28499080043167</v>
      </c>
      <c r="AO153" s="62">
        <f t="shared" si="144"/>
        <v>278.56966286485783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0.181268861465259</v>
      </c>
      <c r="AV153" s="23">
        <f>EXP(-LN(2)/25)*AV152+(1-EXP(-LN(2)/25))/(LN(2)/25)*Calculateur!AQ153*Calculateur!AS153*VLOOKUP('Données projet'!$B$10,Paramètres!$A$1:$I$89,3,0)*0.475*44/12</f>
        <v>0.31279525873065417</v>
      </c>
      <c r="AW153" s="23">
        <f>EXP(-LN(2)/2)*AW152+(1-EXP(-LN(2)/2))/(LN(2)/2)*AQ153*AT153*VLOOKUP('Données projet'!$B$10,Paramètres!$A$1:$I$89,3,0)*0.475*44/12</f>
        <v>1.1249355352826132E-17</v>
      </c>
      <c r="AX153" s="23">
        <f t="shared" si="114"/>
        <v>0.49406412019591317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-1.8089849618263545E-13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303.91914071195419</v>
      </c>
      <c r="BJ153" s="62">
        <f t="shared" si="146"/>
        <v>298.30050362688769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9.3335840804529641E-2</v>
      </c>
      <c r="BR153" s="23">
        <f>EXP(-LN(2)/2)*BR152+(1-EXP(-LN(2)/2))/(LN(2)/2)*BL153*BO153*VLOOKUP('Données projet'!$B$11,Paramètres!$A$1:$I$89,3,0)*0.475*44/12</f>
        <v>2.2077328860476531E-17</v>
      </c>
      <c r="BS153" s="24">
        <f t="shared" si="117"/>
        <v>9.3335840804529668E-2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446.15737983598251</v>
      </c>
      <c r="CE153" s="62">
        <f t="shared" si="148"/>
        <v>282.2299715529382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4.4337866711430253E-14</v>
      </c>
      <c r="CV153" s="14">
        <f t="shared" si="149"/>
        <v>7.3222115536967035E-13</v>
      </c>
      <c r="CW153" s="22">
        <f t="shared" si="121"/>
        <v>1.3525069634579169E-12</v>
      </c>
      <c r="CX153" s="62">
        <f t="shared" si="122"/>
        <v>291.93886801042538</v>
      </c>
      <c r="CY153" s="62">
        <f ca="1">AVERAGE(OFFSET($CX$3,0,0,'Données projet'!$E$13+1,1))-AVERAGE(OFFSET($H$3,0,0,'Données projet'!$E$13+1,1))</f>
        <v>293.03320024876842</v>
      </c>
      <c r="CZ153" s="62">
        <f t="shared" si="150"/>
        <v>287.49994652707915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3.5560366068562564E-18</v>
      </c>
      <c r="DI153" s="24">
        <f t="shared" si="123"/>
        <v>3.5560366068562564E-18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-1.7053025658242404E-13</v>
      </c>
      <c r="DP153" s="18">
        <f>DO153*VLOOKUP('Données projet'!$B$14,Paramètres!$A$1:$I$89,3,0)*VLOOKUP('Données projet'!$B$14,Paramètres!$A$1:$I$89,5,0)</f>
        <v>-9.3109520094003535E-14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253.0312006976271</v>
      </c>
      <c r="DU153" s="62">
        <f t="shared" si="152"/>
        <v>365.93937083714866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0.6203741308636449</v>
      </c>
      <c r="EB153" s="23">
        <f>EXP(-LN(2)/25)*EB152+(1-EXP(-LN(2)/25))/(LN(2)/25)*Calculateur!DW153*Calculateur!DY153*VLOOKUP('Données projet'!$B$14,Paramètres!$A$1:$I$89,3,0)*0.475*44/12</f>
        <v>0.34472177980435698</v>
      </c>
      <c r="EC153" s="23">
        <f>EXP(-LN(2)/2)*EC152+(1-EXP(-LN(2)/2))/(LN(2)/2)*DW153*DZ153*VLOOKUP('Données projet'!$B$14,Paramètres!$A$1:$I$89,3,0)*0.475*44/12</f>
        <v>1.5166998424778548E-17</v>
      </c>
      <c r="ED153" s="24">
        <f t="shared" si="126"/>
        <v>0.96509591066800193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1.05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3.85</v>
      </c>
      <c r="H154" s="70">
        <f t="shared" si="110"/>
        <v>241.26666666666665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291.96305886622093</v>
      </c>
      <c r="S154" s="62">
        <f ca="1">AVERAGE(OFFSET($R$3,0,0,'Données projet'!$E$9+1,1))-AVERAGE(OFFSET($H$3,0,0,'Données projet'!$E$9+1,1))</f>
        <v>393.3487617557011</v>
      </c>
      <c r="T154" s="62">
        <f t="shared" si="142"/>
        <v>360.09400083977084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0.48265673651651636</v>
      </c>
      <c r="AA154" s="23">
        <f>EXP(-LN(2)/25)*AA153+(1-EXP(-LN(2)/25))/(LN(2)/25)*Calculateur!V154*Calculateur!X154*VLOOKUP('Données projet'!$B$9,Paramètres!$A$1:$I$89,3,0)*0.475*44/12</f>
        <v>0.32419766858551413</v>
      </c>
      <c r="AB154" s="23">
        <f>EXP(-LN(2)/2)*AB153+(1-EXP(-LN(2)/2))/(LN(2)/2)*V154*Y154*VLOOKUP('Données projet'!$B$9,Paramètres!$A$1:$I$89,3,0)*0.475*44/12</f>
        <v>8.7597550512143743E-18</v>
      </c>
      <c r="AC154" s="24">
        <f t="shared" ref="AC154:AC203" si="163">SUM(Z154:AB154)</f>
        <v>0.80685440510203055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-1.6671037883497774E-13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283.28499080043167</v>
      </c>
      <c r="AO154" s="62">
        <f t="shared" si="144"/>
        <v>278.56966286485783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0.17771428965501357</v>
      </c>
      <c r="AV154" s="23">
        <f>EXP(-LN(2)/25)*AV153+(1-EXP(-LN(2)/25))/(LN(2)/25)*Calculateur!AQ154*Calculateur!AS154*VLOOKUP('Données projet'!$B$10,Paramètres!$A$1:$I$89,3,0)*0.475*44/12</f>
        <v>0.30424185593147668</v>
      </c>
      <c r="AW154" s="23">
        <f>EXP(-LN(2)/2)*AW153+(1-EXP(-LN(2)/2))/(LN(2)/2)*AQ154*AT154*VLOOKUP('Données projet'!$B$10,Paramètres!$A$1:$I$89,3,0)*0.475*44/12</f>
        <v>7.9544954539605447E-18</v>
      </c>
      <c r="AX154" s="23">
        <f t="shared" ref="AX154:AX203" si="166">SUM(AU154:AW154)</f>
        <v>0.48195614558649025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-1.8089849618263545E-13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303.91914071195419</v>
      </c>
      <c r="BJ154" s="62">
        <f t="shared" si="146"/>
        <v>298.30050362688769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9.078356732941123E-2</v>
      </c>
      <c r="BR154" s="23">
        <f>EXP(-LN(2)/2)*BR153+(1-EXP(-LN(2)/2))/(LN(2)/2)*BL154*BO154*VLOOKUP('Données projet'!$B$11,Paramètres!$A$1:$I$89,3,0)*0.475*44/12</f>
        <v>1.5611028947728429E-17</v>
      </c>
      <c r="BS154" s="24">
        <f t="shared" ref="BS154:BS203" si="169">SUM(BP154:BR154)</f>
        <v>9.0783567329411244E-2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446.15737983598251</v>
      </c>
      <c r="CE154" s="62">
        <f t="shared" si="148"/>
        <v>282.2299715529382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4.4337866711430253E-14</v>
      </c>
      <c r="CV154" s="14">
        <f t="shared" ref="CV154:CV203" si="173">EXP(-1.0587+0.8836*LN(CU154)+0.284)</f>
        <v>7.3222115536967035E-13</v>
      </c>
      <c r="CW154" s="22">
        <f t="shared" ref="CW154:CW203" si="174">(CU154+CV154)*0.475*44/12</f>
        <v>1.3525069634579169E-12</v>
      </c>
      <c r="CX154" s="62">
        <f t="shared" si="122"/>
        <v>291.96305886622042</v>
      </c>
      <c r="CY154" s="62">
        <f ca="1">AVERAGE(OFFSET($CX$3,0,0,'Données projet'!$E$13+1,1))-AVERAGE(OFFSET($H$3,0,0,'Données projet'!$E$13+1,1))</f>
        <v>293.03320024876842</v>
      </c>
      <c r="CZ154" s="62">
        <f t="shared" si="150"/>
        <v>287.49994652707915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2.5144975988556599E-18</v>
      </c>
      <c r="DI154" s="24">
        <f t="shared" ref="DI154:DI203" si="175">SUM(DF154:DH154)</f>
        <v>2.5144975988556599E-18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-1.7053025658242404E-13</v>
      </c>
      <c r="DP154" s="18">
        <f>DO154*VLOOKUP('Données projet'!$B$14,Paramètres!$A$1:$I$89,3,0)*VLOOKUP('Données projet'!$B$14,Paramètres!$A$1:$I$89,5,0)</f>
        <v>-9.3109520094003535E-14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253.0312006976271</v>
      </c>
      <c r="DU154" s="62">
        <f t="shared" si="152"/>
        <v>365.93937083714866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0.60820897254826567</v>
      </c>
      <c r="EB154" s="23">
        <f>EXP(-LN(2)/25)*EB153+(1-EXP(-LN(2)/25))/(LN(2)/25)*Calculateur!DW154*Calculateur!DY154*VLOOKUP('Données projet'!$B$14,Paramètres!$A$1:$I$89,3,0)*0.475*44/12</f>
        <v>0.33529534460747629</v>
      </c>
      <c r="EC154" s="23">
        <f>EXP(-LN(2)/2)*EC153+(1-EXP(-LN(2)/2))/(LN(2)/2)*DW154*DZ154*VLOOKUP('Données projet'!$B$14,Paramètres!$A$1:$I$89,3,0)*0.475*44/12</f>
        <v>1.0724687436406596E-17</v>
      </c>
      <c r="ED154" s="24">
        <f t="shared" ref="ED154:ED203" si="178">SUM(EA154:EC154)</f>
        <v>0.94350431715574201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1.05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3.85</v>
      </c>
      <c r="H155" s="70">
        <f t="shared" si="110"/>
        <v>241.26666666666665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291.98683006475062</v>
      </c>
      <c r="S155" s="62">
        <f ca="1">AVERAGE(OFFSET($R$3,0,0,'Données projet'!$E$9+1,1))-AVERAGE(OFFSET($H$3,0,0,'Données projet'!$E$9+1,1))</f>
        <v>393.3487617557011</v>
      </c>
      <c r="T155" s="62">
        <f t="shared" si="142"/>
        <v>360.09400083977084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0.47319213230496798</v>
      </c>
      <c r="AA155" s="23">
        <f>EXP(-LN(2)/25)*AA154+(1-EXP(-LN(2)/25))/(LN(2)/25)*Calculateur!V155*Calculateur!X155*VLOOKUP('Données projet'!$B$9,Paramètres!$A$1:$I$89,3,0)*0.475*44/12</f>
        <v>0.31533246628922884</v>
      </c>
      <c r="AB155" s="23">
        <f>EXP(-LN(2)/2)*AB154+(1-EXP(-LN(2)/2))/(LN(2)/2)*V155*Y155*VLOOKUP('Données projet'!$B$9,Paramètres!$A$1:$I$89,3,0)*0.475*44/12</f>
        <v>6.1940821982467971E-18</v>
      </c>
      <c r="AC155" s="24">
        <f t="shared" si="163"/>
        <v>0.78852459859419688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-1.6671037883497774E-13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283.28499080043167</v>
      </c>
      <c r="AO155" s="62">
        <f t="shared" si="144"/>
        <v>278.56966286485783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0.17422942082989232</v>
      </c>
      <c r="AV155" s="23">
        <f>EXP(-LN(2)/25)*AV154+(1-EXP(-LN(2)/25))/(LN(2)/25)*Calculateur!AQ155*Calculateur!AS155*VLOOKUP('Données projet'!$B$10,Paramètres!$A$1:$I$89,3,0)*0.475*44/12</f>
        <v>0.29592234638164661</v>
      </c>
      <c r="AW155" s="23">
        <f>EXP(-LN(2)/2)*AW154+(1-EXP(-LN(2)/2))/(LN(2)/2)*AQ155*AT155*VLOOKUP('Données projet'!$B$10,Paramètres!$A$1:$I$89,3,0)*0.475*44/12</f>
        <v>5.6246776764130659E-18</v>
      </c>
      <c r="AX155" s="23">
        <f t="shared" si="166"/>
        <v>0.47015176721153895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-1.8089849618263545E-13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303.91914071195419</v>
      </c>
      <c r="BJ155" s="62">
        <f t="shared" si="146"/>
        <v>298.30050362688769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8.8301085906688156E-2</v>
      </c>
      <c r="BR155" s="23">
        <f>EXP(-LN(2)/2)*BR154+(1-EXP(-LN(2)/2))/(LN(2)/2)*BL155*BO155*VLOOKUP('Données projet'!$B$11,Paramètres!$A$1:$I$89,3,0)*0.475*44/12</f>
        <v>1.1038664430238265E-17</v>
      </c>
      <c r="BS155" s="24">
        <f t="shared" si="169"/>
        <v>8.830108590668817E-2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446.15737983598251</v>
      </c>
      <c r="CE155" s="62">
        <f t="shared" si="148"/>
        <v>282.2299715529382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4.4337866711430253E-14</v>
      </c>
      <c r="CV155" s="14">
        <f t="shared" si="173"/>
        <v>7.3222115536967035E-13</v>
      </c>
      <c r="CW155" s="22">
        <f t="shared" si="174"/>
        <v>1.3525069634579169E-12</v>
      </c>
      <c r="CX155" s="62">
        <f t="shared" si="122"/>
        <v>291.98683006475011</v>
      </c>
      <c r="CY155" s="62">
        <f ca="1">AVERAGE(OFFSET($CX$3,0,0,'Données projet'!$E$13+1,1))-AVERAGE(OFFSET($H$3,0,0,'Données projet'!$E$13+1,1))</f>
        <v>293.03320024876842</v>
      </c>
      <c r="CZ155" s="62">
        <f t="shared" si="150"/>
        <v>287.49994652707915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1.7780183034281282E-18</v>
      </c>
      <c r="DI155" s="24">
        <f t="shared" si="175"/>
        <v>1.7780183034281282E-18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-1.7053025658242404E-13</v>
      </c>
      <c r="DP155" s="18">
        <f>DO155*VLOOKUP('Données projet'!$B$14,Paramètres!$A$1:$I$89,3,0)*VLOOKUP('Données projet'!$B$14,Paramètres!$A$1:$I$89,5,0)</f>
        <v>-9.3109520094003535E-14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253.0312006976271</v>
      </c>
      <c r="DU155" s="62">
        <f t="shared" si="152"/>
        <v>365.93937083714866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0.59628236556743708</v>
      </c>
      <c r="EB155" s="23">
        <f>EXP(-LN(2)/25)*EB154+(1-EXP(-LN(2)/25))/(LN(2)/25)*Calculateur!DW155*Calculateur!DY155*VLOOKUP('Données projet'!$B$14,Paramètres!$A$1:$I$89,3,0)*0.475*44/12</f>
        <v>0.32612667577676901</v>
      </c>
      <c r="EC155" s="23">
        <f>EXP(-LN(2)/2)*EC154+(1-EXP(-LN(2)/2))/(LN(2)/2)*DW155*DZ155*VLOOKUP('Données projet'!$B$14,Paramètres!$A$1:$I$89,3,0)*0.475*44/12</f>
        <v>7.5834992123892742E-18</v>
      </c>
      <c r="ED155" s="24">
        <f t="shared" si="178"/>
        <v>0.92240904134420609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1.05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3.85</v>
      </c>
      <c r="H156" s="70">
        <f t="shared" si="110"/>
        <v>241.26666666666665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292.01018888613021</v>
      </c>
      <c r="S156" s="62">
        <f ca="1">AVERAGE(OFFSET($R$3,0,0,'Données projet'!$E$9+1,1))-AVERAGE(OFFSET($H$3,0,0,'Données projet'!$E$9+1,1))</f>
        <v>393.3487617557011</v>
      </c>
      <c r="T156" s="62">
        <f t="shared" si="142"/>
        <v>360.09400083977084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0.46391312320916955</v>
      </c>
      <c r="AA156" s="23">
        <f>EXP(-LN(2)/25)*AA155+(1-EXP(-LN(2)/25))/(LN(2)/25)*Calculateur!V156*Calculateur!X156*VLOOKUP('Données projet'!$B$9,Paramètres!$A$1:$I$89,3,0)*0.475*44/12</f>
        <v>0.30670968341593619</v>
      </c>
      <c r="AB156" s="23">
        <f>EXP(-LN(2)/2)*AB155+(1-EXP(-LN(2)/2))/(LN(2)/2)*V156*Y156*VLOOKUP('Données projet'!$B$9,Paramètres!$A$1:$I$89,3,0)*0.475*44/12</f>
        <v>4.3798775256071872E-18</v>
      </c>
      <c r="AC156" s="24">
        <f t="shared" si="163"/>
        <v>0.77062280662510574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-1.6671037883497774E-13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283.28499080043167</v>
      </c>
      <c r="AO156" s="62">
        <f t="shared" si="144"/>
        <v>278.56966286485783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0.1708128881568716</v>
      </c>
      <c r="AV156" s="23">
        <f>EXP(-LN(2)/25)*AV155+(1-EXP(-LN(2)/25))/(LN(2)/25)*Calculateur!AQ156*Calculateur!AS156*VLOOKUP('Données projet'!$B$10,Paramètres!$A$1:$I$89,3,0)*0.475*44/12</f>
        <v>0.28783033425796062</v>
      </c>
      <c r="AW156" s="23">
        <f>EXP(-LN(2)/2)*AW155+(1-EXP(-LN(2)/2))/(LN(2)/2)*AQ156*AT156*VLOOKUP('Données projet'!$B$10,Paramètres!$A$1:$I$89,3,0)*0.475*44/12</f>
        <v>3.9772477269802724E-18</v>
      </c>
      <c r="AX156" s="23">
        <f t="shared" si="166"/>
        <v>0.45864322241483224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-1.8089849618263545E-13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303.91914071195419</v>
      </c>
      <c r="BJ156" s="62">
        <f t="shared" si="146"/>
        <v>298.30050362688769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8.5886488069017469E-2</v>
      </c>
      <c r="BR156" s="23">
        <f>EXP(-LN(2)/2)*BR155+(1-EXP(-LN(2)/2))/(LN(2)/2)*BL156*BO156*VLOOKUP('Données projet'!$B$11,Paramètres!$A$1:$I$89,3,0)*0.475*44/12</f>
        <v>7.8055144738642143E-18</v>
      </c>
      <c r="BS156" s="24">
        <f t="shared" si="169"/>
        <v>8.5886488069017483E-2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446.15737983598251</v>
      </c>
      <c r="CE156" s="62">
        <f t="shared" si="148"/>
        <v>282.2299715529382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4.4337866711430253E-14</v>
      </c>
      <c r="CV156" s="14">
        <f t="shared" si="173"/>
        <v>7.3222115536967035E-13</v>
      </c>
      <c r="CW156" s="22">
        <f t="shared" si="174"/>
        <v>1.3525069634579169E-12</v>
      </c>
      <c r="CX156" s="62">
        <f t="shared" si="122"/>
        <v>292.0101888861297</v>
      </c>
      <c r="CY156" s="62">
        <f ca="1">AVERAGE(OFFSET($CX$3,0,0,'Données projet'!$E$13+1,1))-AVERAGE(OFFSET($H$3,0,0,'Données projet'!$E$13+1,1))</f>
        <v>293.03320024876842</v>
      </c>
      <c r="CZ156" s="62">
        <f t="shared" si="150"/>
        <v>287.49994652707915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1.2572487994278299E-18</v>
      </c>
      <c r="DI156" s="24">
        <f t="shared" si="175"/>
        <v>1.2572487994278299E-18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-1.7053025658242404E-13</v>
      </c>
      <c r="DP156" s="18">
        <f>DO156*VLOOKUP('Données projet'!$B$14,Paramètres!$A$1:$I$89,3,0)*VLOOKUP('Données projet'!$B$14,Paramètres!$A$1:$I$89,5,0)</f>
        <v>-9.3109520094003535E-14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253.0312006976271</v>
      </c>
      <c r="DU156" s="62">
        <f t="shared" si="152"/>
        <v>365.93937083714866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0.5845896320749906</v>
      </c>
      <c r="EB156" s="23">
        <f>EXP(-LN(2)/25)*EB155+(1-EXP(-LN(2)/25))/(LN(2)/25)*Calculateur!DW156*Calculateur!DY156*VLOOKUP('Données projet'!$B$14,Paramètres!$A$1:$I$89,3,0)*0.475*44/12</f>
        <v>0.31720872467739675</v>
      </c>
      <c r="EC156" s="23">
        <f>EXP(-LN(2)/2)*EC155+(1-EXP(-LN(2)/2))/(LN(2)/2)*DW156*DZ156*VLOOKUP('Données projet'!$B$14,Paramètres!$A$1:$I$89,3,0)*0.475*44/12</f>
        <v>5.3623437182032982E-18</v>
      </c>
      <c r="ED156" s="24">
        <f t="shared" si="178"/>
        <v>0.90179835675238729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1.05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3.85</v>
      </c>
      <c r="H157" s="70">
        <f t="shared" si="110"/>
        <v>241.26666666666665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292.03314248418138</v>
      </c>
      <c r="S157" s="62">
        <f ca="1">AVERAGE(OFFSET($R$3,0,0,'Données projet'!$E$9+1,1))-AVERAGE(OFFSET($H$3,0,0,'Données projet'!$E$9+1,1))</f>
        <v>393.3487617557011</v>
      </c>
      <c r="T157" s="62">
        <f t="shared" si="142"/>
        <v>360.09400083977084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0.45481606982210299</v>
      </c>
      <c r="AA157" s="23">
        <f>EXP(-LN(2)/25)*AA156+(1-EXP(-LN(2)/25))/(LN(2)/25)*Calculateur!V157*Calculateur!X157*VLOOKUP('Données projet'!$B$9,Paramètres!$A$1:$I$89,3,0)*0.475*44/12</f>
        <v>0.29832269099376613</v>
      </c>
      <c r="AB157" s="23">
        <f>EXP(-LN(2)/2)*AB156+(1-EXP(-LN(2)/2))/(LN(2)/2)*V157*Y157*VLOOKUP('Données projet'!$B$9,Paramètres!$A$1:$I$89,3,0)*0.475*44/12</f>
        <v>3.0970410991233986E-18</v>
      </c>
      <c r="AC157" s="24">
        <f t="shared" si="163"/>
        <v>0.75313876081586906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-1.6671037883497774E-13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283.28499080043167</v>
      </c>
      <c r="AO157" s="62">
        <f t="shared" si="144"/>
        <v>278.56966286485783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0.16746335160568965</v>
      </c>
      <c r="AV157" s="23">
        <f>EXP(-LN(2)/25)*AV156+(1-EXP(-LN(2)/25))/(LN(2)/25)*Calculateur!AQ157*Calculateur!AS157*VLOOKUP('Données projet'!$B$10,Paramètres!$A$1:$I$89,3,0)*0.475*44/12</f>
        <v>0.27995959863133724</v>
      </c>
      <c r="AW157" s="23">
        <f>EXP(-LN(2)/2)*AW156+(1-EXP(-LN(2)/2))/(LN(2)/2)*AQ157*AT157*VLOOKUP('Données projet'!$B$10,Paramètres!$A$1:$I$89,3,0)*0.475*44/12</f>
        <v>2.812338838206533E-18</v>
      </c>
      <c r="AX157" s="23">
        <f t="shared" si="166"/>
        <v>0.44742295023702688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-1.8089849618263545E-13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303.91914071195419</v>
      </c>
      <c r="BJ157" s="62">
        <f t="shared" si="146"/>
        <v>298.30050362688769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8.3537917536196077E-2</v>
      </c>
      <c r="BR157" s="23">
        <f>EXP(-LN(2)/2)*BR156+(1-EXP(-LN(2)/2))/(LN(2)/2)*BL157*BO157*VLOOKUP('Données projet'!$B$11,Paramètres!$A$1:$I$89,3,0)*0.475*44/12</f>
        <v>5.5193322151191327E-18</v>
      </c>
      <c r="BS157" s="24">
        <f t="shared" si="169"/>
        <v>8.3537917536196077E-2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446.15737983598251</v>
      </c>
      <c r="CE157" s="62">
        <f t="shared" si="148"/>
        <v>282.2299715529382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4.4337866711430253E-14</v>
      </c>
      <c r="CV157" s="14">
        <f t="shared" si="173"/>
        <v>7.3222115536967035E-13</v>
      </c>
      <c r="CW157" s="22">
        <f t="shared" si="174"/>
        <v>1.3525069634579169E-12</v>
      </c>
      <c r="CX157" s="62">
        <f t="shared" si="122"/>
        <v>292.03314248418087</v>
      </c>
      <c r="CY157" s="62">
        <f ca="1">AVERAGE(OFFSET($CX$3,0,0,'Données projet'!$E$13+1,1))-AVERAGE(OFFSET($H$3,0,0,'Données projet'!$E$13+1,1))</f>
        <v>293.03320024876842</v>
      </c>
      <c r="CZ157" s="62">
        <f t="shared" si="150"/>
        <v>287.49994652707915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8.890091517140641E-19</v>
      </c>
      <c r="DI157" s="24">
        <f t="shared" si="175"/>
        <v>8.890091517140641E-19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-1.7053025658242404E-13</v>
      </c>
      <c r="DP157" s="18">
        <f>DO157*VLOOKUP('Données projet'!$B$14,Paramètres!$A$1:$I$89,3,0)*VLOOKUP('Données projet'!$B$14,Paramètres!$A$1:$I$89,5,0)</f>
        <v>-9.3109520094003535E-14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253.0312006976271</v>
      </c>
      <c r="DU157" s="62">
        <f t="shared" si="152"/>
        <v>365.93937083714866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0.57312618595446774</v>
      </c>
      <c r="EB157" s="23">
        <f>EXP(-LN(2)/25)*EB156+(1-EXP(-LN(2)/25))/(LN(2)/25)*Calculateur!DW157*Calculateur!DY157*VLOOKUP('Données projet'!$B$14,Paramètres!$A$1:$I$89,3,0)*0.475*44/12</f>
        <v>0.30853463541981152</v>
      </c>
      <c r="EC157" s="23">
        <f>EXP(-LN(2)/2)*EC156+(1-EXP(-LN(2)/2))/(LN(2)/2)*DW157*DZ157*VLOOKUP('Données projet'!$B$14,Paramètres!$A$1:$I$89,3,0)*0.475*44/12</f>
        <v>3.7917496061946371E-18</v>
      </c>
      <c r="ED157" s="24">
        <f t="shared" si="178"/>
        <v>0.88166082137427926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1.05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3.85</v>
      </c>
      <c r="H158" s="70">
        <f t="shared" si="110"/>
        <v>241.26666666666665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292.05569788862294</v>
      </c>
      <c r="S158" s="62">
        <f ca="1">AVERAGE(OFFSET($R$3,0,0,'Données projet'!$E$9+1,1))-AVERAGE(OFFSET($H$3,0,0,'Données projet'!$E$9+1,1))</f>
        <v>393.3487617557011</v>
      </c>
      <c r="T158" s="62">
        <f t="shared" si="142"/>
        <v>360.09400083977084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0.44589740410330214</v>
      </c>
      <c r="AA158" s="23">
        <f>EXP(-LN(2)/25)*AA157+(1-EXP(-LN(2)/25))/(LN(2)/25)*Calculateur!V158*Calculateur!X158*VLOOKUP('Données projet'!$B$9,Paramètres!$A$1:$I$89,3,0)*0.475*44/12</f>
        <v>0.29016504132043308</v>
      </c>
      <c r="AB158" s="23">
        <f>EXP(-LN(2)/2)*AB157+(1-EXP(-LN(2)/2))/(LN(2)/2)*V158*Y158*VLOOKUP('Données projet'!$B$9,Paramètres!$A$1:$I$89,3,0)*0.475*44/12</f>
        <v>2.1899387628035936E-18</v>
      </c>
      <c r="AC158" s="24">
        <f t="shared" si="163"/>
        <v>0.73606244542373522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-1.6671037883497774E-13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283.28499080043167</v>
      </c>
      <c r="AO158" s="62">
        <f t="shared" si="144"/>
        <v>278.56966286485783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0.16417949742326082</v>
      </c>
      <c r="AV158" s="23">
        <f>EXP(-LN(2)/25)*AV157+(1-EXP(-LN(2)/25))/(LN(2)/25)*Calculateur!AQ158*Calculateur!AS158*VLOOKUP('Données projet'!$B$10,Paramètres!$A$1:$I$89,3,0)*0.475*44/12</f>
        <v>0.27230408868432787</v>
      </c>
      <c r="AW158" s="23">
        <f>EXP(-LN(2)/2)*AW157+(1-EXP(-LN(2)/2))/(LN(2)/2)*AQ158*AT158*VLOOKUP('Données projet'!$B$10,Paramètres!$A$1:$I$89,3,0)*0.475*44/12</f>
        <v>1.9886238634901362E-18</v>
      </c>
      <c r="AX158" s="23">
        <f t="shared" si="166"/>
        <v>0.43648358610758869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-1.8089849618263545E-13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303.91914071195419</v>
      </c>
      <c r="BJ158" s="62">
        <f t="shared" si="146"/>
        <v>298.30050362688769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8.1253568788100639E-2</v>
      </c>
      <c r="BR158" s="23">
        <f>EXP(-LN(2)/2)*BR157+(1-EXP(-LN(2)/2))/(LN(2)/2)*BL158*BO158*VLOOKUP('Données projet'!$B$11,Paramètres!$A$1:$I$89,3,0)*0.475*44/12</f>
        <v>3.9027572369321072E-18</v>
      </c>
      <c r="BS158" s="24">
        <f t="shared" si="169"/>
        <v>8.1253568788100639E-2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446.15737983598251</v>
      </c>
      <c r="CE158" s="62">
        <f t="shared" si="148"/>
        <v>282.2299715529382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4.4337866711430253E-14</v>
      </c>
      <c r="CV158" s="14">
        <f t="shared" si="173"/>
        <v>7.3222115536967035E-13</v>
      </c>
      <c r="CW158" s="22">
        <f t="shared" si="174"/>
        <v>1.3525069634579169E-12</v>
      </c>
      <c r="CX158" s="62">
        <f t="shared" si="122"/>
        <v>292.05569788862243</v>
      </c>
      <c r="CY158" s="62">
        <f ca="1">AVERAGE(OFFSET($CX$3,0,0,'Données projet'!$E$13+1,1))-AVERAGE(OFFSET($H$3,0,0,'Données projet'!$E$13+1,1))</f>
        <v>293.03320024876842</v>
      </c>
      <c r="CZ158" s="62">
        <f t="shared" si="150"/>
        <v>287.49994652707915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6.2862439971391497E-19</v>
      </c>
      <c r="DI158" s="24">
        <f t="shared" si="175"/>
        <v>6.2862439971391497E-19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-1.7053025658242404E-13</v>
      </c>
      <c r="DP158" s="18">
        <f>DO158*VLOOKUP('Données projet'!$B$14,Paramètres!$A$1:$I$89,3,0)*VLOOKUP('Données projet'!$B$14,Paramètres!$A$1:$I$89,5,0)</f>
        <v>-9.3109520094003535E-14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253.0312006976271</v>
      </c>
      <c r="DU158" s="62">
        <f t="shared" si="152"/>
        <v>365.93937083714866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0.5618875310203566</v>
      </c>
      <c r="EB158" s="23">
        <f>EXP(-LN(2)/25)*EB157+(1-EXP(-LN(2)/25))/(LN(2)/25)*Calculateur!DW158*Calculateur!DY158*VLOOKUP('Données projet'!$B$14,Paramètres!$A$1:$I$89,3,0)*0.475*44/12</f>
        <v>0.30009773958912545</v>
      </c>
      <c r="EC158" s="23">
        <f>EXP(-LN(2)/2)*EC157+(1-EXP(-LN(2)/2))/(LN(2)/2)*DW158*DZ158*VLOOKUP('Données projet'!$B$14,Paramètres!$A$1:$I$89,3,0)*0.475*44/12</f>
        <v>2.6811718591016491E-18</v>
      </c>
      <c r="ED158" s="24">
        <f t="shared" si="178"/>
        <v>0.86198527060948205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1.05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3.85</v>
      </c>
      <c r="H159" s="70">
        <f t="shared" si="110"/>
        <v>241.26666666666665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292.07786200722376</v>
      </c>
      <c r="S159" s="62">
        <f ca="1">AVERAGE(OFFSET($R$3,0,0,'Données projet'!$E$9+1,1))-AVERAGE(OFFSET($H$3,0,0,'Données projet'!$E$9+1,1))</f>
        <v>393.3487617557011</v>
      </c>
      <c r="T159" s="62">
        <f t="shared" si="142"/>
        <v>360.09400083977084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0.43715362797939805</v>
      </c>
      <c r="AA159" s="23">
        <f>EXP(-LN(2)/25)*AA158+(1-EXP(-LN(2)/25))/(LN(2)/25)*Calculateur!V159*Calculateur!X159*VLOOKUP('Données projet'!$B$9,Paramètres!$A$1:$I$89,3,0)*0.475*44/12</f>
        <v>0.28223046300640947</v>
      </c>
      <c r="AB159" s="23">
        <f>EXP(-LN(2)/2)*AB158+(1-EXP(-LN(2)/2))/(LN(2)/2)*V159*Y159*VLOOKUP('Données projet'!$B$9,Paramètres!$A$1:$I$89,3,0)*0.475*44/12</f>
        <v>1.5485205495616993E-18</v>
      </c>
      <c r="AC159" s="24">
        <f t="shared" si="163"/>
        <v>0.71938409098580758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-1.6671037883497774E-13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283.28499080043167</v>
      </c>
      <c r="AO159" s="62">
        <f t="shared" si="144"/>
        <v>278.56966286485783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0.16096003761839614</v>
      </c>
      <c r="AV159" s="23">
        <f>EXP(-LN(2)/25)*AV158+(1-EXP(-LN(2)/25))/(LN(2)/25)*Calculateur!AQ159*Calculateur!AS159*VLOOKUP('Données projet'!$B$10,Paramètres!$A$1:$I$89,3,0)*0.475*44/12</f>
        <v>0.26485791905940526</v>
      </c>
      <c r="AW159" s="23">
        <f>EXP(-LN(2)/2)*AW158+(1-EXP(-LN(2)/2))/(LN(2)/2)*AQ159*AT159*VLOOKUP('Données projet'!$B$10,Paramètres!$A$1:$I$89,3,0)*0.475*44/12</f>
        <v>1.4061694191032665E-18</v>
      </c>
      <c r="AX159" s="23">
        <f t="shared" si="166"/>
        <v>0.42581795667780142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-1.8089849618263545E-13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303.91914071195419</v>
      </c>
      <c r="BJ159" s="62">
        <f t="shared" si="146"/>
        <v>298.30050362688769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7.9031685676650545E-2</v>
      </c>
      <c r="BR159" s="23">
        <f>EXP(-LN(2)/2)*BR158+(1-EXP(-LN(2)/2))/(LN(2)/2)*BL159*BO159*VLOOKUP('Données projet'!$B$11,Paramètres!$A$1:$I$89,3,0)*0.475*44/12</f>
        <v>2.7596661075595663E-18</v>
      </c>
      <c r="BS159" s="24">
        <f t="shared" si="169"/>
        <v>7.9031685676650545E-2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446.15737983598251</v>
      </c>
      <c r="CE159" s="62">
        <f t="shared" si="148"/>
        <v>282.2299715529382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4.4337866711430253E-14</v>
      </c>
      <c r="CV159" s="14">
        <f t="shared" si="173"/>
        <v>7.3222115536967035E-13</v>
      </c>
      <c r="CW159" s="22">
        <f t="shared" si="174"/>
        <v>1.3525069634579169E-12</v>
      </c>
      <c r="CX159" s="62">
        <f t="shared" si="122"/>
        <v>292.07786200722325</v>
      </c>
      <c r="CY159" s="62">
        <f ca="1">AVERAGE(OFFSET($CX$3,0,0,'Données projet'!$E$13+1,1))-AVERAGE(OFFSET($H$3,0,0,'Données projet'!$E$13+1,1))</f>
        <v>293.03320024876842</v>
      </c>
      <c r="CZ159" s="62">
        <f t="shared" si="150"/>
        <v>287.49994652707915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4.4450457585703205E-19</v>
      </c>
      <c r="DI159" s="24">
        <f t="shared" si="175"/>
        <v>4.4450457585703205E-19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-1.7053025658242404E-13</v>
      </c>
      <c r="DP159" s="18">
        <f>DO159*VLOOKUP('Données projet'!$B$14,Paramètres!$A$1:$I$89,3,0)*VLOOKUP('Données projet'!$B$14,Paramètres!$A$1:$I$89,5,0)</f>
        <v>-9.3109520094003535E-14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253.0312006976271</v>
      </c>
      <c r="DU159" s="62">
        <f t="shared" si="152"/>
        <v>365.93937083714866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0.55086925925460073</v>
      </c>
      <c r="EB159" s="23">
        <f>EXP(-LN(2)/25)*EB158+(1-EXP(-LN(2)/25))/(LN(2)/25)*Calculateur!DW159*Calculateur!DY159*VLOOKUP('Données projet'!$B$14,Paramètres!$A$1:$I$89,3,0)*0.475*44/12</f>
        <v>0.29189155111860654</v>
      </c>
      <c r="EC159" s="23">
        <f>EXP(-LN(2)/2)*EC158+(1-EXP(-LN(2)/2))/(LN(2)/2)*DW159*DZ159*VLOOKUP('Données projet'!$B$14,Paramètres!$A$1:$I$89,3,0)*0.475*44/12</f>
        <v>1.8958748030973185E-18</v>
      </c>
      <c r="ED159" s="24">
        <f t="shared" si="178"/>
        <v>0.84276081037320727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1.05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3.85</v>
      </c>
      <c r="H160" s="70">
        <f t="shared" si="110"/>
        <v>241.26666666666665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292.0996416279184</v>
      </c>
      <c r="S160" s="62">
        <f ca="1">AVERAGE(OFFSET($R$3,0,0,'Données projet'!$E$9+1,1))-AVERAGE(OFFSET($H$3,0,0,'Données projet'!$E$9+1,1))</f>
        <v>393.3487617557011</v>
      </c>
      <c r="T160" s="62">
        <f t="shared" si="142"/>
        <v>360.09400083977084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0.42858131197210686</v>
      </c>
      <c r="AA160" s="23">
        <f>EXP(-LN(2)/25)*AA159+(1-EXP(-LN(2)/25))/(LN(2)/25)*Calculateur!V160*Calculateur!X160*VLOOKUP('Données projet'!$B$9,Paramètres!$A$1:$I$89,3,0)*0.475*44/12</f>
        <v>0.27451285615364418</v>
      </c>
      <c r="AB160" s="23">
        <f>EXP(-LN(2)/2)*AB159+(1-EXP(-LN(2)/2))/(LN(2)/2)*V160*Y160*VLOOKUP('Données projet'!$B$9,Paramètres!$A$1:$I$89,3,0)*0.475*44/12</f>
        <v>1.0949693814017968E-18</v>
      </c>
      <c r="AC160" s="24">
        <f t="shared" si="163"/>
        <v>0.70309416812575098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-1.6671037883497774E-13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283.28499080043167</v>
      </c>
      <c r="AO160" s="62">
        <f t="shared" si="144"/>
        <v>278.56966286485783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0.15780370945662828</v>
      </c>
      <c r="AV160" s="23">
        <f>EXP(-LN(2)/25)*AV159+(1-EXP(-LN(2)/25))/(LN(2)/25)*Calculateur!AQ160*Calculateur!AS160*VLOOKUP('Données projet'!$B$10,Paramètres!$A$1:$I$89,3,0)*0.475*44/12</f>
        <v>0.25761536533445317</v>
      </c>
      <c r="AW160" s="23">
        <f>EXP(-LN(2)/2)*AW159+(1-EXP(-LN(2)/2))/(LN(2)/2)*AQ160*AT160*VLOOKUP('Données projet'!$B$10,Paramètres!$A$1:$I$89,3,0)*0.475*44/12</f>
        <v>9.9431193174506809E-19</v>
      </c>
      <c r="AX160" s="23">
        <f t="shared" si="166"/>
        <v>0.41541907479108142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-1.8089849618263545E-13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303.91914071195419</v>
      </c>
      <c r="BJ160" s="62">
        <f t="shared" si="146"/>
        <v>298.30050362688769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7.6870560075726818E-2</v>
      </c>
      <c r="BR160" s="23">
        <f>EXP(-LN(2)/2)*BR159+(1-EXP(-LN(2)/2))/(LN(2)/2)*BL160*BO160*VLOOKUP('Données projet'!$B$11,Paramètres!$A$1:$I$89,3,0)*0.475*44/12</f>
        <v>1.9513786184660536E-18</v>
      </c>
      <c r="BS160" s="24">
        <f t="shared" si="169"/>
        <v>7.6870560075726818E-2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446.15737983598251</v>
      </c>
      <c r="CE160" s="62">
        <f t="shared" si="148"/>
        <v>282.2299715529382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4.4337866711430253E-14</v>
      </c>
      <c r="CV160" s="14">
        <f t="shared" si="173"/>
        <v>7.3222115536967035E-13</v>
      </c>
      <c r="CW160" s="22">
        <f t="shared" si="174"/>
        <v>1.3525069634579169E-12</v>
      </c>
      <c r="CX160" s="62">
        <f t="shared" si="122"/>
        <v>292.09964162791789</v>
      </c>
      <c r="CY160" s="62">
        <f ca="1">AVERAGE(OFFSET($CX$3,0,0,'Données projet'!$E$13+1,1))-AVERAGE(OFFSET($H$3,0,0,'Données projet'!$E$13+1,1))</f>
        <v>293.03320024876842</v>
      </c>
      <c r="CZ160" s="62">
        <f t="shared" si="150"/>
        <v>287.49994652707915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3.1431219985695749E-19</v>
      </c>
      <c r="DI160" s="24">
        <f t="shared" si="175"/>
        <v>3.1431219985695749E-19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-1.7053025658242404E-13</v>
      </c>
      <c r="DP160" s="18">
        <f>DO160*VLOOKUP('Données projet'!$B$14,Paramètres!$A$1:$I$89,3,0)*VLOOKUP('Données projet'!$B$14,Paramètres!$A$1:$I$89,5,0)</f>
        <v>-9.3109520094003535E-14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253.0312006976271</v>
      </c>
      <c r="DU160" s="62">
        <f t="shared" si="152"/>
        <v>365.93937083714866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0.54006704907768921</v>
      </c>
      <c r="EB160" s="23">
        <f>EXP(-LN(2)/25)*EB159+(1-EXP(-LN(2)/25))/(LN(2)/25)*Calculateur!DW160*Calculateur!DY160*VLOOKUP('Données projet'!$B$14,Paramètres!$A$1:$I$89,3,0)*0.475*44/12</f>
        <v>0.28390976130335871</v>
      </c>
      <c r="EC160" s="23">
        <f>EXP(-LN(2)/2)*EC159+(1-EXP(-LN(2)/2))/(LN(2)/2)*DW160*DZ160*VLOOKUP('Données projet'!$B$14,Paramètres!$A$1:$I$89,3,0)*0.475*44/12</f>
        <v>1.3405859295508245E-18</v>
      </c>
      <c r="ED160" s="24">
        <f t="shared" si="178"/>
        <v>0.82397681038104786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1.05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3.85</v>
      </c>
      <c r="H161" s="70">
        <f t="shared" si="110"/>
        <v>241.26666666666665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292.12104342088594</v>
      </c>
      <c r="S161" s="62">
        <f ca="1">AVERAGE(OFFSET($R$3,0,0,'Données projet'!$E$9+1,1))-AVERAGE(OFFSET($H$3,0,0,'Données projet'!$E$9+1,1))</f>
        <v>393.3487617557011</v>
      </c>
      <c r="T161" s="62">
        <f t="shared" si="142"/>
        <v>360.09400083977084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0.42017709385312219</v>
      </c>
      <c r="AA161" s="23">
        <f>EXP(-LN(2)/25)*AA160+(1-EXP(-LN(2)/25))/(LN(2)/25)*Calculateur!V161*Calculateur!X161*VLOOKUP('Données projet'!$B$9,Paramètres!$A$1:$I$89,3,0)*0.475*44/12</f>
        <v>0.26700628766611906</v>
      </c>
      <c r="AB161" s="23">
        <f>EXP(-LN(2)/2)*AB160+(1-EXP(-LN(2)/2))/(LN(2)/2)*V161*Y161*VLOOKUP('Données projet'!$B$9,Paramètres!$A$1:$I$89,3,0)*0.475*44/12</f>
        <v>7.7426027478084964E-19</v>
      </c>
      <c r="AC161" s="24">
        <f t="shared" si="163"/>
        <v>0.68718338151924119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-1.6671037883497774E-13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283.28499080043167</v>
      </c>
      <c r="AO161" s="62">
        <f t="shared" si="144"/>
        <v>278.56966286485783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0.15470927496494261</v>
      </c>
      <c r="AV161" s="23">
        <f>EXP(-LN(2)/25)*AV160+(1-EXP(-LN(2)/25))/(LN(2)/25)*Calculateur!AQ161*Calculateur!AS161*VLOOKUP('Données projet'!$B$10,Paramètres!$A$1:$I$89,3,0)*0.475*44/12</f>
        <v>0.25057085962197928</v>
      </c>
      <c r="AW161" s="23">
        <f>EXP(-LN(2)/2)*AW160+(1-EXP(-LN(2)/2))/(LN(2)/2)*AQ161*AT161*VLOOKUP('Données projet'!$B$10,Paramètres!$A$1:$I$89,3,0)*0.475*44/12</f>
        <v>7.0308470955163324E-19</v>
      </c>
      <c r="AX161" s="23">
        <f t="shared" si="166"/>
        <v>0.40528013458692191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-1.8089849618263545E-13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303.91914071195419</v>
      </c>
      <c r="BJ161" s="62">
        <f t="shared" si="146"/>
        <v>298.30050362688769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7.4768530568009001E-2</v>
      </c>
      <c r="BR161" s="23">
        <f>EXP(-LN(2)/2)*BR160+(1-EXP(-LN(2)/2))/(LN(2)/2)*BL161*BO161*VLOOKUP('Données projet'!$B$11,Paramètres!$A$1:$I$89,3,0)*0.475*44/12</f>
        <v>1.3798330537797832E-18</v>
      </c>
      <c r="BS161" s="24">
        <f t="shared" si="169"/>
        <v>7.4768530568009001E-2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446.15737983598251</v>
      </c>
      <c r="CE161" s="62">
        <f t="shared" si="148"/>
        <v>282.2299715529382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4.4337866711430253E-14</v>
      </c>
      <c r="CV161" s="14">
        <f t="shared" si="173"/>
        <v>7.3222115536967035E-13</v>
      </c>
      <c r="CW161" s="22">
        <f t="shared" si="174"/>
        <v>1.3525069634579169E-12</v>
      </c>
      <c r="CX161" s="62">
        <f t="shared" si="122"/>
        <v>292.12104342088543</v>
      </c>
      <c r="CY161" s="62">
        <f ca="1">AVERAGE(OFFSET($CX$3,0,0,'Données projet'!$E$13+1,1))-AVERAGE(OFFSET($H$3,0,0,'Données projet'!$E$13+1,1))</f>
        <v>293.03320024876842</v>
      </c>
      <c r="CZ161" s="62">
        <f t="shared" si="150"/>
        <v>287.49994652707915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2.2225228792851603E-19</v>
      </c>
      <c r="DI161" s="24">
        <f t="shared" si="175"/>
        <v>2.2225228792851603E-19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-1.7053025658242404E-13</v>
      </c>
      <c r="DP161" s="18">
        <f>DO161*VLOOKUP('Données projet'!$B$14,Paramètres!$A$1:$I$89,3,0)*VLOOKUP('Données projet'!$B$14,Paramètres!$A$1:$I$89,5,0)</f>
        <v>-9.3109520094003535E-14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253.0312006976271</v>
      </c>
      <c r="DU161" s="62">
        <f t="shared" si="152"/>
        <v>365.93937083714866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0.52947666365364932</v>
      </c>
      <c r="EB161" s="23">
        <f>EXP(-LN(2)/25)*EB160+(1-EXP(-LN(2)/25))/(LN(2)/25)*Calculateur!DW161*Calculateur!DY161*VLOOKUP('Données projet'!$B$14,Paramètres!$A$1:$I$89,3,0)*0.475*44/12</f>
        <v>0.27614623395035293</v>
      </c>
      <c r="EC161" s="23">
        <f>EXP(-LN(2)/2)*EC160+(1-EXP(-LN(2)/2))/(LN(2)/2)*DW161*DZ161*VLOOKUP('Données projet'!$B$14,Paramètres!$A$1:$I$89,3,0)*0.475*44/12</f>
        <v>9.4793740154865927E-19</v>
      </c>
      <c r="ED161" s="24">
        <f t="shared" si="178"/>
        <v>0.8056228976040023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1.05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3.85</v>
      </c>
      <c r="H162" s="70">
        <f t="shared" si="110"/>
        <v>241.26666666666665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292.1420739405927</v>
      </c>
      <c r="S162" s="62">
        <f ca="1">AVERAGE(OFFSET($R$3,0,0,'Données projet'!$E$9+1,1))-AVERAGE(OFFSET($H$3,0,0,'Données projet'!$E$9+1,1))</f>
        <v>393.3487617557011</v>
      </c>
      <c r="T162" s="62">
        <f t="shared" si="142"/>
        <v>360.09400083977084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0.41193767732538389</v>
      </c>
      <c r="AA162" s="23">
        <f>EXP(-LN(2)/25)*AA161+(1-EXP(-LN(2)/25))/(LN(2)/25)*Calculateur!V162*Calculateur!X162*VLOOKUP('Données projet'!$B$9,Paramètres!$A$1:$I$89,3,0)*0.475*44/12</f>
        <v>0.25970498668863862</v>
      </c>
      <c r="AB162" s="23">
        <f>EXP(-LN(2)/2)*AB161+(1-EXP(-LN(2)/2))/(LN(2)/2)*V162*Y162*VLOOKUP('Données projet'!$B$9,Paramètres!$A$1:$I$89,3,0)*0.475*44/12</f>
        <v>5.474846907008984E-19</v>
      </c>
      <c r="AC162" s="24">
        <f t="shared" si="163"/>
        <v>0.67164266401402251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-1.6671037883497774E-13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283.28499080043167</v>
      </c>
      <c r="AO162" s="62">
        <f t="shared" si="144"/>
        <v>278.56966286485783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0.15167552044622021</v>
      </c>
      <c r="AV162" s="23">
        <f>EXP(-LN(2)/25)*AV161+(1-EXP(-LN(2)/25))/(LN(2)/25)*Calculateur!AQ162*Calculateur!AS162*VLOOKUP('Données projet'!$B$10,Paramètres!$A$1:$I$89,3,0)*0.475*44/12</f>
        <v>0.24371898628866745</v>
      </c>
      <c r="AW162" s="23">
        <f>EXP(-LN(2)/2)*AW161+(1-EXP(-LN(2)/2))/(LN(2)/2)*AQ162*AT162*VLOOKUP('Données projet'!$B$10,Paramètres!$A$1:$I$89,3,0)*0.475*44/12</f>
        <v>4.9715596587253405E-19</v>
      </c>
      <c r="AX162" s="23">
        <f t="shared" si="166"/>
        <v>0.39539450673488763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-1.8089849618263545E-13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303.91914071195419</v>
      </c>
      <c r="BJ162" s="62">
        <f t="shared" si="146"/>
        <v>298.30050362688769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7.2723981167720664E-2</v>
      </c>
      <c r="BR162" s="23">
        <f>EXP(-LN(2)/2)*BR161+(1-EXP(-LN(2)/2))/(LN(2)/2)*BL162*BO162*VLOOKUP('Données projet'!$B$11,Paramètres!$A$1:$I$89,3,0)*0.475*44/12</f>
        <v>9.7568930923302679E-19</v>
      </c>
      <c r="BS162" s="24">
        <f t="shared" si="169"/>
        <v>7.2723981167720664E-2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446.15737983598251</v>
      </c>
      <c r="CE162" s="62">
        <f t="shared" si="148"/>
        <v>282.2299715529382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4.4337866711430253E-14</v>
      </c>
      <c r="CV162" s="14">
        <f t="shared" si="173"/>
        <v>7.3222115536967035E-13</v>
      </c>
      <c r="CW162" s="22">
        <f t="shared" si="174"/>
        <v>1.3525069634579169E-12</v>
      </c>
      <c r="CX162" s="62">
        <f t="shared" si="122"/>
        <v>292.14207394059218</v>
      </c>
      <c r="CY162" s="62">
        <f ca="1">AVERAGE(OFFSET($CX$3,0,0,'Données projet'!$E$13+1,1))-AVERAGE(OFFSET($H$3,0,0,'Données projet'!$E$13+1,1))</f>
        <v>293.03320024876842</v>
      </c>
      <c r="CZ162" s="62">
        <f t="shared" si="150"/>
        <v>287.49994652707915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1.5715609992847874E-19</v>
      </c>
      <c r="DI162" s="24">
        <f t="shared" si="175"/>
        <v>1.5715609992847874E-19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-1.7053025658242404E-13</v>
      </c>
      <c r="DP162" s="18">
        <f>DO162*VLOOKUP('Données projet'!$B$14,Paramètres!$A$1:$I$89,3,0)*VLOOKUP('Données projet'!$B$14,Paramètres!$A$1:$I$89,5,0)</f>
        <v>-9.3109520094003535E-14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253.0312006976271</v>
      </c>
      <c r="DU162" s="62">
        <f t="shared" si="152"/>
        <v>365.93937083714866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0.51909394922827756</v>
      </c>
      <c r="EB162" s="23">
        <f>EXP(-LN(2)/25)*EB161+(1-EXP(-LN(2)/25))/(LN(2)/25)*Calculateur!DW162*Calculateur!DY162*VLOOKUP('Données projet'!$B$14,Paramètres!$A$1:$I$89,3,0)*0.475*44/12</f>
        <v>0.26859500066108122</v>
      </c>
      <c r="EC162" s="23">
        <f>EXP(-LN(2)/2)*EC161+(1-EXP(-LN(2)/2))/(LN(2)/2)*DW162*DZ162*VLOOKUP('Données projet'!$B$14,Paramètres!$A$1:$I$89,3,0)*0.475*44/12</f>
        <v>6.7029296477541227E-19</v>
      </c>
      <c r="ED162" s="24">
        <f t="shared" si="178"/>
        <v>0.78768894988935878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1.05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3.85</v>
      </c>
      <c r="H163" s="70">
        <f t="shared" si="110"/>
        <v>241.26666666666665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292.16273962779974</v>
      </c>
      <c r="S163" s="62">
        <f ca="1">AVERAGE(OFFSET($R$3,0,0,'Données projet'!$E$9+1,1))-AVERAGE(OFFSET($H$3,0,0,'Données projet'!$E$9+1,1))</f>
        <v>393.3487617557011</v>
      </c>
      <c r="T163" s="62">
        <f t="shared" si="142"/>
        <v>360.09400083977084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0.4038598307302067</v>
      </c>
      <c r="AA163" s="23">
        <f>EXP(-LN(2)/25)*AA162+(1-EXP(-LN(2)/25))/(LN(2)/25)*Calculateur!V163*Calculateur!X163*VLOOKUP('Données projet'!$B$9,Paramètres!$A$1:$I$89,3,0)*0.475*44/12</f>
        <v>0.25260334017034614</v>
      </c>
      <c r="AB163" s="23">
        <f>EXP(-LN(2)/2)*AB162+(1-EXP(-LN(2)/2))/(LN(2)/2)*V163*Y163*VLOOKUP('Données projet'!$B$9,Paramètres!$A$1:$I$89,3,0)*0.475*44/12</f>
        <v>3.8713013739042482E-19</v>
      </c>
      <c r="AC163" s="24">
        <f t="shared" si="163"/>
        <v>0.65646317090055284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-1.6671037883497774E-13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283.28499080043167</v>
      </c>
      <c r="AO163" s="62">
        <f t="shared" si="144"/>
        <v>278.56966286485783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0.14870125600320241</v>
      </c>
      <c r="AV163" s="23">
        <f>EXP(-LN(2)/25)*AV162+(1-EXP(-LN(2)/25))/(LN(2)/25)*Calculateur!AQ163*Calculateur!AS163*VLOOKUP('Données projet'!$B$10,Paramètres!$A$1:$I$89,3,0)*0.475*44/12</f>
        <v>0.23705447779197938</v>
      </c>
      <c r="AW163" s="23">
        <f>EXP(-LN(2)/2)*AW162+(1-EXP(-LN(2)/2))/(LN(2)/2)*AQ163*AT163*VLOOKUP('Données projet'!$B$10,Paramètres!$A$1:$I$89,3,0)*0.475*44/12</f>
        <v>3.5154235477581662E-19</v>
      </c>
      <c r="AX163" s="23">
        <f t="shared" si="166"/>
        <v>0.3857557337951818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-1.8089849618263545E-13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303.91914071195419</v>
      </c>
      <c r="BJ163" s="62">
        <f t="shared" si="146"/>
        <v>298.30050362688769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7.0735340078301387E-2</v>
      </c>
      <c r="BR163" s="23">
        <f>EXP(-LN(2)/2)*BR162+(1-EXP(-LN(2)/2))/(LN(2)/2)*BL163*BO163*VLOOKUP('Données projet'!$B$11,Paramètres!$A$1:$I$89,3,0)*0.475*44/12</f>
        <v>6.8991652688989158E-19</v>
      </c>
      <c r="BS163" s="24">
        <f t="shared" si="169"/>
        <v>7.0735340078301387E-2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446.15737983598251</v>
      </c>
      <c r="CE163" s="62">
        <f t="shared" si="148"/>
        <v>282.2299715529382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4.4337866711430253E-14</v>
      </c>
      <c r="CV163" s="14">
        <f t="shared" si="173"/>
        <v>7.3222115536967035E-13</v>
      </c>
      <c r="CW163" s="22">
        <f t="shared" si="174"/>
        <v>1.3525069634579169E-12</v>
      </c>
      <c r="CX163" s="62">
        <f t="shared" si="122"/>
        <v>292.16273962779923</v>
      </c>
      <c r="CY163" s="62">
        <f ca="1">AVERAGE(OFFSET($CX$3,0,0,'Données projet'!$E$13+1,1))-AVERAGE(OFFSET($H$3,0,0,'Données projet'!$E$13+1,1))</f>
        <v>293.03320024876842</v>
      </c>
      <c r="CZ163" s="62">
        <f t="shared" si="150"/>
        <v>287.49994652707915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1.1112614396425801E-19</v>
      </c>
      <c r="DI163" s="24">
        <f t="shared" si="175"/>
        <v>1.1112614396425801E-19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-1.7053025658242404E-13</v>
      </c>
      <c r="DP163" s="18">
        <f>DO163*VLOOKUP('Données projet'!$B$14,Paramètres!$A$1:$I$89,3,0)*VLOOKUP('Données projet'!$B$14,Paramètres!$A$1:$I$89,5,0)</f>
        <v>-9.3109520094003535E-14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253.0312006976271</v>
      </c>
      <c r="DU163" s="62">
        <f t="shared" si="152"/>
        <v>365.93937083714866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0.50891483349995681</v>
      </c>
      <c r="EB163" s="23">
        <f>EXP(-LN(2)/25)*EB162+(1-EXP(-LN(2)/25))/(LN(2)/25)*Calculateur!DW163*Calculateur!DY163*VLOOKUP('Données projet'!$B$14,Paramètres!$A$1:$I$89,3,0)*0.475*44/12</f>
        <v>0.26125025624320675</v>
      </c>
      <c r="EC163" s="23">
        <f>EXP(-LN(2)/2)*EC162+(1-EXP(-LN(2)/2))/(LN(2)/2)*DW163*DZ163*VLOOKUP('Données projet'!$B$14,Paramètres!$A$1:$I$89,3,0)*0.475*44/12</f>
        <v>4.7396870077432964E-19</v>
      </c>
      <c r="ED163" s="24">
        <f t="shared" si="178"/>
        <v>0.77016508974316356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1.05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3.85</v>
      </c>
      <c r="H164" s="70">
        <f t="shared" si="110"/>
        <v>241.26666666666665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292.18304681153535</v>
      </c>
      <c r="S164" s="62">
        <f ca="1">AVERAGE(OFFSET($R$3,0,0,'Données projet'!$E$9+1,1))-AVERAGE(OFFSET($H$3,0,0,'Données projet'!$E$9+1,1))</f>
        <v>393.3487617557011</v>
      </c>
      <c r="T164" s="62">
        <f t="shared" si="142"/>
        <v>360.09400083977084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0.39594038577976098</v>
      </c>
      <c r="AA164" s="23">
        <f>EXP(-LN(2)/25)*AA163+(1-EXP(-LN(2)/25))/(LN(2)/25)*Calculateur!V164*Calculateur!X164*VLOOKUP('Données projet'!$B$9,Paramètres!$A$1:$I$89,3,0)*0.475*44/12</f>
        <v>0.24569588854955568</v>
      </c>
      <c r="AB164" s="23">
        <f>EXP(-LN(2)/2)*AB163+(1-EXP(-LN(2)/2))/(LN(2)/2)*V164*Y164*VLOOKUP('Données projet'!$B$9,Paramètres!$A$1:$I$89,3,0)*0.475*44/12</f>
        <v>2.737423453504492E-19</v>
      </c>
      <c r="AC164" s="24">
        <f t="shared" si="163"/>
        <v>0.64163627432931669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-1.6671037883497774E-13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283.28499080043167</v>
      </c>
      <c r="AO164" s="62">
        <f t="shared" si="144"/>
        <v>278.56966286485783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0.14578531507179002</v>
      </c>
      <c r="AV164" s="23">
        <f>EXP(-LN(2)/25)*AV163+(1-EXP(-LN(2)/25))/(LN(2)/25)*Calculateur!AQ164*Calculateur!AS164*VLOOKUP('Données projet'!$B$10,Paramètres!$A$1:$I$89,3,0)*0.475*44/12</f>
        <v>0.23057221063060451</v>
      </c>
      <c r="AW164" s="23">
        <f>EXP(-LN(2)/2)*AW163+(1-EXP(-LN(2)/2))/(LN(2)/2)*AQ164*AT164*VLOOKUP('Données projet'!$B$10,Paramètres!$A$1:$I$89,3,0)*0.475*44/12</f>
        <v>2.4857798293626702E-19</v>
      </c>
      <c r="AX164" s="23">
        <f t="shared" si="166"/>
        <v>0.37635752570239456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-1.8089849618263545E-13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303.91914071195419</v>
      </c>
      <c r="BJ164" s="62">
        <f t="shared" si="146"/>
        <v>298.30050362688769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6.8801078484050371E-2</v>
      </c>
      <c r="BR164" s="23">
        <f>EXP(-LN(2)/2)*BR163+(1-EXP(-LN(2)/2))/(LN(2)/2)*BL164*BO164*VLOOKUP('Données projet'!$B$11,Paramètres!$A$1:$I$89,3,0)*0.475*44/12</f>
        <v>4.878446546165134E-19</v>
      </c>
      <c r="BS164" s="24">
        <f t="shared" si="169"/>
        <v>6.8801078484050371E-2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446.15737983598251</v>
      </c>
      <c r="CE164" s="62">
        <f t="shared" si="148"/>
        <v>282.2299715529382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4.4337866711430253E-14</v>
      </c>
      <c r="CV164" s="14">
        <f t="shared" si="173"/>
        <v>7.3222115536967035E-13</v>
      </c>
      <c r="CW164" s="22">
        <f t="shared" si="174"/>
        <v>1.3525069634579169E-12</v>
      </c>
      <c r="CX164" s="62">
        <f t="shared" si="122"/>
        <v>292.18304681153484</v>
      </c>
      <c r="CY164" s="62">
        <f ca="1">AVERAGE(OFFSET($CX$3,0,0,'Données projet'!$E$13+1,1))-AVERAGE(OFFSET($H$3,0,0,'Données projet'!$E$13+1,1))</f>
        <v>293.03320024876842</v>
      </c>
      <c r="CZ164" s="62">
        <f t="shared" si="150"/>
        <v>287.49994652707915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7.8578049964239371E-20</v>
      </c>
      <c r="DI164" s="24">
        <f t="shared" si="175"/>
        <v>7.8578049964239371E-20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-1.7053025658242404E-13</v>
      </c>
      <c r="DP164" s="18">
        <f>DO164*VLOOKUP('Données projet'!$B$14,Paramètres!$A$1:$I$89,3,0)*VLOOKUP('Données projet'!$B$14,Paramètres!$A$1:$I$89,5,0)</f>
        <v>-9.3109520094003535E-14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253.0312006976271</v>
      </c>
      <c r="DU164" s="62">
        <f t="shared" si="152"/>
        <v>365.93937083714866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0.49893532402242091</v>
      </c>
      <c r="EB164" s="23">
        <f>EXP(-LN(2)/25)*EB163+(1-EXP(-LN(2)/25))/(LN(2)/25)*Calculateur!DW164*Calculateur!DY164*VLOOKUP('Données projet'!$B$14,Paramètres!$A$1:$I$89,3,0)*0.475*44/12</f>
        <v>0.25410635424768235</v>
      </c>
      <c r="EC164" s="23">
        <f>EXP(-LN(2)/2)*EC163+(1-EXP(-LN(2)/2))/(LN(2)/2)*DW164*DZ164*VLOOKUP('Données projet'!$B$14,Paramètres!$A$1:$I$89,3,0)*0.475*44/12</f>
        <v>3.3514648238770613E-19</v>
      </c>
      <c r="ED164" s="24">
        <f t="shared" si="178"/>
        <v>0.75304167827010327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1.05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3.85</v>
      </c>
      <c r="H165" s="70">
        <f t="shared" si="110"/>
        <v>241.26666666666665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292.20300171103315</v>
      </c>
      <c r="S165" s="62">
        <f ca="1">AVERAGE(OFFSET($R$3,0,0,'Données projet'!$E$9+1,1))-AVERAGE(OFFSET($H$3,0,0,'Données projet'!$E$9+1,1))</f>
        <v>393.3487617557011</v>
      </c>
      <c r="T165" s="62">
        <f t="shared" si="142"/>
        <v>360.09400083977084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0.38817623631440906</v>
      </c>
      <c r="AA165" s="23">
        <f>EXP(-LN(2)/25)*AA164+(1-EXP(-LN(2)/25))/(LN(2)/25)*Calculateur!V165*Calculateur!X165*VLOOKUP('Données projet'!$B$9,Paramètres!$A$1:$I$89,3,0)*0.475*44/12</f>
        <v>0.23897732155658286</v>
      </c>
      <c r="AB165" s="23">
        <f>EXP(-LN(2)/2)*AB164+(1-EXP(-LN(2)/2))/(LN(2)/2)*V165*Y165*VLOOKUP('Données projet'!$B$9,Paramètres!$A$1:$I$89,3,0)*0.475*44/12</f>
        <v>1.9356506869521241E-19</v>
      </c>
      <c r="AC165" s="24">
        <f t="shared" si="163"/>
        <v>0.62715355787099192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-1.6671037883497774E-13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283.28499080043167</v>
      </c>
      <c r="AO165" s="62">
        <f t="shared" si="144"/>
        <v>278.56966286485783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0.14292655396349427</v>
      </c>
      <c r="AV165" s="23">
        <f>EXP(-LN(2)/25)*AV164+(1-EXP(-LN(2)/25))/(LN(2)/25)*Calculateur!AQ165*Calculateur!AS165*VLOOKUP('Données projet'!$B$10,Paramètres!$A$1:$I$89,3,0)*0.475*44/12</f>
        <v>0.22426720140564504</v>
      </c>
      <c r="AW165" s="23">
        <f>EXP(-LN(2)/2)*AW164+(1-EXP(-LN(2)/2))/(LN(2)/2)*AQ165*AT165*VLOOKUP('Données projet'!$B$10,Paramètres!$A$1:$I$89,3,0)*0.475*44/12</f>
        <v>1.7577117738790831E-19</v>
      </c>
      <c r="AX165" s="23">
        <f t="shared" si="166"/>
        <v>0.36719375536913934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-1.8089849618263545E-13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303.91914071195419</v>
      </c>
      <c r="BJ165" s="62">
        <f t="shared" si="146"/>
        <v>298.30050362688769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6.691970937481255E-2</v>
      </c>
      <c r="BR165" s="23">
        <f>EXP(-LN(2)/2)*BR164+(1-EXP(-LN(2)/2))/(LN(2)/2)*BL165*BO165*VLOOKUP('Données projet'!$B$11,Paramètres!$A$1:$I$89,3,0)*0.475*44/12</f>
        <v>3.4495826344494579E-19</v>
      </c>
      <c r="BS165" s="24">
        <f t="shared" si="169"/>
        <v>6.691970937481255E-2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446.15737983598251</v>
      </c>
      <c r="CE165" s="62">
        <f t="shared" si="148"/>
        <v>282.2299715529382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4.4337866711430253E-14</v>
      </c>
      <c r="CV165" s="14">
        <f t="shared" si="173"/>
        <v>7.3222115536967035E-13</v>
      </c>
      <c r="CW165" s="22">
        <f t="shared" si="174"/>
        <v>1.3525069634579169E-12</v>
      </c>
      <c r="CX165" s="62">
        <f t="shared" si="122"/>
        <v>292.20300171103264</v>
      </c>
      <c r="CY165" s="62">
        <f ca="1">AVERAGE(OFFSET($CX$3,0,0,'Données projet'!$E$13+1,1))-AVERAGE(OFFSET($H$3,0,0,'Données projet'!$E$13+1,1))</f>
        <v>293.03320024876842</v>
      </c>
      <c r="CZ165" s="62">
        <f t="shared" si="150"/>
        <v>287.49994652707915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5.5563071982129006E-20</v>
      </c>
      <c r="DI165" s="24">
        <f t="shared" si="175"/>
        <v>5.5563071982129006E-20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-1.7053025658242404E-13</v>
      </c>
      <c r="DP165" s="18">
        <f>DO165*VLOOKUP('Données projet'!$B$14,Paramètres!$A$1:$I$89,3,0)*VLOOKUP('Données projet'!$B$14,Paramètres!$A$1:$I$89,5,0)</f>
        <v>-9.3109520094003535E-14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253.0312006976271</v>
      </c>
      <c r="DU165" s="62">
        <f t="shared" si="152"/>
        <v>365.93937083714866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0.48915150663883972</v>
      </c>
      <c r="EB165" s="23">
        <f>EXP(-LN(2)/25)*EB164+(1-EXP(-LN(2)/25))/(LN(2)/25)*Calculateur!DW165*Calculateur!DY165*VLOOKUP('Données projet'!$B$14,Paramètres!$A$1:$I$89,3,0)*0.475*44/12</f>
        <v>0.24715780262790707</v>
      </c>
      <c r="EC165" s="23">
        <f>EXP(-LN(2)/2)*EC164+(1-EXP(-LN(2)/2))/(LN(2)/2)*DW165*DZ165*VLOOKUP('Données projet'!$B$14,Paramètres!$A$1:$I$89,3,0)*0.475*44/12</f>
        <v>2.3698435038716482E-19</v>
      </c>
      <c r="ED165" s="24">
        <f t="shared" si="178"/>
        <v>0.73630930926674676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1.05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3.85</v>
      </c>
      <c r="H166" s="70">
        <f t="shared" si="110"/>
        <v>241.26666666666665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292.22261043763723</v>
      </c>
      <c r="S166" s="62">
        <f ca="1">AVERAGE(OFFSET($R$3,0,0,'Données projet'!$E$9+1,1))-AVERAGE(OFFSET($H$3,0,0,'Données projet'!$E$9+1,1))</f>
        <v>393.3487617557011</v>
      </c>
      <c r="T166" s="62">
        <f t="shared" si="142"/>
        <v>360.09400083977084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0.38056433708440912</v>
      </c>
      <c r="AA166" s="23">
        <f>EXP(-LN(2)/25)*AA165+(1-EXP(-LN(2)/25))/(LN(2)/25)*Calculateur!V166*Calculateur!X166*VLOOKUP('Données projet'!$B$9,Paramètres!$A$1:$I$89,3,0)*0.475*44/12</f>
        <v>0.23244247413134694</v>
      </c>
      <c r="AB166" s="23">
        <f>EXP(-LN(2)/2)*AB165+(1-EXP(-LN(2)/2))/(LN(2)/2)*V166*Y166*VLOOKUP('Données projet'!$B$9,Paramètres!$A$1:$I$89,3,0)*0.475*44/12</f>
        <v>1.368711726752246E-19</v>
      </c>
      <c r="AC166" s="24">
        <f t="shared" si="163"/>
        <v>0.61300681121575606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-1.6671037883497774E-13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283.28499080043167</v>
      </c>
      <c r="AO166" s="62">
        <f t="shared" si="144"/>
        <v>278.56966286485783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0.1401238514168601</v>
      </c>
      <c r="AV166" s="23">
        <f>EXP(-LN(2)/25)*AV165+(1-EXP(-LN(2)/25))/(LN(2)/25)*Calculateur!AQ166*Calculateur!AS166*VLOOKUP('Données projet'!$B$10,Paramètres!$A$1:$I$89,3,0)*0.475*44/12</f>
        <v>0.21813460298950813</v>
      </c>
      <c r="AW166" s="23">
        <f>EXP(-LN(2)/2)*AW165+(1-EXP(-LN(2)/2))/(LN(2)/2)*AQ166*AT166*VLOOKUP('Données projet'!$B$10,Paramètres!$A$1:$I$89,3,0)*0.475*44/12</f>
        <v>1.2428899146813351E-19</v>
      </c>
      <c r="AX166" s="23">
        <f t="shared" si="166"/>
        <v>0.35825845440636822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-1.8089849618263545E-13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303.91914071195419</v>
      </c>
      <c r="BJ166" s="62">
        <f t="shared" si="146"/>
        <v>298.30050362688769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6.5089786402803732E-2</v>
      </c>
      <c r="BR166" s="23">
        <f>EXP(-LN(2)/2)*BR165+(1-EXP(-LN(2)/2))/(LN(2)/2)*BL166*BO166*VLOOKUP('Données projet'!$B$11,Paramètres!$A$1:$I$89,3,0)*0.475*44/12</f>
        <v>2.439223273082567E-19</v>
      </c>
      <c r="BS166" s="24">
        <f t="shared" si="169"/>
        <v>6.5089786402803732E-2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446.15737983598251</v>
      </c>
      <c r="CE166" s="62">
        <f t="shared" si="148"/>
        <v>282.2299715529382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4.4337866711430253E-14</v>
      </c>
      <c r="CV166" s="14">
        <f t="shared" si="173"/>
        <v>7.3222115536967035E-13</v>
      </c>
      <c r="CW166" s="22">
        <f t="shared" si="174"/>
        <v>1.3525069634579169E-12</v>
      </c>
      <c r="CX166" s="62">
        <f t="shared" si="122"/>
        <v>292.22261043763672</v>
      </c>
      <c r="CY166" s="62">
        <f ca="1">AVERAGE(OFFSET($CX$3,0,0,'Données projet'!$E$13+1,1))-AVERAGE(OFFSET($H$3,0,0,'Données projet'!$E$13+1,1))</f>
        <v>293.03320024876842</v>
      </c>
      <c r="CZ166" s="62">
        <f t="shared" si="150"/>
        <v>287.49994652707915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3.9289024982119686E-20</v>
      </c>
      <c r="DI166" s="24">
        <f t="shared" si="175"/>
        <v>3.9289024982119686E-20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-1.7053025658242404E-13</v>
      </c>
      <c r="DP166" s="18">
        <f>DO166*VLOOKUP('Données projet'!$B$14,Paramètres!$A$1:$I$89,3,0)*VLOOKUP('Données projet'!$B$14,Paramètres!$A$1:$I$89,5,0)</f>
        <v>-9.3109520094003535E-14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253.0312006976271</v>
      </c>
      <c r="DU166" s="62">
        <f t="shared" si="152"/>
        <v>365.93937083714866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0.47955954394661121</v>
      </c>
      <c r="EB166" s="23">
        <f>EXP(-LN(2)/25)*EB165+(1-EXP(-LN(2)/25))/(LN(2)/25)*Calculateur!DW166*Calculateur!DY166*VLOOKUP('Données projet'!$B$14,Paramètres!$A$1:$I$89,3,0)*0.475*44/12</f>
        <v>0.24039925951758301</v>
      </c>
      <c r="EC166" s="23">
        <f>EXP(-LN(2)/2)*EC165+(1-EXP(-LN(2)/2))/(LN(2)/2)*DW166*DZ166*VLOOKUP('Données projet'!$B$14,Paramètres!$A$1:$I$89,3,0)*0.475*44/12</f>
        <v>1.6757324119385307E-19</v>
      </c>
      <c r="ED166" s="24">
        <f t="shared" si="178"/>
        <v>0.71995880346419416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1.05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3.85</v>
      </c>
      <c r="H167" s="70">
        <f t="shared" si="110"/>
        <v>241.26666666666665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292.24187899667317</v>
      </c>
      <c r="S167" s="62">
        <f ca="1">AVERAGE(OFFSET($R$3,0,0,'Données projet'!$E$9+1,1))-AVERAGE(OFFSET($H$3,0,0,'Données projet'!$E$9+1,1))</f>
        <v>393.3487617557011</v>
      </c>
      <c r="T167" s="62">
        <f t="shared" si="142"/>
        <v>360.09400083977084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0.3731017025555094</v>
      </c>
      <c r="AA167" s="23">
        <f>EXP(-LN(2)/25)*AA166+(1-EXP(-LN(2)/25))/(LN(2)/25)*Calculateur!V167*Calculateur!X167*VLOOKUP('Données projet'!$B$9,Paramètres!$A$1:$I$89,3,0)*0.475*44/12</f>
        <v>0.22608632245260679</v>
      </c>
      <c r="AB167" s="23">
        <f>EXP(-LN(2)/2)*AB166+(1-EXP(-LN(2)/2))/(LN(2)/2)*V167*Y167*VLOOKUP('Données projet'!$B$9,Paramètres!$A$1:$I$89,3,0)*0.475*44/12</f>
        <v>9.6782534347606205E-20</v>
      </c>
      <c r="AC167" s="24">
        <f t="shared" si="163"/>
        <v>0.59918802500811619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-1.6671037883497774E-13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283.28499080043167</v>
      </c>
      <c r="AO167" s="62">
        <f t="shared" si="144"/>
        <v>278.56966286485783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0.13737610815768567</v>
      </c>
      <c r="AV167" s="23">
        <f>EXP(-LN(2)/25)*AV166+(1-EXP(-LN(2)/25))/(LN(2)/25)*Calculateur!AQ167*Calculateur!AS167*VLOOKUP('Données projet'!$B$10,Paramètres!$A$1:$I$89,3,0)*0.475*44/12</f>
        <v>0.2121697007995598</v>
      </c>
      <c r="AW167" s="23">
        <f>EXP(-LN(2)/2)*AW166+(1-EXP(-LN(2)/2))/(LN(2)/2)*AQ167*AT167*VLOOKUP('Données projet'!$B$10,Paramètres!$A$1:$I$89,3,0)*0.475*44/12</f>
        <v>8.7885588693954155E-20</v>
      </c>
      <c r="AX167" s="23">
        <f t="shared" si="166"/>
        <v>0.34954580895724546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-1.8089849618263545E-13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303.91914071195419</v>
      </c>
      <c r="BJ167" s="62">
        <f t="shared" si="146"/>
        <v>298.30050362688769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6.3309902770695967E-2</v>
      </c>
      <c r="BR167" s="23">
        <f>EXP(-LN(2)/2)*BR166+(1-EXP(-LN(2)/2))/(LN(2)/2)*BL167*BO167*VLOOKUP('Données projet'!$B$11,Paramètres!$A$1:$I$89,3,0)*0.475*44/12</f>
        <v>1.724791317224729E-19</v>
      </c>
      <c r="BS167" s="24">
        <f t="shared" si="169"/>
        <v>6.3309902770695967E-2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446.15737983598251</v>
      </c>
      <c r="CE167" s="62">
        <f t="shared" si="148"/>
        <v>282.2299715529382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4.4337866711430253E-14</v>
      </c>
      <c r="CV167" s="14">
        <f t="shared" si="173"/>
        <v>7.3222115536967035E-13</v>
      </c>
      <c r="CW167" s="22">
        <f t="shared" si="174"/>
        <v>1.3525069634579169E-12</v>
      </c>
      <c r="CX167" s="62">
        <f t="shared" si="122"/>
        <v>292.24187899667265</v>
      </c>
      <c r="CY167" s="62">
        <f ca="1">AVERAGE(OFFSET($CX$3,0,0,'Données projet'!$E$13+1,1))-AVERAGE(OFFSET($H$3,0,0,'Données projet'!$E$13+1,1))</f>
        <v>293.03320024876842</v>
      </c>
      <c r="CZ167" s="62">
        <f t="shared" si="150"/>
        <v>287.49994652707915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2.7781535991064503E-20</v>
      </c>
      <c r="DI167" s="24">
        <f t="shared" si="175"/>
        <v>2.7781535991064503E-20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-1.7053025658242404E-13</v>
      </c>
      <c r="DP167" s="18">
        <f>DO167*VLOOKUP('Données projet'!$B$14,Paramètres!$A$1:$I$89,3,0)*VLOOKUP('Données projet'!$B$14,Paramètres!$A$1:$I$89,5,0)</f>
        <v>-9.3109520094003535E-14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253.0312006976271</v>
      </c>
      <c r="DU167" s="62">
        <f t="shared" si="152"/>
        <v>365.93937083714866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0.47015567379225776</v>
      </c>
      <c r="EB167" s="23">
        <f>EXP(-LN(2)/25)*EB166+(1-EXP(-LN(2)/25))/(LN(2)/25)*Calculateur!DW167*Calculateur!DY167*VLOOKUP('Données projet'!$B$14,Paramètres!$A$1:$I$89,3,0)*0.475*44/12</f>
        <v>0.23382552912402707</v>
      </c>
      <c r="EC167" s="23">
        <f>EXP(-LN(2)/2)*EC166+(1-EXP(-LN(2)/2))/(LN(2)/2)*DW167*DZ167*VLOOKUP('Données projet'!$B$14,Paramètres!$A$1:$I$89,3,0)*0.475*44/12</f>
        <v>1.1849217519358241E-19</v>
      </c>
      <c r="ED167" s="24">
        <f t="shared" si="178"/>
        <v>0.70398120291628485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1.05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3.85</v>
      </c>
      <c r="H168" s="70">
        <f t="shared" si="110"/>
        <v>241.26666666666665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292.26081328928791</v>
      </c>
      <c r="S168" s="62">
        <f ca="1">AVERAGE(OFFSET($R$3,0,0,'Données projet'!$E$9+1,1))-AVERAGE(OFFSET($H$3,0,0,'Données projet'!$E$9+1,1))</f>
        <v>393.3487617557011</v>
      </c>
      <c r="T168" s="62">
        <f t="shared" si="142"/>
        <v>360.09400083977084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0.36578540573796381</v>
      </c>
      <c r="AA168" s="23">
        <f>EXP(-LN(2)/25)*AA167+(1-EXP(-LN(2)/25))/(LN(2)/25)*Calculateur!V168*Calculateur!X168*VLOOKUP('Données projet'!$B$9,Paramètres!$A$1:$I$89,3,0)*0.475*44/12</f>
        <v>0.2199039800757773</v>
      </c>
      <c r="AB168" s="23">
        <f>EXP(-LN(2)/2)*AB167+(1-EXP(-LN(2)/2))/(LN(2)/2)*V168*Y168*VLOOKUP('Données projet'!$B$9,Paramètres!$A$1:$I$89,3,0)*0.475*44/12</f>
        <v>6.84355863376123E-20</v>
      </c>
      <c r="AC168" s="24">
        <f t="shared" si="163"/>
        <v>0.58568938581374108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-1.6671037883497774E-13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283.28499080043167</v>
      </c>
      <c r="AO168" s="62">
        <f t="shared" si="144"/>
        <v>278.56966286485783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0.13468224646786575</v>
      </c>
      <c r="AV168" s="23">
        <f>EXP(-LN(2)/25)*AV167+(1-EXP(-LN(2)/25))/(LN(2)/25)*Calculateur!AQ168*Calculateur!AS168*VLOOKUP('Données projet'!$B$10,Paramètres!$A$1:$I$89,3,0)*0.475*44/12</f>
        <v>0.2063679091736762</v>
      </c>
      <c r="AW168" s="23">
        <f>EXP(-LN(2)/2)*AW167+(1-EXP(-LN(2)/2))/(LN(2)/2)*AQ168*AT168*VLOOKUP('Données projet'!$B$10,Paramètres!$A$1:$I$89,3,0)*0.475*44/12</f>
        <v>6.2144495734066756E-20</v>
      </c>
      <c r="AX168" s="23">
        <f t="shared" si="166"/>
        <v>0.34105015564154195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-1.8089849618263545E-13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303.91914071195419</v>
      </c>
      <c r="BJ168" s="62">
        <f t="shared" si="146"/>
        <v>298.30050362688769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6.1578690150108195E-2</v>
      </c>
      <c r="BR168" s="23">
        <f>EXP(-LN(2)/2)*BR167+(1-EXP(-LN(2)/2))/(LN(2)/2)*BL168*BO168*VLOOKUP('Données projet'!$B$11,Paramètres!$A$1:$I$89,3,0)*0.475*44/12</f>
        <v>1.2196116365412835E-19</v>
      </c>
      <c r="BS168" s="24">
        <f t="shared" si="169"/>
        <v>6.1578690150108195E-2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446.15737983598251</v>
      </c>
      <c r="CE168" s="62">
        <f t="shared" si="148"/>
        <v>282.2299715529382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4.4337866711430253E-14</v>
      </c>
      <c r="CV168" s="14">
        <f t="shared" si="173"/>
        <v>7.3222115536967035E-13</v>
      </c>
      <c r="CW168" s="22">
        <f t="shared" si="174"/>
        <v>1.3525069634579169E-12</v>
      </c>
      <c r="CX168" s="62">
        <f t="shared" si="122"/>
        <v>292.2608132892874</v>
      </c>
      <c r="CY168" s="62">
        <f ca="1">AVERAGE(OFFSET($CX$3,0,0,'Données projet'!$E$13+1,1))-AVERAGE(OFFSET($H$3,0,0,'Données projet'!$E$13+1,1))</f>
        <v>293.03320024876842</v>
      </c>
      <c r="CZ168" s="62">
        <f t="shared" si="150"/>
        <v>287.49994652707915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1.9644512491059843E-20</v>
      </c>
      <c r="DI168" s="24">
        <f t="shared" si="175"/>
        <v>1.9644512491059843E-20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-1.7053025658242404E-13</v>
      </c>
      <c r="DP168" s="18">
        <f>DO168*VLOOKUP('Données projet'!$B$14,Paramètres!$A$1:$I$89,3,0)*VLOOKUP('Données projet'!$B$14,Paramètres!$A$1:$I$89,5,0)</f>
        <v>-9.3109520094003535E-14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253.0312006976271</v>
      </c>
      <c r="DU168" s="62">
        <f t="shared" si="152"/>
        <v>365.93937083714866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0.46093620779583672</v>
      </c>
      <c r="EB168" s="23">
        <f>EXP(-LN(2)/25)*EB167+(1-EXP(-LN(2)/25))/(LN(2)/25)*Calculateur!DW168*Calculateur!DY168*VLOOKUP('Données projet'!$B$14,Paramètres!$A$1:$I$89,3,0)*0.475*44/12</f>
        <v>0.22743155773378038</v>
      </c>
      <c r="EC168" s="23">
        <f>EXP(-LN(2)/2)*EC167+(1-EXP(-LN(2)/2))/(LN(2)/2)*DW168*DZ168*VLOOKUP('Données projet'!$B$14,Paramètres!$A$1:$I$89,3,0)*0.475*44/12</f>
        <v>8.3786620596926534E-20</v>
      </c>
      <c r="ED168" s="24">
        <f t="shared" si="178"/>
        <v>0.68836776552961709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1.05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3.85</v>
      </c>
      <c r="H169" s="70">
        <f t="shared" si="110"/>
        <v>241.26666666666665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292.27941911425648</v>
      </c>
      <c r="S169" s="62">
        <f ca="1">AVERAGE(OFFSET($R$3,0,0,'Données projet'!$E$9+1,1))-AVERAGE(OFFSET($H$3,0,0,'Données projet'!$E$9+1,1))</f>
        <v>393.3487617557011</v>
      </c>
      <c r="T169" s="62">
        <f t="shared" si="142"/>
        <v>360.09400083977084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0.35861257703850985</v>
      </c>
      <c r="AA169" s="23">
        <f>EXP(-LN(2)/25)*AA168+(1-EXP(-LN(2)/25))/(LN(2)/25)*Calculateur!V169*Calculateur!X169*VLOOKUP('Données projet'!$B$9,Paramètres!$A$1:$I$89,3,0)*0.475*44/12</f>
        <v>0.21389069417635745</v>
      </c>
      <c r="AB169" s="23">
        <f>EXP(-LN(2)/2)*AB168+(1-EXP(-LN(2)/2))/(LN(2)/2)*V169*Y169*VLOOKUP('Données projet'!$B$9,Paramètres!$A$1:$I$89,3,0)*0.475*44/12</f>
        <v>4.8391267173803102E-20</v>
      </c>
      <c r="AC169" s="24">
        <f t="shared" si="163"/>
        <v>0.57250327121486733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-1.6671037883497774E-13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283.28499080043167</v>
      </c>
      <c r="AO169" s="62">
        <f t="shared" si="144"/>
        <v>278.56966286485783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0.13204120976268979</v>
      </c>
      <c r="AV169" s="23">
        <f>EXP(-LN(2)/25)*AV168+(1-EXP(-LN(2)/25))/(LN(2)/25)*Calculateur!AQ169*Calculateur!AS169*VLOOKUP('Données projet'!$B$10,Paramètres!$A$1:$I$89,3,0)*0.475*44/12</f>
        <v>0.20072476784490534</v>
      </c>
      <c r="AW169" s="23">
        <f>EXP(-LN(2)/2)*AW168+(1-EXP(-LN(2)/2))/(LN(2)/2)*AQ169*AT169*VLOOKUP('Données projet'!$B$10,Paramètres!$A$1:$I$89,3,0)*0.475*44/12</f>
        <v>4.3942794346977078E-20</v>
      </c>
      <c r="AX169" s="23">
        <f t="shared" si="166"/>
        <v>0.33276597760759513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-1.8089849618263545E-13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303.91914071195419</v>
      </c>
      <c r="BJ169" s="62">
        <f t="shared" si="146"/>
        <v>298.30050362688769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5.9894817629670909E-2</v>
      </c>
      <c r="BR169" s="23">
        <f>EXP(-LN(2)/2)*BR168+(1-EXP(-LN(2)/2))/(LN(2)/2)*BL169*BO169*VLOOKUP('Données projet'!$B$11,Paramètres!$A$1:$I$89,3,0)*0.475*44/12</f>
        <v>8.6239565861236448E-20</v>
      </c>
      <c r="BS169" s="24">
        <f t="shared" si="169"/>
        <v>5.9894817629670909E-2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446.15737983598251</v>
      </c>
      <c r="CE169" s="62">
        <f t="shared" si="148"/>
        <v>282.2299715529382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4.4337866711430253E-14</v>
      </c>
      <c r="CV169" s="14">
        <f t="shared" si="173"/>
        <v>7.3222115536967035E-13</v>
      </c>
      <c r="CW169" s="22">
        <f t="shared" si="174"/>
        <v>1.3525069634579169E-12</v>
      </c>
      <c r="CX169" s="62">
        <f t="shared" si="122"/>
        <v>292.27941911425597</v>
      </c>
      <c r="CY169" s="62">
        <f ca="1">AVERAGE(OFFSET($CX$3,0,0,'Données projet'!$E$13+1,1))-AVERAGE(OFFSET($H$3,0,0,'Données projet'!$E$13+1,1))</f>
        <v>293.03320024876842</v>
      </c>
      <c r="CZ169" s="62">
        <f t="shared" si="150"/>
        <v>287.49994652707915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1.3890767995532252E-20</v>
      </c>
      <c r="DI169" s="24">
        <f t="shared" si="175"/>
        <v>1.3890767995532252E-20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-1.7053025658242404E-13</v>
      </c>
      <c r="DP169" s="18">
        <f>DO169*VLOOKUP('Données projet'!$B$14,Paramètres!$A$1:$I$89,3,0)*VLOOKUP('Données projet'!$B$14,Paramètres!$A$1:$I$89,5,0)</f>
        <v>-9.3109520094003535E-14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253.0312006976271</v>
      </c>
      <c r="DU169" s="62">
        <f t="shared" si="152"/>
        <v>365.93937083714866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0.4518975299042865</v>
      </c>
      <c r="EB169" s="23">
        <f>EXP(-LN(2)/25)*EB168+(1-EXP(-LN(2)/25))/(LN(2)/25)*Calculateur!DW169*Calculateur!DY169*VLOOKUP('Données projet'!$B$14,Paramètres!$A$1:$I$89,3,0)*0.475*44/12</f>
        <v>0.22121242982744432</v>
      </c>
      <c r="EC169" s="23">
        <f>EXP(-LN(2)/2)*EC168+(1-EXP(-LN(2)/2))/(LN(2)/2)*DW169*DZ169*VLOOKUP('Données projet'!$B$14,Paramètres!$A$1:$I$89,3,0)*0.475*44/12</f>
        <v>5.9246087596791205E-20</v>
      </c>
      <c r="ED169" s="24">
        <f t="shared" si="178"/>
        <v>0.67310995973173082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1.05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3.85</v>
      </c>
      <c r="H170" s="70">
        <f t="shared" si="110"/>
        <v>241.26666666666665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292.29770216975834</v>
      </c>
      <c r="S170" s="62">
        <f ca="1">AVERAGE(OFFSET($R$3,0,0,'Données projet'!$E$9+1,1))-AVERAGE(OFFSET($H$3,0,0,'Données projet'!$E$9+1,1))</f>
        <v>393.3487617557011</v>
      </c>
      <c r="T170" s="62">
        <f t="shared" si="142"/>
        <v>360.09400083977084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0.35158040313485867</v>
      </c>
      <c r="AA170" s="23">
        <f>EXP(-LN(2)/25)*AA169+(1-EXP(-LN(2)/25))/(LN(2)/25)*Calculateur!V170*Calculateur!X170*VLOOKUP('Données projet'!$B$9,Paramètres!$A$1:$I$89,3,0)*0.475*44/12</f>
        <v>0.20804184189608221</v>
      </c>
      <c r="AB170" s="23">
        <f>EXP(-LN(2)/2)*AB169+(1-EXP(-LN(2)/2))/(LN(2)/2)*V170*Y170*VLOOKUP('Données projet'!$B$9,Paramètres!$A$1:$I$89,3,0)*0.475*44/12</f>
        <v>3.421779316880615E-20</v>
      </c>
      <c r="AC170" s="24">
        <f t="shared" si="163"/>
        <v>0.55962224503094093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-1.6671037883497774E-13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283.28499080043167</v>
      </c>
      <c r="AO170" s="62">
        <f t="shared" si="144"/>
        <v>278.56966286485783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0.12945196217642901</v>
      </c>
      <c r="AV170" s="23">
        <f>EXP(-LN(2)/25)*AV169+(1-EXP(-LN(2)/25))/(LN(2)/25)*Calculateur!AQ170*Calculateur!AS170*VLOOKUP('Données projet'!$B$10,Paramètres!$A$1:$I$89,3,0)*0.475*44/12</f>
        <v>0.19523593851252963</v>
      </c>
      <c r="AW170" s="23">
        <f>EXP(-LN(2)/2)*AW169+(1-EXP(-LN(2)/2))/(LN(2)/2)*AQ170*AT170*VLOOKUP('Données projet'!$B$10,Paramètres!$A$1:$I$89,3,0)*0.475*44/12</f>
        <v>3.1072247867033378E-20</v>
      </c>
      <c r="AX170" s="23">
        <f t="shared" si="166"/>
        <v>0.32468790068895864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-1.8089849618263545E-13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303.91914071195419</v>
      </c>
      <c r="BJ170" s="62">
        <f t="shared" si="146"/>
        <v>298.30050362688769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5.8256990691855991E-2</v>
      </c>
      <c r="BR170" s="23">
        <f>EXP(-LN(2)/2)*BR169+(1-EXP(-LN(2)/2))/(LN(2)/2)*BL170*BO170*VLOOKUP('Données projet'!$B$11,Paramètres!$A$1:$I$89,3,0)*0.475*44/12</f>
        <v>6.0980581827064174E-20</v>
      </c>
      <c r="BS170" s="24">
        <f t="shared" si="169"/>
        <v>5.8256990691855991E-2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446.15737983598251</v>
      </c>
      <c r="CE170" s="62">
        <f t="shared" si="148"/>
        <v>282.2299715529382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4.4337866711430253E-14</v>
      </c>
      <c r="CV170" s="14">
        <f t="shared" si="173"/>
        <v>7.3222115536967035E-13</v>
      </c>
      <c r="CW170" s="22">
        <f t="shared" si="174"/>
        <v>1.3525069634579169E-12</v>
      </c>
      <c r="CX170" s="62">
        <f t="shared" si="122"/>
        <v>292.29770216975783</v>
      </c>
      <c r="CY170" s="62">
        <f ca="1">AVERAGE(OFFSET($CX$3,0,0,'Données projet'!$E$13+1,1))-AVERAGE(OFFSET($H$3,0,0,'Données projet'!$E$13+1,1))</f>
        <v>293.03320024876842</v>
      </c>
      <c r="CZ170" s="62">
        <f t="shared" si="150"/>
        <v>287.49994652707915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9.8222562455299214E-21</v>
      </c>
      <c r="DI170" s="24">
        <f t="shared" si="175"/>
        <v>9.8222562455299214E-21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-1.7053025658242404E-13</v>
      </c>
      <c r="DP170" s="18">
        <f>DO170*VLOOKUP('Données projet'!$B$14,Paramètres!$A$1:$I$89,3,0)*VLOOKUP('Données projet'!$B$14,Paramètres!$A$1:$I$89,5,0)</f>
        <v>-9.3109520094003535E-14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253.0312006976271</v>
      </c>
      <c r="DU170" s="62">
        <f t="shared" si="152"/>
        <v>365.93937083714866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0.44303609497314045</v>
      </c>
      <c r="EB170" s="23">
        <f>EXP(-LN(2)/25)*EB169+(1-EXP(-LN(2)/25))/(LN(2)/25)*Calculateur!DW170*Calculateur!DY170*VLOOKUP('Données projet'!$B$14,Paramètres!$A$1:$I$89,3,0)*0.475*44/12</f>
        <v>0.21516336430075675</v>
      </c>
      <c r="EC170" s="23">
        <f>EXP(-LN(2)/2)*EC169+(1-EXP(-LN(2)/2))/(LN(2)/2)*DW170*DZ170*VLOOKUP('Données projet'!$B$14,Paramètres!$A$1:$I$89,3,0)*0.475*44/12</f>
        <v>4.1893310298463267E-20</v>
      </c>
      <c r="ED170" s="24">
        <f t="shared" si="178"/>
        <v>0.65819945927389722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1.05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3.85</v>
      </c>
      <c r="H171" s="70">
        <f t="shared" si="110"/>
        <v>241.26666666666665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292.31566805512199</v>
      </c>
      <c r="S171" s="62">
        <f ca="1">AVERAGE(OFFSET($R$3,0,0,'Données projet'!$E$9+1,1))-AVERAGE(OFFSET($H$3,0,0,'Données projet'!$E$9+1,1))</f>
        <v>393.3487617557011</v>
      </c>
      <c r="T171" s="62">
        <f t="shared" si="142"/>
        <v>360.09400083977084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0.3446861258722555</v>
      </c>
      <c r="AA171" s="23">
        <f>EXP(-LN(2)/25)*AA170+(1-EXP(-LN(2)/25))/(LN(2)/25)*Calculateur!V171*Calculateur!X171*VLOOKUP('Données projet'!$B$9,Paramètres!$A$1:$I$89,3,0)*0.475*44/12</f>
        <v>0.20235292678898886</v>
      </c>
      <c r="AB171" s="23">
        <f>EXP(-LN(2)/2)*AB170+(1-EXP(-LN(2)/2))/(LN(2)/2)*V171*Y171*VLOOKUP('Données projet'!$B$9,Paramètres!$A$1:$I$89,3,0)*0.475*44/12</f>
        <v>2.4195633586901551E-20</v>
      </c>
      <c r="AC171" s="24">
        <f t="shared" si="163"/>
        <v>0.54703905266124431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-1.6671037883497774E-13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283.28499080043167</v>
      </c>
      <c r="AO171" s="62">
        <f t="shared" si="144"/>
        <v>278.56966286485783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0.12691348815604972</v>
      </c>
      <c r="AV171" s="23">
        <f>EXP(-LN(2)/25)*AV170+(1-EXP(-LN(2)/25))/(LN(2)/25)*Calculateur!AQ171*Calculateur!AS171*VLOOKUP('Données projet'!$B$10,Paramètres!$A$1:$I$89,3,0)*0.475*44/12</f>
        <v>0.18989720150689271</v>
      </c>
      <c r="AW171" s="23">
        <f>EXP(-LN(2)/2)*AW170+(1-EXP(-LN(2)/2))/(LN(2)/2)*AQ171*AT171*VLOOKUP('Données projet'!$B$10,Paramètres!$A$1:$I$89,3,0)*0.475*44/12</f>
        <v>2.1971397173488539E-20</v>
      </c>
      <c r="AX171" s="23">
        <f t="shared" si="166"/>
        <v>0.31681068966294246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-1.8089849618263545E-13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303.91914071195419</v>
      </c>
      <c r="BJ171" s="62">
        <f t="shared" si="146"/>
        <v>298.30050362688769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5.6663950217785197E-2</v>
      </c>
      <c r="BR171" s="23">
        <f>EXP(-LN(2)/2)*BR170+(1-EXP(-LN(2)/2))/(LN(2)/2)*BL171*BO171*VLOOKUP('Données projet'!$B$11,Paramètres!$A$1:$I$89,3,0)*0.475*44/12</f>
        <v>4.3119782930618224E-20</v>
      </c>
      <c r="BS171" s="24">
        <f t="shared" si="169"/>
        <v>5.6663950217785197E-2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446.15737983598251</v>
      </c>
      <c r="CE171" s="62">
        <f t="shared" si="148"/>
        <v>282.2299715529382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4.4337866711430253E-14</v>
      </c>
      <c r="CV171" s="14">
        <f t="shared" si="173"/>
        <v>7.3222115536967035E-13</v>
      </c>
      <c r="CW171" s="22">
        <f t="shared" si="174"/>
        <v>1.3525069634579169E-12</v>
      </c>
      <c r="CX171" s="62">
        <f t="shared" si="122"/>
        <v>292.31566805512148</v>
      </c>
      <c r="CY171" s="62">
        <f ca="1">AVERAGE(OFFSET($CX$3,0,0,'Données projet'!$E$13+1,1))-AVERAGE(OFFSET($H$3,0,0,'Données projet'!$E$13+1,1))</f>
        <v>293.03320024876842</v>
      </c>
      <c r="CZ171" s="62">
        <f t="shared" si="150"/>
        <v>287.49994652707915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6.9453839977661258E-21</v>
      </c>
      <c r="DI171" s="24">
        <f t="shared" si="175"/>
        <v>6.9453839977661258E-21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-1.7053025658242404E-13</v>
      </c>
      <c r="DP171" s="18">
        <f>DO171*VLOOKUP('Données projet'!$B$14,Paramètres!$A$1:$I$89,3,0)*VLOOKUP('Données projet'!$B$14,Paramètres!$A$1:$I$89,5,0)</f>
        <v>-9.3109520094003535E-14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253.0312006976271</v>
      </c>
      <c r="DU171" s="62">
        <f t="shared" si="152"/>
        <v>365.93937083714866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0.43434842737605256</v>
      </c>
      <c r="EB171" s="23">
        <f>EXP(-LN(2)/25)*EB170+(1-EXP(-LN(2)/25))/(LN(2)/25)*Calculateur!DW171*Calculateur!DY171*VLOOKUP('Données projet'!$B$14,Paramètres!$A$1:$I$89,3,0)*0.475*44/12</f>
        <v>0.20927971078900298</v>
      </c>
      <c r="EC171" s="23">
        <f>EXP(-LN(2)/2)*EC170+(1-EXP(-LN(2)/2))/(LN(2)/2)*DW171*DZ171*VLOOKUP('Données projet'!$B$14,Paramètres!$A$1:$I$89,3,0)*0.475*44/12</f>
        <v>2.9623043798395602E-20</v>
      </c>
      <c r="ED171" s="24">
        <f t="shared" si="178"/>
        <v>0.64362813816505549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1.05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3.85</v>
      </c>
      <c r="H172" s="70">
        <f t="shared" si="110"/>
        <v>241.26666666666665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292.33332227254027</v>
      </c>
      <c r="S172" s="62">
        <f ca="1">AVERAGE(OFFSET($R$3,0,0,'Données projet'!$E$9+1,1))-AVERAGE(OFFSET($H$3,0,0,'Données projet'!$E$9+1,1))</f>
        <v>393.3487617557011</v>
      </c>
      <c r="T172" s="62">
        <f t="shared" si="142"/>
        <v>360.09400083977084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0.3379270411816781</v>
      </c>
      <c r="AA172" s="23">
        <f>EXP(-LN(2)/25)*AA171+(1-EXP(-LN(2)/25))/(LN(2)/25)*Calculateur!V172*Calculateur!X172*VLOOKUP('Données projet'!$B$9,Paramètres!$A$1:$I$89,3,0)*0.475*44/12</f>
        <v>0.19681957536466602</v>
      </c>
      <c r="AB172" s="23">
        <f>EXP(-LN(2)/2)*AB171+(1-EXP(-LN(2)/2))/(LN(2)/2)*V172*Y172*VLOOKUP('Données projet'!$B$9,Paramètres!$A$1:$I$89,3,0)*0.475*44/12</f>
        <v>1.7108896584403075E-20</v>
      </c>
      <c r="AC172" s="24">
        <f t="shared" si="163"/>
        <v>0.53474661654634414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-1.6671037883497774E-13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283.28499080043167</v>
      </c>
      <c r="AO172" s="62">
        <f t="shared" si="144"/>
        <v>278.56966286485783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0.12442479206289379</v>
      </c>
      <c r="AV172" s="23">
        <f>EXP(-LN(2)/25)*AV171+(1-EXP(-LN(2)/25))/(LN(2)/25)*Calculateur!AQ172*Calculateur!AS172*VLOOKUP('Données projet'!$B$10,Paramètres!$A$1:$I$89,3,0)*0.475*44/12</f>
        <v>0.18470445254542692</v>
      </c>
      <c r="AW172" s="23">
        <f>EXP(-LN(2)/2)*AW171+(1-EXP(-LN(2)/2))/(LN(2)/2)*AQ172*AT172*VLOOKUP('Données projet'!$B$10,Paramètres!$A$1:$I$89,3,0)*0.475*44/12</f>
        <v>1.5536123933516689E-20</v>
      </c>
      <c r="AX172" s="23">
        <f t="shared" si="166"/>
        <v>0.3091292446083207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-1.8089849618263545E-13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303.91914071195419</v>
      </c>
      <c r="BJ172" s="62">
        <f t="shared" si="146"/>
        <v>298.30050362688769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5.511447151925223E-2</v>
      </c>
      <c r="BR172" s="23">
        <f>EXP(-LN(2)/2)*BR171+(1-EXP(-LN(2)/2))/(LN(2)/2)*BL172*BO172*VLOOKUP('Données projet'!$B$11,Paramètres!$A$1:$I$89,3,0)*0.475*44/12</f>
        <v>3.0490290913532087E-20</v>
      </c>
      <c r="BS172" s="24">
        <f t="shared" si="169"/>
        <v>5.511447151925223E-2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446.15737983598251</v>
      </c>
      <c r="CE172" s="62">
        <f t="shared" si="148"/>
        <v>282.2299715529382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4.4337866711430253E-14</v>
      </c>
      <c r="CV172" s="14">
        <f t="shared" si="173"/>
        <v>7.3222115536967035E-13</v>
      </c>
      <c r="CW172" s="22">
        <f t="shared" si="174"/>
        <v>1.3525069634579169E-12</v>
      </c>
      <c r="CX172" s="62">
        <f t="shared" si="122"/>
        <v>292.33332227253976</v>
      </c>
      <c r="CY172" s="62">
        <f ca="1">AVERAGE(OFFSET($CX$3,0,0,'Données projet'!$E$13+1,1))-AVERAGE(OFFSET($H$3,0,0,'Données projet'!$E$13+1,1))</f>
        <v>293.03320024876842</v>
      </c>
      <c r="CZ172" s="62">
        <f t="shared" si="150"/>
        <v>287.49994652707915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4.9111281227649607E-21</v>
      </c>
      <c r="DI172" s="24">
        <f t="shared" si="175"/>
        <v>4.9111281227649607E-21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-1.7053025658242404E-13</v>
      </c>
      <c r="DP172" s="18">
        <f>DO172*VLOOKUP('Données projet'!$B$14,Paramètres!$A$1:$I$89,3,0)*VLOOKUP('Données projet'!$B$14,Paramètres!$A$1:$I$89,5,0)</f>
        <v>-9.3109520094003535E-14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253.0312006976271</v>
      </c>
      <c r="DU172" s="62">
        <f t="shared" si="152"/>
        <v>365.93937083714866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0.42583111964158954</v>
      </c>
      <c r="EB172" s="23">
        <f>EXP(-LN(2)/25)*EB171+(1-EXP(-LN(2)/25))/(LN(2)/25)*Calculateur!DW172*Calculateur!DY172*VLOOKUP('Données projet'!$B$14,Paramètres!$A$1:$I$89,3,0)*0.475*44/12</f>
        <v>0.20355694609193603</v>
      </c>
      <c r="EC172" s="23">
        <f>EXP(-LN(2)/2)*EC171+(1-EXP(-LN(2)/2))/(LN(2)/2)*DW172*DZ172*VLOOKUP('Données projet'!$B$14,Paramètres!$A$1:$I$89,3,0)*0.475*44/12</f>
        <v>2.0946655149231633E-20</v>
      </c>
      <c r="ED172" s="24">
        <f t="shared" si="178"/>
        <v>0.62938806573352557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1.05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3.85</v>
      </c>
      <c r="H173" s="70">
        <f t="shared" si="110"/>
        <v>241.26666666666665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292.35067022875523</v>
      </c>
      <c r="S173" s="62">
        <f ca="1">AVERAGE(OFFSET($R$3,0,0,'Données projet'!$E$9+1,1))-AVERAGE(OFFSET($H$3,0,0,'Données projet'!$E$9+1,1))</f>
        <v>393.3487617557011</v>
      </c>
      <c r="T173" s="62">
        <f t="shared" si="142"/>
        <v>360.09400083977084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0.33130049801924832</v>
      </c>
      <c r="AA173" s="23">
        <f>EXP(-LN(2)/25)*AA172+(1-EXP(-LN(2)/25))/(LN(2)/25)*Calculateur!V173*Calculateur!X173*VLOOKUP('Données projet'!$B$9,Paramètres!$A$1:$I$89,3,0)*0.475*44/12</f>
        <v>0.19143753372602759</v>
      </c>
      <c r="AB173" s="23">
        <f>EXP(-LN(2)/2)*AB172+(1-EXP(-LN(2)/2))/(LN(2)/2)*V173*Y173*VLOOKUP('Données projet'!$B$9,Paramètres!$A$1:$I$89,3,0)*0.475*44/12</f>
        <v>1.2097816793450776E-20</v>
      </c>
      <c r="AC173" s="24">
        <f t="shared" si="163"/>
        <v>0.52273803174527589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-1.6671037883497774E-13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283.28499080043167</v>
      </c>
      <c r="AO173" s="62">
        <f t="shared" si="144"/>
        <v>278.56966286485783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0.12198489778216993</v>
      </c>
      <c r="AV173" s="23">
        <f>EXP(-LN(2)/25)*AV172+(1-EXP(-LN(2)/25))/(LN(2)/25)*Calculateur!AQ173*Calculateur!AS173*VLOOKUP('Données projet'!$B$10,Paramètres!$A$1:$I$89,3,0)*0.475*44/12</f>
        <v>0.17965369957738719</v>
      </c>
      <c r="AW173" s="23">
        <f>EXP(-LN(2)/2)*AW172+(1-EXP(-LN(2)/2))/(LN(2)/2)*AQ173*AT173*VLOOKUP('Données projet'!$B$10,Paramètres!$A$1:$I$89,3,0)*0.475*44/12</f>
        <v>1.0985698586744269E-20</v>
      </c>
      <c r="AX173" s="23">
        <f t="shared" si="166"/>
        <v>0.30163859735955711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-1.8089849618263545E-13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303.91914071195419</v>
      </c>
      <c r="BJ173" s="62">
        <f t="shared" si="146"/>
        <v>298.30050362688769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5.3607363397214183E-2</v>
      </c>
      <c r="BR173" s="23">
        <f>EXP(-LN(2)/2)*BR172+(1-EXP(-LN(2)/2))/(LN(2)/2)*BL173*BO173*VLOOKUP('Données projet'!$B$11,Paramètres!$A$1:$I$89,3,0)*0.475*44/12</f>
        <v>2.1559891465309112E-20</v>
      </c>
      <c r="BS173" s="24">
        <f t="shared" si="169"/>
        <v>5.3607363397214183E-2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446.15737983598251</v>
      </c>
      <c r="CE173" s="62">
        <f t="shared" si="148"/>
        <v>282.2299715529382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4.4337866711430253E-14</v>
      </c>
      <c r="CV173" s="14">
        <f t="shared" si="173"/>
        <v>7.3222115536967035E-13</v>
      </c>
      <c r="CW173" s="22">
        <f t="shared" si="174"/>
        <v>1.3525069634579169E-12</v>
      </c>
      <c r="CX173" s="62">
        <f t="shared" si="122"/>
        <v>292.35067022875472</v>
      </c>
      <c r="CY173" s="62">
        <f ca="1">AVERAGE(OFFSET($CX$3,0,0,'Données projet'!$E$13+1,1))-AVERAGE(OFFSET($H$3,0,0,'Données projet'!$E$13+1,1))</f>
        <v>293.03320024876842</v>
      </c>
      <c r="CZ173" s="62">
        <f t="shared" si="150"/>
        <v>287.49994652707915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3.4726919988830629E-21</v>
      </c>
      <c r="DI173" s="24">
        <f t="shared" si="175"/>
        <v>3.4726919988830629E-21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-1.7053025658242404E-13</v>
      </c>
      <c r="DP173" s="18">
        <f>DO173*VLOOKUP('Données projet'!$B$14,Paramètres!$A$1:$I$89,3,0)*VLOOKUP('Données projet'!$B$14,Paramètres!$A$1:$I$89,5,0)</f>
        <v>-9.3109520094003535E-14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253.0312006976271</v>
      </c>
      <c r="DU173" s="62">
        <f t="shared" si="152"/>
        <v>365.93937083714866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0.4174808311167546</v>
      </c>
      <c r="EB173" s="23">
        <f>EXP(-LN(2)/25)*EB172+(1-EXP(-LN(2)/25))/(LN(2)/25)*Calculateur!DW173*Calculateur!DY173*VLOOKUP('Données projet'!$B$14,Paramètres!$A$1:$I$89,3,0)*0.475*44/12</f>
        <v>0.19799067069645748</v>
      </c>
      <c r="EC173" s="23">
        <f>EXP(-LN(2)/2)*EC172+(1-EXP(-LN(2)/2))/(LN(2)/2)*DW173*DZ173*VLOOKUP('Données projet'!$B$14,Paramètres!$A$1:$I$89,3,0)*0.475*44/12</f>
        <v>1.4811521899197801E-20</v>
      </c>
      <c r="ED173" s="24">
        <f t="shared" si="178"/>
        <v>0.61547150181321209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1.05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3.85</v>
      </c>
      <c r="H174" s="70">
        <f t="shared" si="110"/>
        <v>241.26666666666665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292.3677172367141</v>
      </c>
      <c r="S174" s="62">
        <f ca="1">AVERAGE(OFFSET($R$3,0,0,'Données projet'!$E$9+1,1))-AVERAGE(OFFSET($H$3,0,0,'Données projet'!$E$9+1,1))</f>
        <v>393.3487617557011</v>
      </c>
      <c r="T174" s="62">
        <f t="shared" si="142"/>
        <v>360.09400083977084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0.32480389732644155</v>
      </c>
      <c r="AA174" s="23">
        <f>EXP(-LN(2)/25)*AA173+(1-EXP(-LN(2)/25))/(LN(2)/25)*Calculateur!V174*Calculateur!X174*VLOOKUP('Données projet'!$B$9,Paramètres!$A$1:$I$89,3,0)*0.475*44/12</f>
        <v>0.18620266429902702</v>
      </c>
      <c r="AB174" s="23">
        <f>EXP(-LN(2)/2)*AB173+(1-EXP(-LN(2)/2))/(LN(2)/2)*V174*Y174*VLOOKUP('Données projet'!$B$9,Paramètres!$A$1:$I$89,3,0)*0.475*44/12</f>
        <v>8.5544482922015374E-21</v>
      </c>
      <c r="AC174" s="24">
        <f t="shared" si="163"/>
        <v>0.51100656162546854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-1.6671037883497774E-13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283.28499080043167</v>
      </c>
      <c r="AO174" s="62">
        <f t="shared" si="144"/>
        <v>278.56966286485783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0.1195928483401025</v>
      </c>
      <c r="AV174" s="23">
        <f>EXP(-LN(2)/25)*AV173+(1-EXP(-LN(2)/25))/(LN(2)/25)*Calculateur!AQ174*Calculateur!AS174*VLOOKUP('Données projet'!$B$10,Paramètres!$A$1:$I$89,3,0)*0.475*44/12</f>
        <v>0.17474105971486609</v>
      </c>
      <c r="AW174" s="23">
        <f>EXP(-LN(2)/2)*AW173+(1-EXP(-LN(2)/2))/(LN(2)/2)*AQ174*AT174*VLOOKUP('Données projet'!$B$10,Paramètres!$A$1:$I$89,3,0)*0.475*44/12</f>
        <v>7.7680619667583445E-21</v>
      </c>
      <c r="AX174" s="23">
        <f t="shared" si="166"/>
        <v>0.29433390805496862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-1.8089849618263545E-13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303.91914071195419</v>
      </c>
      <c r="BJ174" s="62">
        <f t="shared" si="146"/>
        <v>298.30050362688769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5.2141467226028644E-2</v>
      </c>
      <c r="BR174" s="23">
        <f>EXP(-LN(2)/2)*BR173+(1-EXP(-LN(2)/2))/(LN(2)/2)*BL174*BO174*VLOOKUP('Données projet'!$B$11,Paramètres!$A$1:$I$89,3,0)*0.475*44/12</f>
        <v>1.5245145456766044E-20</v>
      </c>
      <c r="BS174" s="24">
        <f t="shared" si="169"/>
        <v>5.2141467226028644E-2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446.15737983598251</v>
      </c>
      <c r="CE174" s="62">
        <f t="shared" si="148"/>
        <v>282.2299715529382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4.4337866711430253E-14</v>
      </c>
      <c r="CV174" s="14">
        <f t="shared" si="173"/>
        <v>7.3222115536967035E-13</v>
      </c>
      <c r="CW174" s="22">
        <f t="shared" si="174"/>
        <v>1.3525069634579169E-12</v>
      </c>
      <c r="CX174" s="62">
        <f t="shared" si="122"/>
        <v>292.36771723671359</v>
      </c>
      <c r="CY174" s="62">
        <f ca="1">AVERAGE(OFFSET($CX$3,0,0,'Données projet'!$E$13+1,1))-AVERAGE(OFFSET($H$3,0,0,'Données projet'!$E$13+1,1))</f>
        <v>293.03320024876842</v>
      </c>
      <c r="CZ174" s="62">
        <f t="shared" si="150"/>
        <v>287.49994652707915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2.4555640613824804E-21</v>
      </c>
      <c r="DI174" s="24">
        <f t="shared" si="175"/>
        <v>2.4555640613824804E-21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-1.7053025658242404E-13</v>
      </c>
      <c r="DP174" s="18">
        <f>DO174*VLOOKUP('Données projet'!$B$14,Paramètres!$A$1:$I$89,3,0)*VLOOKUP('Données projet'!$B$14,Paramètres!$A$1:$I$89,5,0)</f>
        <v>-9.3109520094003535E-14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253.0312006976271</v>
      </c>
      <c r="DU174" s="62">
        <f t="shared" si="152"/>
        <v>365.93937083714866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0.40929428665671858</v>
      </c>
      <c r="EB174" s="23">
        <f>EXP(-LN(2)/25)*EB173+(1-EXP(-LN(2)/25))/(LN(2)/25)*Calculateur!DW174*Calculateur!DY174*VLOOKUP('Données projet'!$B$14,Paramètres!$A$1:$I$89,3,0)*0.475*44/12</f>
        <v>0.19257660539438601</v>
      </c>
      <c r="EC174" s="23">
        <f>EXP(-LN(2)/2)*EC173+(1-EXP(-LN(2)/2))/(LN(2)/2)*DW174*DZ174*VLOOKUP('Données projet'!$B$14,Paramètres!$A$1:$I$89,3,0)*0.475*44/12</f>
        <v>1.0473327574615817E-20</v>
      </c>
      <c r="ED174" s="24">
        <f t="shared" si="178"/>
        <v>0.60187089205110456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1.05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3.85</v>
      </c>
      <c r="H175" s="70">
        <f t="shared" si="110"/>
        <v>241.26666666666665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292.3844685171963</v>
      </c>
      <c r="S175" s="62">
        <f ca="1">AVERAGE(OFFSET($R$3,0,0,'Données projet'!$E$9+1,1))-AVERAGE(OFFSET($H$3,0,0,'Données projet'!$E$9+1,1))</f>
        <v>393.3487617557011</v>
      </c>
      <c r="T175" s="62">
        <f t="shared" si="142"/>
        <v>360.09400083977084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0.31843469101068556</v>
      </c>
      <c r="AA175" s="23">
        <f>EXP(-LN(2)/25)*AA174+(1-EXP(-LN(2)/25))/(LN(2)/25)*Calculateur!V175*Calculateur!X175*VLOOKUP('Données projet'!$B$9,Paramètres!$A$1:$I$89,3,0)*0.475*44/12</f>
        <v>0.18111094265179759</v>
      </c>
      <c r="AB175" s="23">
        <f>EXP(-LN(2)/2)*AB174+(1-EXP(-LN(2)/2))/(LN(2)/2)*V175*Y175*VLOOKUP('Données projet'!$B$9,Paramètres!$A$1:$I$89,3,0)*0.475*44/12</f>
        <v>6.0489083967253878E-21</v>
      </c>
      <c r="AC175" s="24">
        <f t="shared" si="163"/>
        <v>0.49954563366248317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-1.6671037883497774E-13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283.28499080043167</v>
      </c>
      <c r="AO175" s="62">
        <f t="shared" si="144"/>
        <v>278.56966286485783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0.11724770552858792</v>
      </c>
      <c r="AV175" s="23">
        <f>EXP(-LN(2)/25)*AV174+(1-EXP(-LN(2)/25))/(LN(2)/25)*Calculateur!AQ175*Calculateur!AS175*VLOOKUP('Données projet'!$B$10,Paramètres!$A$1:$I$89,3,0)*0.475*44/12</f>
        <v>0.16996275624773011</v>
      </c>
      <c r="AW175" s="23">
        <f>EXP(-LN(2)/2)*AW174+(1-EXP(-LN(2)/2))/(LN(2)/2)*AQ175*AT175*VLOOKUP('Données projet'!$B$10,Paramètres!$A$1:$I$89,3,0)*0.475*44/12</f>
        <v>5.4928492933721347E-21</v>
      </c>
      <c r="AX175" s="23">
        <f t="shared" si="166"/>
        <v>0.28721046177631804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-1.8089849618263545E-13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303.91914071195419</v>
      </c>
      <c r="BJ175" s="62">
        <f t="shared" si="146"/>
        <v>298.30050362688769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5.0715656062732303E-2</v>
      </c>
      <c r="BR175" s="23">
        <f>EXP(-LN(2)/2)*BR174+(1-EXP(-LN(2)/2))/(LN(2)/2)*BL175*BO175*VLOOKUP('Données projet'!$B$11,Paramètres!$A$1:$I$89,3,0)*0.475*44/12</f>
        <v>1.0779945732654556E-20</v>
      </c>
      <c r="BS175" s="24">
        <f t="shared" si="169"/>
        <v>5.0715656062732303E-2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446.15737983598251</v>
      </c>
      <c r="CE175" s="62">
        <f t="shared" si="148"/>
        <v>282.2299715529382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4.4337866711430253E-14</v>
      </c>
      <c r="CV175" s="14">
        <f t="shared" si="173"/>
        <v>7.3222115536967035E-13</v>
      </c>
      <c r="CW175" s="22">
        <f t="shared" si="174"/>
        <v>1.3525069634579169E-12</v>
      </c>
      <c r="CX175" s="62">
        <f t="shared" si="122"/>
        <v>292.38446851719578</v>
      </c>
      <c r="CY175" s="62">
        <f ca="1">AVERAGE(OFFSET($CX$3,0,0,'Données projet'!$E$13+1,1))-AVERAGE(OFFSET($H$3,0,0,'Données projet'!$E$13+1,1))</f>
        <v>293.03320024876842</v>
      </c>
      <c r="CZ175" s="62">
        <f t="shared" si="150"/>
        <v>287.49994652707915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1.7363459994415314E-21</v>
      </c>
      <c r="DI175" s="24">
        <f t="shared" si="175"/>
        <v>1.7363459994415314E-21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-1.7053025658242404E-13</v>
      </c>
      <c r="DP175" s="18">
        <f>DO175*VLOOKUP('Données projet'!$B$14,Paramètres!$A$1:$I$89,3,0)*VLOOKUP('Données projet'!$B$14,Paramètres!$A$1:$I$89,5,0)</f>
        <v>-9.3109520094003535E-14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253.0312006976271</v>
      </c>
      <c r="DU175" s="62">
        <f t="shared" si="152"/>
        <v>365.93937083714866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0.40126827534024478</v>
      </c>
      <c r="EB175" s="23">
        <f>EXP(-LN(2)/25)*EB174+(1-EXP(-LN(2)/25))/(LN(2)/25)*Calculateur!DW175*Calculateur!DY175*VLOOKUP('Données projet'!$B$14,Paramètres!$A$1:$I$89,3,0)*0.475*44/12</f>
        <v>0.187310587992713</v>
      </c>
      <c r="EC175" s="23">
        <f>EXP(-LN(2)/2)*EC174+(1-EXP(-LN(2)/2))/(LN(2)/2)*DW175*DZ175*VLOOKUP('Données projet'!$B$14,Paramètres!$A$1:$I$89,3,0)*0.475*44/12</f>
        <v>7.4057609495989006E-21</v>
      </c>
      <c r="ED175" s="24">
        <f t="shared" si="178"/>
        <v>0.58857886333295784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1.05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3.85</v>
      </c>
      <c r="H176" s="70">
        <f t="shared" si="110"/>
        <v>241.26666666666665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292.40092920041241</v>
      </c>
      <c r="S176" s="62">
        <f ca="1">AVERAGE(OFFSET($R$3,0,0,'Données projet'!$E$9+1,1))-AVERAGE(OFFSET($H$3,0,0,'Données projet'!$E$9+1,1))</f>
        <v>393.3487617557011</v>
      </c>
      <c r="T176" s="62">
        <f t="shared" si="142"/>
        <v>360.09400083977084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0.31219038094594931</v>
      </c>
      <c r="AA176" s="23">
        <f>EXP(-LN(2)/25)*AA175+(1-EXP(-LN(2)/25))/(LN(2)/25)*Calculateur!V176*Calculateur!X176*VLOOKUP('Données projet'!$B$9,Paramètres!$A$1:$I$89,3,0)*0.475*44/12</f>
        <v>0.17615845440077363</v>
      </c>
      <c r="AB176" s="23">
        <f>EXP(-LN(2)/2)*AB175+(1-EXP(-LN(2)/2))/(LN(2)/2)*V176*Y176*VLOOKUP('Données projet'!$B$9,Paramètres!$A$1:$I$89,3,0)*0.475*44/12</f>
        <v>4.2772241461007687E-21</v>
      </c>
      <c r="AC176" s="24">
        <f t="shared" si="163"/>
        <v>0.48834883534672291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-1.6671037883497774E-13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283.28499080043167</v>
      </c>
      <c r="AO176" s="62">
        <f t="shared" si="144"/>
        <v>278.56966286485783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0.11494854953721126</v>
      </c>
      <c r="AV176" s="23">
        <f>EXP(-LN(2)/25)*AV175+(1-EXP(-LN(2)/25))/(LN(2)/25)*Calculateur!AQ176*Calculateur!AS176*VLOOKUP('Données projet'!$B$10,Paramètres!$A$1:$I$89,3,0)*0.475*44/12</f>
        <v>0.16531511574018304</v>
      </c>
      <c r="AW176" s="23">
        <f>EXP(-LN(2)/2)*AW175+(1-EXP(-LN(2)/2))/(LN(2)/2)*AQ176*AT176*VLOOKUP('Données projet'!$B$10,Paramètres!$A$1:$I$89,3,0)*0.475*44/12</f>
        <v>3.8840309833791722E-21</v>
      </c>
      <c r="AX176" s="23">
        <f t="shared" si="166"/>
        <v>0.28026366527739432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-1.8089849618263545E-13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303.91914071195419</v>
      </c>
      <c r="BJ176" s="62">
        <f t="shared" si="146"/>
        <v>298.30050362688769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4.932883378067645E-2</v>
      </c>
      <c r="BR176" s="23">
        <f>EXP(-LN(2)/2)*BR175+(1-EXP(-LN(2)/2))/(LN(2)/2)*BL176*BO176*VLOOKUP('Données projet'!$B$11,Paramètres!$A$1:$I$89,3,0)*0.475*44/12</f>
        <v>7.6225727283830218E-21</v>
      </c>
      <c r="BS176" s="24">
        <f t="shared" si="169"/>
        <v>4.932883378067645E-2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446.15737983598251</v>
      </c>
      <c r="CE176" s="62">
        <f t="shared" si="148"/>
        <v>282.2299715529382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4.4337866711430253E-14</v>
      </c>
      <c r="CV176" s="14">
        <f t="shared" si="173"/>
        <v>7.3222115536967035E-13</v>
      </c>
      <c r="CW176" s="22">
        <f t="shared" si="174"/>
        <v>1.3525069634579169E-12</v>
      </c>
      <c r="CX176" s="62">
        <f t="shared" si="122"/>
        <v>292.40092920041189</v>
      </c>
      <c r="CY176" s="62">
        <f ca="1">AVERAGE(OFFSET($CX$3,0,0,'Données projet'!$E$13+1,1))-AVERAGE(OFFSET($H$3,0,0,'Données projet'!$E$13+1,1))</f>
        <v>293.03320024876842</v>
      </c>
      <c r="CZ176" s="62">
        <f t="shared" si="150"/>
        <v>287.49994652707915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1.2277820306912402E-21</v>
      </c>
      <c r="DI176" s="24">
        <f t="shared" si="175"/>
        <v>1.2277820306912402E-21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-1.7053025658242404E-13</v>
      </c>
      <c r="DP176" s="18">
        <f>DO176*VLOOKUP('Données projet'!$B$14,Paramètres!$A$1:$I$89,3,0)*VLOOKUP('Données projet'!$B$14,Paramètres!$A$1:$I$89,5,0)</f>
        <v>-9.3109520094003535E-14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253.0312006976271</v>
      </c>
      <c r="DU176" s="62">
        <f t="shared" si="152"/>
        <v>365.93937083714866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0.39339964921030351</v>
      </c>
      <c r="EB176" s="23">
        <f>EXP(-LN(2)/25)*EB175+(1-EXP(-LN(2)/25))/(LN(2)/25)*Calculateur!DW176*Calculateur!DY176*VLOOKUP('Données projet'!$B$14,Paramètres!$A$1:$I$89,3,0)*0.475*44/12</f>
        <v>0.18218857011381653</v>
      </c>
      <c r="EC176" s="23">
        <f>EXP(-LN(2)/2)*EC175+(1-EXP(-LN(2)/2))/(LN(2)/2)*DW176*DZ176*VLOOKUP('Données projet'!$B$14,Paramètres!$A$1:$I$89,3,0)*0.475*44/12</f>
        <v>5.2366637873079084E-21</v>
      </c>
      <c r="ED176" s="24">
        <f t="shared" si="178"/>
        <v>0.57558821932412008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1.05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3.85</v>
      </c>
      <c r="H177" s="70">
        <f t="shared" si="110"/>
        <v>241.26666666666665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292.41710432757532</v>
      </c>
      <c r="S177" s="62">
        <f ca="1">AVERAGE(OFFSET($R$3,0,0,'Données projet'!$E$9+1,1))-AVERAGE(OFFSET($H$3,0,0,'Données projet'!$E$9+1,1))</f>
        <v>393.3487617557011</v>
      </c>
      <c r="T177" s="62">
        <f t="shared" si="142"/>
        <v>360.09400083977084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0.30606851799292945</v>
      </c>
      <c r="AA177" s="23">
        <f>EXP(-LN(2)/25)*AA176+(1-EXP(-LN(2)/25))/(LN(2)/25)*Calculateur!V177*Calculateur!X177*VLOOKUP('Données projet'!$B$9,Paramètres!$A$1:$I$89,3,0)*0.475*44/12</f>
        <v>0.17134139220141398</v>
      </c>
      <c r="AB177" s="23">
        <f>EXP(-LN(2)/2)*AB176+(1-EXP(-LN(2)/2))/(LN(2)/2)*V177*Y177*VLOOKUP('Données projet'!$B$9,Paramètres!$A$1:$I$89,3,0)*0.475*44/12</f>
        <v>3.0244541983626939E-21</v>
      </c>
      <c r="AC177" s="24">
        <f t="shared" si="163"/>
        <v>0.47740991019434342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-1.6671037883497774E-13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283.28499080043167</v>
      </c>
      <c r="AO177" s="62">
        <f t="shared" si="144"/>
        <v>278.56966286485783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0.1126944785924788</v>
      </c>
      <c r="AV177" s="23">
        <f>EXP(-LN(2)/25)*AV176+(1-EXP(-LN(2)/25))/(LN(2)/25)*Calculateur!AQ177*Calculateur!AS177*VLOOKUP('Données projet'!$B$10,Paramètres!$A$1:$I$89,3,0)*0.475*44/12</f>
        <v>0.16079456520672364</v>
      </c>
      <c r="AW177" s="23">
        <f>EXP(-LN(2)/2)*AW176+(1-EXP(-LN(2)/2))/(LN(2)/2)*AQ177*AT177*VLOOKUP('Données projet'!$B$10,Paramètres!$A$1:$I$89,3,0)*0.475*44/12</f>
        <v>2.7464246466860674E-21</v>
      </c>
      <c r="AX177" s="23">
        <f t="shared" si="166"/>
        <v>0.27348904379920247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-1.8089849618263545E-13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303.91914071195419</v>
      </c>
      <c r="BJ177" s="62">
        <f t="shared" si="146"/>
        <v>298.30050362688769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4.7979934226853226E-2</v>
      </c>
      <c r="BR177" s="23">
        <f>EXP(-LN(2)/2)*BR176+(1-EXP(-LN(2)/2))/(LN(2)/2)*BL177*BO177*VLOOKUP('Données projet'!$B$11,Paramètres!$A$1:$I$89,3,0)*0.475*44/12</f>
        <v>5.389972866327278E-21</v>
      </c>
      <c r="BS177" s="24">
        <f t="shared" si="169"/>
        <v>4.7979934226853226E-2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446.15737983598251</v>
      </c>
      <c r="CE177" s="62">
        <f t="shared" si="148"/>
        <v>282.2299715529382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4.4337866711430253E-14</v>
      </c>
      <c r="CV177" s="14">
        <f t="shared" si="173"/>
        <v>7.3222115536967035E-13</v>
      </c>
      <c r="CW177" s="22">
        <f t="shared" si="174"/>
        <v>1.3525069634579169E-12</v>
      </c>
      <c r="CX177" s="62">
        <f t="shared" si="122"/>
        <v>292.4171043275748</v>
      </c>
      <c r="CY177" s="62">
        <f ca="1">AVERAGE(OFFSET($CX$3,0,0,'Données projet'!$E$13+1,1))-AVERAGE(OFFSET($H$3,0,0,'Données projet'!$E$13+1,1))</f>
        <v>293.03320024876842</v>
      </c>
      <c r="CZ177" s="62">
        <f t="shared" si="150"/>
        <v>287.49994652707915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8.6817299972076572E-22</v>
      </c>
      <c r="DI177" s="24">
        <f t="shared" si="175"/>
        <v>8.6817299972076572E-22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-1.7053025658242404E-13</v>
      </c>
      <c r="DP177" s="18">
        <f>DO177*VLOOKUP('Données projet'!$B$14,Paramètres!$A$1:$I$89,3,0)*VLOOKUP('Données projet'!$B$14,Paramètres!$A$1:$I$89,5,0)</f>
        <v>-9.3109520094003535E-14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253.0312006976271</v>
      </c>
      <c r="DU177" s="62">
        <f t="shared" si="152"/>
        <v>365.93937083714866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0.38568532203938238</v>
      </c>
      <c r="EB177" s="23">
        <f>EXP(-LN(2)/25)*EB176+(1-EXP(-LN(2)/25))/(LN(2)/25)*Calculateur!DW177*Calculateur!DY177*VLOOKUP('Données projet'!$B$14,Paramètres!$A$1:$I$89,3,0)*0.475*44/12</f>
        <v>0.1772066140831737</v>
      </c>
      <c r="EC177" s="23">
        <f>EXP(-LN(2)/2)*EC176+(1-EXP(-LN(2)/2))/(LN(2)/2)*DW177*DZ177*VLOOKUP('Données projet'!$B$14,Paramètres!$A$1:$I$89,3,0)*0.475*44/12</f>
        <v>3.7028804747994503E-21</v>
      </c>
      <c r="ED177" s="24">
        <f t="shared" si="178"/>
        <v>0.56289193612255606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1.05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3.85</v>
      </c>
      <c r="H178" s="70">
        <f t="shared" si="110"/>
        <v>241.26666666666665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292.43299885244403</v>
      </c>
      <c r="S178" s="62">
        <f ca="1">AVERAGE(OFFSET($R$3,0,0,'Données projet'!$E$9+1,1))-AVERAGE(OFFSET($H$3,0,0,'Données projet'!$E$9+1,1))</f>
        <v>393.3487617557011</v>
      </c>
      <c r="T178" s="62">
        <f t="shared" si="142"/>
        <v>360.09400083977084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0.30006670103845062</v>
      </c>
      <c r="AA178" s="23">
        <f>EXP(-LN(2)/25)*AA177+(1-EXP(-LN(2)/25))/(LN(2)/25)*Calculateur!V178*Calculateur!X178*VLOOKUP('Données projet'!$B$9,Paramètres!$A$1:$I$89,3,0)*0.475*44/12</f>
        <v>0.1666560528212141</v>
      </c>
      <c r="AB178" s="23">
        <f>EXP(-LN(2)/2)*AB177+(1-EXP(-LN(2)/2))/(LN(2)/2)*V178*Y178*VLOOKUP('Données projet'!$B$9,Paramètres!$A$1:$I$89,3,0)*0.475*44/12</f>
        <v>2.1386120730503844E-21</v>
      </c>
      <c r="AC178" s="24">
        <f t="shared" si="163"/>
        <v>0.46672275385966472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-1.6671037883497774E-13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283.28499080043167</v>
      </c>
      <c r="AO178" s="62">
        <f t="shared" si="144"/>
        <v>278.56966286485783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0.11048460860412504</v>
      </c>
      <c r="AV178" s="23">
        <f>EXP(-LN(2)/25)*AV177+(1-EXP(-LN(2)/25))/(LN(2)/25)*Calculateur!AQ178*Calculateur!AS178*VLOOKUP('Données projet'!$B$10,Paramètres!$A$1:$I$89,3,0)*0.475*44/12</f>
        <v>0.15639762936532708</v>
      </c>
      <c r="AW178" s="23">
        <f>EXP(-LN(2)/2)*AW177+(1-EXP(-LN(2)/2))/(LN(2)/2)*AQ178*AT178*VLOOKUP('Données projet'!$B$10,Paramètres!$A$1:$I$89,3,0)*0.475*44/12</f>
        <v>1.9420154916895861E-21</v>
      </c>
      <c r="AX178" s="23">
        <f t="shared" si="166"/>
        <v>0.2668822379694521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-1.8089849618263545E-13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303.91914071195419</v>
      </c>
      <c r="BJ178" s="62">
        <f t="shared" si="146"/>
        <v>298.30050362688769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4.6667920402264841E-2</v>
      </c>
      <c r="BR178" s="23">
        <f>EXP(-LN(2)/2)*BR177+(1-EXP(-LN(2)/2))/(LN(2)/2)*BL178*BO178*VLOOKUP('Données projet'!$B$11,Paramètres!$A$1:$I$89,3,0)*0.475*44/12</f>
        <v>3.8112863641915109E-21</v>
      </c>
      <c r="BS178" s="24">
        <f t="shared" si="169"/>
        <v>4.6667920402264841E-2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446.15737983598251</v>
      </c>
      <c r="CE178" s="62">
        <f t="shared" si="148"/>
        <v>282.2299715529382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4.4337866711430253E-14</v>
      </c>
      <c r="CV178" s="14">
        <f t="shared" si="173"/>
        <v>7.3222115536967035E-13</v>
      </c>
      <c r="CW178" s="22">
        <f t="shared" si="174"/>
        <v>1.3525069634579169E-12</v>
      </c>
      <c r="CX178" s="62">
        <f t="shared" si="122"/>
        <v>292.43299885244352</v>
      </c>
      <c r="CY178" s="62">
        <f ca="1">AVERAGE(OFFSET($CX$3,0,0,'Données projet'!$E$13+1,1))-AVERAGE(OFFSET($H$3,0,0,'Données projet'!$E$13+1,1))</f>
        <v>293.03320024876842</v>
      </c>
      <c r="CZ178" s="62">
        <f t="shared" si="150"/>
        <v>287.49994652707915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6.1389101534562009E-22</v>
      </c>
      <c r="DI178" s="24">
        <f t="shared" si="175"/>
        <v>6.1389101534562009E-22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-1.7053025658242404E-13</v>
      </c>
      <c r="DP178" s="18">
        <f>DO178*VLOOKUP('Données projet'!$B$14,Paramètres!$A$1:$I$89,3,0)*VLOOKUP('Données projet'!$B$14,Paramètres!$A$1:$I$89,5,0)</f>
        <v>-9.3109520094003535E-14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253.0312006976271</v>
      </c>
      <c r="DU178" s="62">
        <f t="shared" si="152"/>
        <v>365.93937083714866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0.37812226811900806</v>
      </c>
      <c r="EB178" s="23">
        <f>EXP(-LN(2)/25)*EB177+(1-EXP(-LN(2)/25))/(LN(2)/25)*Calculateur!DW178*Calculateur!DY178*VLOOKUP('Données projet'!$B$14,Paramètres!$A$1:$I$89,3,0)*0.475*44/12</f>
        <v>0.17236088990217849</v>
      </c>
      <c r="EC178" s="23">
        <f>EXP(-LN(2)/2)*EC177+(1-EXP(-LN(2)/2))/(LN(2)/2)*DW178*DZ178*VLOOKUP('Données projet'!$B$14,Paramètres!$A$1:$I$89,3,0)*0.475*44/12</f>
        <v>2.6183318936539542E-21</v>
      </c>
      <c r="ED178" s="24">
        <f t="shared" si="178"/>
        <v>0.55048315802118652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1.05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3.85</v>
      </c>
      <c r="H179" s="70">
        <f t="shared" si="110"/>
        <v>241.26666666666665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292.4486176428411</v>
      </c>
      <c r="S179" s="62">
        <f ca="1">AVERAGE(OFFSET($R$3,0,0,'Données projet'!$E$9+1,1))-AVERAGE(OFFSET($H$3,0,0,'Données projet'!$E$9+1,1))</f>
        <v>393.3487617557011</v>
      </c>
      <c r="T179" s="62">
        <f t="shared" si="142"/>
        <v>360.09400083977084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0.29418257605370224</v>
      </c>
      <c r="AA179" s="23">
        <f>EXP(-LN(2)/25)*AA178+(1-EXP(-LN(2)/25))/(LN(2)/25)*Calculateur!V179*Calculateur!X179*VLOOKUP('Données projet'!$B$9,Paramètres!$A$1:$I$89,3,0)*0.475*44/12</f>
        <v>0.16209883429275707</v>
      </c>
      <c r="AB179" s="23">
        <f>EXP(-LN(2)/2)*AB178+(1-EXP(-LN(2)/2))/(LN(2)/2)*V179*Y179*VLOOKUP('Données projet'!$B$9,Paramètres!$A$1:$I$89,3,0)*0.475*44/12</f>
        <v>1.5122270991813469E-21</v>
      </c>
      <c r="AC179" s="24">
        <f t="shared" si="163"/>
        <v>0.4562814103464593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-1.6671037883497774E-13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283.28499080043167</v>
      </c>
      <c r="AO179" s="62">
        <f t="shared" si="144"/>
        <v>278.56966286485783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0.10831807281835529</v>
      </c>
      <c r="AV179" s="23">
        <f>EXP(-LN(2)/25)*AV178+(1-EXP(-LN(2)/25))/(LN(2)/25)*Calculateur!AQ179*Calculateur!AS179*VLOOKUP('Données projet'!$B$10,Paramètres!$A$1:$I$89,3,0)*0.475*44/12</f>
        <v>0.15212092796573834</v>
      </c>
      <c r="AW179" s="23">
        <f>EXP(-LN(2)/2)*AW178+(1-EXP(-LN(2)/2))/(LN(2)/2)*AQ179*AT179*VLOOKUP('Données projet'!$B$10,Paramètres!$A$1:$I$89,3,0)*0.475*44/12</f>
        <v>1.3732123233430337E-21</v>
      </c>
      <c r="AX179" s="23">
        <f t="shared" si="166"/>
        <v>0.26043900078409365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-1.8089849618263545E-13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303.91914071195419</v>
      </c>
      <c r="BJ179" s="62">
        <f t="shared" si="146"/>
        <v>298.30050362688769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4.5391783664705636E-2</v>
      </c>
      <c r="BR179" s="23">
        <f>EXP(-LN(2)/2)*BR178+(1-EXP(-LN(2)/2))/(LN(2)/2)*BL179*BO179*VLOOKUP('Données projet'!$B$11,Paramètres!$A$1:$I$89,3,0)*0.475*44/12</f>
        <v>2.694986433163639E-21</v>
      </c>
      <c r="BS179" s="24">
        <f t="shared" si="169"/>
        <v>4.5391783664705636E-2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446.15737983598251</v>
      </c>
      <c r="CE179" s="62">
        <f t="shared" si="148"/>
        <v>282.2299715529382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4.4337866711430253E-14</v>
      </c>
      <c r="CV179" s="14">
        <f t="shared" si="173"/>
        <v>7.3222115536967035E-13</v>
      </c>
      <c r="CW179" s="22">
        <f t="shared" si="174"/>
        <v>1.3525069634579169E-12</v>
      </c>
      <c r="CX179" s="62">
        <f t="shared" si="122"/>
        <v>292.44861764284059</v>
      </c>
      <c r="CY179" s="62">
        <f ca="1">AVERAGE(OFFSET($CX$3,0,0,'Données projet'!$E$13+1,1))-AVERAGE(OFFSET($H$3,0,0,'Données projet'!$E$13+1,1))</f>
        <v>293.03320024876842</v>
      </c>
      <c r="CZ179" s="62">
        <f t="shared" si="150"/>
        <v>287.49994652707915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4.3408649986038286E-22</v>
      </c>
      <c r="DI179" s="24">
        <f t="shared" si="175"/>
        <v>4.3408649986038286E-22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-1.7053025658242404E-13</v>
      </c>
      <c r="DP179" s="18">
        <f>DO179*VLOOKUP('Données projet'!$B$14,Paramètres!$A$1:$I$89,3,0)*VLOOKUP('Données projet'!$B$14,Paramètres!$A$1:$I$89,5,0)</f>
        <v>-9.3109520094003535E-14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253.0312006976271</v>
      </c>
      <c r="DU179" s="62">
        <f t="shared" si="152"/>
        <v>365.93937083714866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0.37070752107300486</v>
      </c>
      <c r="EB179" s="23">
        <f>EXP(-LN(2)/25)*EB178+(1-EXP(-LN(2)/25))/(LN(2)/25)*Calculateur!DW179*Calculateur!DY179*VLOOKUP('Données projet'!$B$14,Paramètres!$A$1:$I$89,3,0)*0.475*44/12</f>
        <v>0.16764767230373814</v>
      </c>
      <c r="EC179" s="23">
        <f>EXP(-LN(2)/2)*EC178+(1-EXP(-LN(2)/2))/(LN(2)/2)*DW179*DZ179*VLOOKUP('Données projet'!$B$14,Paramètres!$A$1:$I$89,3,0)*0.475*44/12</f>
        <v>1.8514402373997251E-21</v>
      </c>
      <c r="ED179" s="24">
        <f t="shared" si="178"/>
        <v>0.53835519337674298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1.05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3.85</v>
      </c>
      <c r="H180" s="70">
        <f t="shared" si="110"/>
        <v>241.26666666666665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292.46396548214324</v>
      </c>
      <c r="S180" s="62">
        <f ca="1">AVERAGE(OFFSET($R$3,0,0,'Données projet'!$E$9+1,1))-AVERAGE(OFFSET($H$3,0,0,'Données projet'!$E$9+1,1))</f>
        <v>393.3487617557011</v>
      </c>
      <c r="T180" s="62">
        <f t="shared" si="142"/>
        <v>360.09400083977084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0.28841383517094293</v>
      </c>
      <c r="AA180" s="23">
        <f>EXP(-LN(2)/25)*AA179+(1-EXP(-LN(2)/25))/(LN(2)/25)*Calculateur!V180*Calculateur!X180*VLOOKUP('Données projet'!$B$9,Paramètres!$A$1:$I$89,3,0)*0.475*44/12</f>
        <v>0.15766623314461442</v>
      </c>
      <c r="AB180" s="23">
        <f>EXP(-LN(2)/2)*AB179+(1-EXP(-LN(2)/2))/(LN(2)/2)*V180*Y180*VLOOKUP('Données projet'!$B$9,Paramètres!$A$1:$I$89,3,0)*0.475*44/12</f>
        <v>1.0693060365251922E-21</v>
      </c>
      <c r="AC180" s="24">
        <f t="shared" si="163"/>
        <v>0.44608006831555735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-1.6671037883497774E-13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283.28499080043167</v>
      </c>
      <c r="AO180" s="62">
        <f t="shared" si="144"/>
        <v>278.56966286485783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0.10619402147788813</v>
      </c>
      <c r="AV180" s="23">
        <f>EXP(-LN(2)/25)*AV179+(1-EXP(-LN(2)/25))/(LN(2)/25)*Calculateur!AQ180*Calculateur!AS180*VLOOKUP('Données projet'!$B$10,Paramètres!$A$1:$I$89,3,0)*0.475*44/12</f>
        <v>0.1479611731908233</v>
      </c>
      <c r="AW180" s="23">
        <f>EXP(-LN(2)/2)*AW179+(1-EXP(-LN(2)/2))/(LN(2)/2)*AQ180*AT180*VLOOKUP('Données projet'!$B$10,Paramètres!$A$1:$I$89,3,0)*0.475*44/12</f>
        <v>9.7100774584479306E-22</v>
      </c>
      <c r="AX180" s="23">
        <f t="shared" si="166"/>
        <v>0.25415519466871145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-1.8089849618263545E-13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303.91914071195419</v>
      </c>
      <c r="BJ180" s="62">
        <f t="shared" si="146"/>
        <v>298.30050362688769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4.4150542953344099E-2</v>
      </c>
      <c r="BR180" s="23">
        <f>EXP(-LN(2)/2)*BR179+(1-EXP(-LN(2)/2))/(LN(2)/2)*BL180*BO180*VLOOKUP('Données projet'!$B$11,Paramètres!$A$1:$I$89,3,0)*0.475*44/12</f>
        <v>1.9056431820957555E-21</v>
      </c>
      <c r="BS180" s="24">
        <f t="shared" si="169"/>
        <v>4.4150542953344099E-2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446.15737983598251</v>
      </c>
      <c r="CE180" s="62">
        <f t="shared" si="148"/>
        <v>282.2299715529382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4.4337866711430253E-14</v>
      </c>
      <c r="CV180" s="14">
        <f t="shared" si="173"/>
        <v>7.3222115536967035E-13</v>
      </c>
      <c r="CW180" s="22">
        <f t="shared" si="174"/>
        <v>1.3525069634579169E-12</v>
      </c>
      <c r="CX180" s="62">
        <f t="shared" si="122"/>
        <v>292.46396548214273</v>
      </c>
      <c r="CY180" s="62">
        <f ca="1">AVERAGE(OFFSET($CX$3,0,0,'Données projet'!$E$13+1,1))-AVERAGE(OFFSET($H$3,0,0,'Données projet'!$E$13+1,1))</f>
        <v>293.03320024876842</v>
      </c>
      <c r="CZ180" s="62">
        <f t="shared" si="150"/>
        <v>287.49994652707915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3.0694550767281004E-22</v>
      </c>
      <c r="DI180" s="24">
        <f t="shared" si="175"/>
        <v>3.0694550767281004E-22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-1.7053025658242404E-13</v>
      </c>
      <c r="DP180" s="18">
        <f>DO180*VLOOKUP('Données projet'!$B$14,Paramètres!$A$1:$I$89,3,0)*VLOOKUP('Données projet'!$B$14,Paramètres!$A$1:$I$89,5,0)</f>
        <v>-9.3109520094003535E-14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253.0312006976271</v>
      </c>
      <c r="DU180" s="62">
        <f t="shared" si="152"/>
        <v>365.93937083714866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0.36343817269402467</v>
      </c>
      <c r="EB180" s="23">
        <f>EXP(-LN(2)/25)*EB179+(1-EXP(-LN(2)/25))/(LN(2)/25)*Calculateur!DW180*Calculateur!DY180*VLOOKUP('Données projet'!$B$14,Paramètres!$A$1:$I$89,3,0)*0.475*44/12</f>
        <v>0.16306333788838451</v>
      </c>
      <c r="EC180" s="23">
        <f>EXP(-LN(2)/2)*EC179+(1-EXP(-LN(2)/2))/(LN(2)/2)*DW180*DZ180*VLOOKUP('Données projet'!$B$14,Paramètres!$A$1:$I$89,3,0)*0.475*44/12</f>
        <v>1.3091659468269771E-21</v>
      </c>
      <c r="ED180" s="24">
        <f t="shared" si="178"/>
        <v>0.52650151058240913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1.05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3.85</v>
      </c>
      <c r="H181" s="70">
        <f t="shared" si="110"/>
        <v>241.26666666666665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292.47904707074611</v>
      </c>
      <c r="S181" s="62">
        <f ca="1">AVERAGE(OFFSET($R$3,0,0,'Données projet'!$E$9+1,1))-AVERAGE(OFFSET($H$3,0,0,'Données projet'!$E$9+1,1))</f>
        <v>393.3487617557011</v>
      </c>
      <c r="T181" s="62">
        <f t="shared" si="142"/>
        <v>360.09400083977084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0.28275821577831001</v>
      </c>
      <c r="AA181" s="23">
        <f>EXP(-LN(2)/25)*AA180+(1-EXP(-LN(2)/25))/(LN(2)/25)*Calculateur!V181*Calculateur!X181*VLOOKUP('Données projet'!$B$9,Paramètres!$A$1:$I$89,3,0)*0.475*44/12</f>
        <v>0.15335484170796809</v>
      </c>
      <c r="AB181" s="23">
        <f>EXP(-LN(2)/2)*AB180+(1-EXP(-LN(2)/2))/(LN(2)/2)*V181*Y181*VLOOKUP('Données projet'!$B$9,Paramètres!$A$1:$I$89,3,0)*0.475*44/12</f>
        <v>7.5611354959067347E-22</v>
      </c>
      <c r="AC181" s="24">
        <f t="shared" si="163"/>
        <v>0.4361130574862781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-1.6671037883497774E-13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283.28499080043167</v>
      </c>
      <c r="AO181" s="62">
        <f t="shared" si="144"/>
        <v>278.56966286485783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0.10411162148866415</v>
      </c>
      <c r="AV181" s="23">
        <f>EXP(-LN(2)/25)*AV180+(1-EXP(-LN(2)/25))/(LN(2)/25)*Calculateur!AQ181*Calculateur!AS181*VLOOKUP('Données projet'!$B$10,Paramètres!$A$1:$I$89,3,0)*0.475*44/12</f>
        <v>0.14391516712898031</v>
      </c>
      <c r="AW181" s="23">
        <f>EXP(-LN(2)/2)*AW180+(1-EXP(-LN(2)/2))/(LN(2)/2)*AQ181*AT181*VLOOKUP('Données projet'!$B$10,Paramètres!$A$1:$I$89,3,0)*0.475*44/12</f>
        <v>6.8660616167151684E-22</v>
      </c>
      <c r="AX181" s="23">
        <f t="shared" si="166"/>
        <v>0.24802678861764446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-1.8089849618263545E-13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303.91914071195419</v>
      </c>
      <c r="BJ181" s="62">
        <f t="shared" si="146"/>
        <v>298.30050362688769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4.2943244034508755E-2</v>
      </c>
      <c r="BR181" s="23">
        <f>EXP(-LN(2)/2)*BR180+(1-EXP(-LN(2)/2))/(LN(2)/2)*BL181*BO181*VLOOKUP('Données projet'!$B$11,Paramètres!$A$1:$I$89,3,0)*0.475*44/12</f>
        <v>1.3474932165818195E-21</v>
      </c>
      <c r="BS181" s="24">
        <f t="shared" si="169"/>
        <v>4.2943244034508755E-2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446.15737983598251</v>
      </c>
      <c r="CE181" s="62">
        <f t="shared" si="148"/>
        <v>282.2299715529382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4.4337866711430253E-14</v>
      </c>
      <c r="CV181" s="14">
        <f t="shared" si="173"/>
        <v>7.3222115536967035E-13</v>
      </c>
      <c r="CW181" s="22">
        <f t="shared" si="174"/>
        <v>1.3525069634579169E-12</v>
      </c>
      <c r="CX181" s="62">
        <f t="shared" si="122"/>
        <v>292.47904707074559</v>
      </c>
      <c r="CY181" s="62">
        <f ca="1">AVERAGE(OFFSET($CX$3,0,0,'Données projet'!$E$13+1,1))-AVERAGE(OFFSET($H$3,0,0,'Données projet'!$E$13+1,1))</f>
        <v>293.03320024876842</v>
      </c>
      <c r="CZ181" s="62">
        <f t="shared" si="150"/>
        <v>287.49994652707915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2.1704324993019143E-22</v>
      </c>
      <c r="DI181" s="24">
        <f t="shared" si="175"/>
        <v>2.1704324993019143E-22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-1.7053025658242404E-13</v>
      </c>
      <c r="DP181" s="18">
        <f>DO181*VLOOKUP('Données projet'!$B$14,Paramètres!$A$1:$I$89,3,0)*VLOOKUP('Données projet'!$B$14,Paramètres!$A$1:$I$89,5,0)</f>
        <v>-9.3109520094003535E-14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253.0312006976271</v>
      </c>
      <c r="DU181" s="62">
        <f t="shared" si="152"/>
        <v>365.93937083714866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0.35631137180289157</v>
      </c>
      <c r="EB181" s="23">
        <f>EXP(-LN(2)/25)*EB180+(1-EXP(-LN(2)/25))/(LN(2)/25)*Calculateur!DW181*Calculateur!DY181*VLOOKUP('Données projet'!$B$14,Paramètres!$A$1:$I$89,3,0)*0.475*44/12</f>
        <v>0.15860436233869837</v>
      </c>
      <c r="EC181" s="23">
        <f>EXP(-LN(2)/2)*EC180+(1-EXP(-LN(2)/2))/(LN(2)/2)*DW181*DZ181*VLOOKUP('Données projet'!$B$14,Paramètres!$A$1:$I$89,3,0)*0.475*44/12</f>
        <v>9.2572011869986257E-22</v>
      </c>
      <c r="ED181" s="24">
        <f t="shared" si="178"/>
        <v>0.51491573414158998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1.05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3.85</v>
      </c>
      <c r="H182" s="70">
        <f t="shared" si="110"/>
        <v>241.26666666666665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292.493867027504</v>
      </c>
      <c r="S182" s="62">
        <f ca="1">AVERAGE(OFFSET($R$3,0,0,'Données projet'!$E$9+1,1))-AVERAGE(OFFSET($H$3,0,0,'Données projet'!$E$9+1,1))</f>
        <v>393.3487617557011</v>
      </c>
      <c r="T182" s="62">
        <f t="shared" si="142"/>
        <v>360.09400083977084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0.2772134996323794</v>
      </c>
      <c r="AA182" s="23">
        <f>EXP(-LN(2)/25)*AA181+(1-EXP(-LN(2)/25))/(LN(2)/25)*Calculateur!V182*Calculateur!X182*VLOOKUP('Données projet'!$B$9,Paramètres!$A$1:$I$89,3,0)*0.475*44/12</f>
        <v>0.14916134549688306</v>
      </c>
      <c r="AB182" s="23">
        <f>EXP(-LN(2)/2)*AB181+(1-EXP(-LN(2)/2))/(LN(2)/2)*V182*Y182*VLOOKUP('Données projet'!$B$9,Paramètres!$A$1:$I$89,3,0)*0.475*44/12</f>
        <v>5.3465301826259609E-22</v>
      </c>
      <c r="AC182" s="24">
        <f t="shared" si="163"/>
        <v>0.42637484512926249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-1.6671037883497774E-13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283.28499080043167</v>
      </c>
      <c r="AO182" s="62">
        <f t="shared" si="144"/>
        <v>278.56966286485783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0.10207005609309028</v>
      </c>
      <c r="AV182" s="23">
        <f>EXP(-LN(2)/25)*AV181+(1-EXP(-LN(2)/25))/(LN(2)/25)*Calculateur!AQ182*Calculateur!AS182*VLOOKUP('Données projet'!$B$10,Paramètres!$A$1:$I$89,3,0)*0.475*44/12</f>
        <v>0.13997979931566862</v>
      </c>
      <c r="AW182" s="23">
        <f>EXP(-LN(2)/2)*AW181+(1-EXP(-LN(2)/2))/(LN(2)/2)*AQ182*AT182*VLOOKUP('Données projet'!$B$10,Paramètres!$A$1:$I$89,3,0)*0.475*44/12</f>
        <v>4.8550387292239653E-22</v>
      </c>
      <c r="AX182" s="23">
        <f t="shared" si="166"/>
        <v>0.2420498554087589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-1.8089849618263545E-13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303.91914071195419</v>
      </c>
      <c r="BJ182" s="62">
        <f t="shared" si="146"/>
        <v>298.30050362688769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4.1768958768098059E-2</v>
      </c>
      <c r="BR182" s="23">
        <f>EXP(-LN(2)/2)*BR181+(1-EXP(-LN(2)/2))/(LN(2)/2)*BL182*BO182*VLOOKUP('Données projet'!$B$11,Paramètres!$A$1:$I$89,3,0)*0.475*44/12</f>
        <v>9.5282159104787773E-22</v>
      </c>
      <c r="BS182" s="24">
        <f t="shared" si="169"/>
        <v>4.1768958768098059E-2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446.15737983598251</v>
      </c>
      <c r="CE182" s="62">
        <f t="shared" si="148"/>
        <v>282.2299715529382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4.4337866711430253E-14</v>
      </c>
      <c r="CV182" s="14">
        <f t="shared" si="173"/>
        <v>7.3222115536967035E-13</v>
      </c>
      <c r="CW182" s="22">
        <f t="shared" si="174"/>
        <v>1.3525069634579169E-12</v>
      </c>
      <c r="CX182" s="62">
        <f t="shared" si="122"/>
        <v>292.49386702750348</v>
      </c>
      <c r="CY182" s="62">
        <f ca="1">AVERAGE(OFFSET($CX$3,0,0,'Données projet'!$E$13+1,1))-AVERAGE(OFFSET($H$3,0,0,'Données projet'!$E$13+1,1))</f>
        <v>293.03320024876842</v>
      </c>
      <c r="CZ182" s="62">
        <f t="shared" si="150"/>
        <v>287.49994652707915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1.5347275383640502E-22</v>
      </c>
      <c r="DI182" s="24">
        <f t="shared" si="175"/>
        <v>1.5347275383640502E-22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-1.7053025658242404E-13</v>
      </c>
      <c r="DP182" s="18">
        <f>DO182*VLOOKUP('Données projet'!$B$14,Paramètres!$A$1:$I$89,3,0)*VLOOKUP('Données projet'!$B$14,Paramètres!$A$1:$I$89,5,0)</f>
        <v>-9.3109520094003535E-14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253.0312006976271</v>
      </c>
      <c r="DU182" s="62">
        <f t="shared" si="152"/>
        <v>365.93937083714866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0.34932432313031425</v>
      </c>
      <c r="EB182" s="23">
        <f>EXP(-LN(2)/25)*EB181+(1-EXP(-LN(2)/25))/(LN(2)/25)*Calculateur!DW182*Calculateur!DY182*VLOOKUP('Données projet'!$B$14,Paramètres!$A$1:$I$89,3,0)*0.475*44/12</f>
        <v>0.15426731770990576</v>
      </c>
      <c r="EC182" s="23">
        <f>EXP(-LN(2)/2)*EC181+(1-EXP(-LN(2)/2))/(LN(2)/2)*DW182*DZ182*VLOOKUP('Données projet'!$B$14,Paramètres!$A$1:$I$89,3,0)*0.475*44/12</f>
        <v>6.5458297341348854E-22</v>
      </c>
      <c r="ED182" s="24">
        <f t="shared" si="178"/>
        <v>0.50359164084022001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1.05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3.85</v>
      </c>
      <c r="H183" s="70">
        <f t="shared" si="110"/>
        <v>241.26666666666665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292.50842989114471</v>
      </c>
      <c r="S183" s="62">
        <f ca="1">AVERAGE(OFFSET($R$3,0,0,'Données projet'!$E$9+1,1))-AVERAGE(OFFSET($H$3,0,0,'Données projet'!$E$9+1,1))</f>
        <v>393.3487617557011</v>
      </c>
      <c r="T183" s="62">
        <f t="shared" si="142"/>
        <v>360.09400083977084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0.27177751198812761</v>
      </c>
      <c r="AA183" s="23">
        <f>EXP(-LN(2)/25)*AA182+(1-EXP(-LN(2)/25))/(LN(2)/25)*Calculateur!V183*Calculateur!X183*VLOOKUP('Données projet'!$B$9,Paramètres!$A$1:$I$89,3,0)*0.475*44/12</f>
        <v>0.14508252066021654</v>
      </c>
      <c r="AB183" s="23">
        <f>EXP(-LN(2)/2)*AB182+(1-EXP(-LN(2)/2))/(LN(2)/2)*V183*Y183*VLOOKUP('Données projet'!$B$9,Paramètres!$A$1:$I$89,3,0)*0.475*44/12</f>
        <v>3.7805677479533674E-22</v>
      </c>
      <c r="AC183" s="24">
        <f t="shared" si="163"/>
        <v>0.41686003264834415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-1.6671037883497774E-13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283.28499080043167</v>
      </c>
      <c r="AO183" s="62">
        <f t="shared" si="144"/>
        <v>278.56966286485783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0.10006852454969167</v>
      </c>
      <c r="AV183" s="23">
        <f>EXP(-LN(2)/25)*AV182+(1-EXP(-LN(2)/25))/(LN(2)/25)*Calculateur!AQ183*Calculateur!AS183*VLOOKUP('Données projet'!$B$10,Paramètres!$A$1:$I$89,3,0)*0.475*44/12</f>
        <v>0.13615204434216394</v>
      </c>
      <c r="AW183" s="23">
        <f>EXP(-LN(2)/2)*AW182+(1-EXP(-LN(2)/2))/(LN(2)/2)*AQ183*AT183*VLOOKUP('Données projet'!$B$10,Paramètres!$A$1:$I$89,3,0)*0.475*44/12</f>
        <v>3.4330308083575842E-22</v>
      </c>
      <c r="AX183" s="23">
        <f t="shared" si="166"/>
        <v>0.23622056889185561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-1.8089849618263545E-13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303.91914071195419</v>
      </c>
      <c r="BJ183" s="62">
        <f t="shared" si="146"/>
        <v>298.30050362688769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4.062678439405034E-2</v>
      </c>
      <c r="BR183" s="23">
        <f>EXP(-LN(2)/2)*BR182+(1-EXP(-LN(2)/2))/(LN(2)/2)*BL183*BO183*VLOOKUP('Données projet'!$B$11,Paramètres!$A$1:$I$89,3,0)*0.475*44/12</f>
        <v>6.7374660829090975E-22</v>
      </c>
      <c r="BS183" s="24">
        <f t="shared" si="169"/>
        <v>4.062678439405034E-2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446.15737983598251</v>
      </c>
      <c r="CE183" s="62">
        <f t="shared" si="148"/>
        <v>282.2299715529382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4.4337866711430253E-14</v>
      </c>
      <c r="CV183" s="14">
        <f t="shared" si="173"/>
        <v>7.3222115536967035E-13</v>
      </c>
      <c r="CW183" s="22">
        <f t="shared" si="174"/>
        <v>1.3525069634579169E-12</v>
      </c>
      <c r="CX183" s="62">
        <f t="shared" si="122"/>
        <v>292.5084298911442</v>
      </c>
      <c r="CY183" s="62">
        <f ca="1">AVERAGE(OFFSET($CX$3,0,0,'Données projet'!$E$13+1,1))-AVERAGE(OFFSET($H$3,0,0,'Données projet'!$E$13+1,1))</f>
        <v>293.03320024876842</v>
      </c>
      <c r="CZ183" s="62">
        <f t="shared" si="150"/>
        <v>287.49994652707915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1.0852162496509572E-22</v>
      </c>
      <c r="DI183" s="24">
        <f t="shared" si="175"/>
        <v>1.0852162496509572E-22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-1.7053025658242404E-13</v>
      </c>
      <c r="DP183" s="18">
        <f>DO183*VLOOKUP('Données projet'!$B$14,Paramètres!$A$1:$I$89,3,0)*VLOOKUP('Données projet'!$B$14,Paramètres!$A$1:$I$89,5,0)</f>
        <v>-9.3109520094003535E-14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253.0312006976271</v>
      </c>
      <c r="DU183" s="62">
        <f t="shared" si="152"/>
        <v>365.93937083714866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0.34247428622052728</v>
      </c>
      <c r="EB183" s="23">
        <f>EXP(-LN(2)/25)*EB182+(1-EXP(-LN(2)/25))/(LN(2)/25)*Calculateur!DW183*Calculateur!DY183*VLOOKUP('Données projet'!$B$14,Paramètres!$A$1:$I$89,3,0)*0.475*44/12</f>
        <v>0.15004886979456272</v>
      </c>
      <c r="EC183" s="23">
        <f>EXP(-LN(2)/2)*EC182+(1-EXP(-LN(2)/2))/(LN(2)/2)*DW183*DZ183*VLOOKUP('Données projet'!$B$14,Paramètres!$A$1:$I$89,3,0)*0.475*44/12</f>
        <v>4.6286005934993129E-22</v>
      </c>
      <c r="ED183" s="24">
        <f t="shared" si="178"/>
        <v>0.49252315601509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1.05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3.85</v>
      </c>
      <c r="H184" s="70">
        <f t="shared" si="110"/>
        <v>241.26666666666665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292.5227401216589</v>
      </c>
      <c r="S184" s="62">
        <f ca="1">AVERAGE(OFFSET($R$3,0,0,'Données projet'!$E$9+1,1))-AVERAGE(OFFSET($H$3,0,0,'Données projet'!$E$9+1,1))</f>
        <v>393.3487617557011</v>
      </c>
      <c r="T184" s="62">
        <f t="shared" si="142"/>
        <v>360.09400083977084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0.26644812074595453</v>
      </c>
      <c r="AA184" s="23">
        <f>EXP(-LN(2)/25)*AA183+(1-EXP(-LN(2)/25))/(LN(2)/25)*Calculateur!V184*Calculateur!X184*VLOOKUP('Données projet'!$B$9,Paramètres!$A$1:$I$89,3,0)*0.475*44/12</f>
        <v>0.14111523150320474</v>
      </c>
      <c r="AB184" s="23">
        <f>EXP(-LN(2)/2)*AB183+(1-EXP(-LN(2)/2))/(LN(2)/2)*V184*Y184*VLOOKUP('Données projet'!$B$9,Paramètres!$A$1:$I$89,3,0)*0.475*44/12</f>
        <v>2.6732650913129805E-22</v>
      </c>
      <c r="AC184" s="24">
        <f t="shared" si="163"/>
        <v>0.40756335224915929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-1.6671037883497774E-13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283.28499080043167</v>
      </c>
      <c r="AO184" s="62">
        <f t="shared" si="144"/>
        <v>278.56966286485783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9.8106241819045412E-2</v>
      </c>
      <c r="AV184" s="23">
        <f>EXP(-LN(2)/25)*AV183+(1-EXP(-LN(2)/25))/(LN(2)/25)*Calculateur!AQ184*Calculateur!AS184*VLOOKUP('Données projet'!$B$10,Paramètres!$A$1:$I$89,3,0)*0.475*44/12</f>
        <v>0.13242895952970263</v>
      </c>
      <c r="AW184" s="23">
        <f>EXP(-LN(2)/2)*AW183+(1-EXP(-LN(2)/2))/(LN(2)/2)*AQ184*AT184*VLOOKUP('Données projet'!$B$10,Paramètres!$A$1:$I$89,3,0)*0.475*44/12</f>
        <v>2.4275193646119826E-22</v>
      </c>
      <c r="AX184" s="23">
        <f t="shared" si="166"/>
        <v>0.23053520134874805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-1.8089849618263545E-13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303.91914071195419</v>
      </c>
      <c r="BJ184" s="62">
        <f t="shared" si="146"/>
        <v>298.30050362688769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3.9515842838325294E-2</v>
      </c>
      <c r="BR184" s="23">
        <f>EXP(-LN(2)/2)*BR183+(1-EXP(-LN(2)/2))/(LN(2)/2)*BL184*BO184*VLOOKUP('Données projet'!$B$11,Paramètres!$A$1:$I$89,3,0)*0.475*44/12</f>
        <v>4.7641079552393886E-22</v>
      </c>
      <c r="BS184" s="24">
        <f t="shared" si="169"/>
        <v>3.9515842838325294E-2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446.15737983598251</v>
      </c>
      <c r="CE184" s="62">
        <f t="shared" si="148"/>
        <v>282.2299715529382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4.4337866711430253E-14</v>
      </c>
      <c r="CV184" s="14">
        <f t="shared" si="173"/>
        <v>7.3222115536967035E-13</v>
      </c>
      <c r="CW184" s="22">
        <f t="shared" si="174"/>
        <v>1.3525069634579169E-12</v>
      </c>
      <c r="CX184" s="62">
        <f t="shared" si="122"/>
        <v>292.52274012165839</v>
      </c>
      <c r="CY184" s="62">
        <f ca="1">AVERAGE(OFFSET($CX$3,0,0,'Données projet'!$E$13+1,1))-AVERAGE(OFFSET($H$3,0,0,'Données projet'!$E$13+1,1))</f>
        <v>293.03320024876842</v>
      </c>
      <c r="CZ184" s="62">
        <f t="shared" si="150"/>
        <v>287.49994652707915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7.6736376918202511E-23</v>
      </c>
      <c r="DI184" s="24">
        <f t="shared" si="175"/>
        <v>7.6736376918202511E-23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-1.7053025658242404E-13</v>
      </c>
      <c r="DP184" s="18">
        <f>DO184*VLOOKUP('Données projet'!$B$14,Paramètres!$A$1:$I$89,3,0)*VLOOKUP('Données projet'!$B$14,Paramètres!$A$1:$I$89,5,0)</f>
        <v>-9.3109520094003535E-14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253.0312006976271</v>
      </c>
      <c r="DU184" s="62">
        <f t="shared" si="152"/>
        <v>365.93937083714866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0.33575857435643131</v>
      </c>
      <c r="EB184" s="23">
        <f>EXP(-LN(2)/25)*EB183+(1-EXP(-LN(2)/25))/(LN(2)/25)*Calculateur!DW184*Calculateur!DY184*VLOOKUP('Données projet'!$B$14,Paramètres!$A$1:$I$89,3,0)*0.475*44/12</f>
        <v>0.14594577555930327</v>
      </c>
      <c r="EC184" s="23">
        <f>EXP(-LN(2)/2)*EC183+(1-EXP(-LN(2)/2))/(LN(2)/2)*DW184*DZ184*VLOOKUP('Données projet'!$B$14,Paramètres!$A$1:$I$89,3,0)*0.475*44/12</f>
        <v>3.2729148670674427E-22</v>
      </c>
      <c r="ED184" s="24">
        <f t="shared" si="178"/>
        <v>0.48170434991573458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1.05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3.85</v>
      </c>
      <c r="H185" s="70">
        <f t="shared" si="110"/>
        <v>241.26666666666665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292.53680210166652</v>
      </c>
      <c r="S185" s="62">
        <f ca="1">AVERAGE(OFFSET($R$3,0,0,'Données projet'!$E$9+1,1))-AVERAGE(OFFSET($H$3,0,0,'Données projet'!$E$9+1,1))</f>
        <v>393.3487617557011</v>
      </c>
      <c r="T185" s="62">
        <f t="shared" si="142"/>
        <v>360.09400083977084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0.26122323561543276</v>
      </c>
      <c r="AA185" s="23">
        <f>EXP(-LN(2)/25)*AA184+(1-EXP(-LN(2)/25))/(LN(2)/25)*Calculateur!V185*Calculateur!X185*VLOOKUP('Données projet'!$B$9,Paramètres!$A$1:$I$89,3,0)*0.475*44/12</f>
        <v>0.13725642807682209</v>
      </c>
      <c r="AB185" s="23">
        <f>EXP(-LN(2)/2)*AB184+(1-EXP(-LN(2)/2))/(LN(2)/2)*V185*Y185*VLOOKUP('Données projet'!$B$9,Paramètres!$A$1:$I$89,3,0)*0.475*44/12</f>
        <v>1.8902838739766837E-22</v>
      </c>
      <c r="AC185" s="24">
        <f t="shared" si="163"/>
        <v>0.39847966369225485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-1.6671037883497774E-13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283.28499080043167</v>
      </c>
      <c r="AO185" s="62">
        <f t="shared" si="144"/>
        <v>278.56966286485783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9.6182438255872846E-2</v>
      </c>
      <c r="AV185" s="23">
        <f>EXP(-LN(2)/25)*AV184+(1-EXP(-LN(2)/25))/(LN(2)/25)*Calculateur!AQ185*Calculateur!AS185*VLOOKUP('Données projet'!$B$10,Paramètres!$A$1:$I$89,3,0)*0.475*44/12</f>
        <v>0.12880768266722659</v>
      </c>
      <c r="AW185" s="23">
        <f>EXP(-LN(2)/2)*AW184+(1-EXP(-LN(2)/2))/(LN(2)/2)*AQ185*AT185*VLOOKUP('Données projet'!$B$10,Paramètres!$A$1:$I$89,3,0)*0.475*44/12</f>
        <v>1.7165154041787921E-22</v>
      </c>
      <c r="AX185" s="23">
        <f t="shared" si="166"/>
        <v>0.22499012092309945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-1.8089849618263545E-13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303.91914071195419</v>
      </c>
      <c r="BJ185" s="62">
        <f t="shared" si="146"/>
        <v>298.30050362688769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3.843528003786343E-2</v>
      </c>
      <c r="BR185" s="23">
        <f>EXP(-LN(2)/2)*BR184+(1-EXP(-LN(2)/2))/(LN(2)/2)*BL185*BO185*VLOOKUP('Données projet'!$B$11,Paramètres!$A$1:$I$89,3,0)*0.475*44/12</f>
        <v>3.3687330414545487E-22</v>
      </c>
      <c r="BS185" s="24">
        <f t="shared" si="169"/>
        <v>3.843528003786343E-2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446.15737983598251</v>
      </c>
      <c r="CE185" s="62">
        <f t="shared" si="148"/>
        <v>282.2299715529382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4.4337866711430253E-14</v>
      </c>
      <c r="CV185" s="14">
        <f t="shared" si="173"/>
        <v>7.3222115536967035E-13</v>
      </c>
      <c r="CW185" s="22">
        <f t="shared" si="174"/>
        <v>1.3525069634579169E-12</v>
      </c>
      <c r="CX185" s="62">
        <f t="shared" si="122"/>
        <v>292.53680210166601</v>
      </c>
      <c r="CY185" s="62">
        <f ca="1">AVERAGE(OFFSET($CX$3,0,0,'Données projet'!$E$13+1,1))-AVERAGE(OFFSET($H$3,0,0,'Données projet'!$E$13+1,1))</f>
        <v>293.03320024876842</v>
      </c>
      <c r="CZ185" s="62">
        <f t="shared" si="150"/>
        <v>287.49994652707915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5.4260812482547858E-23</v>
      </c>
      <c r="DI185" s="24">
        <f t="shared" si="175"/>
        <v>5.4260812482547858E-23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-1.7053025658242404E-13</v>
      </c>
      <c r="DP185" s="18">
        <f>DO185*VLOOKUP('Données projet'!$B$14,Paramètres!$A$1:$I$89,3,0)*VLOOKUP('Données projet'!$B$14,Paramètres!$A$1:$I$89,5,0)</f>
        <v>-9.3109520094003535E-14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253.0312006976271</v>
      </c>
      <c r="DU185" s="62">
        <f t="shared" si="152"/>
        <v>365.93937083714866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0.32917455350581049</v>
      </c>
      <c r="EB185" s="23">
        <f>EXP(-LN(2)/25)*EB184+(1-EXP(-LN(2)/25))/(LN(2)/25)*Calculateur!DW185*Calculateur!DY185*VLOOKUP('Données projet'!$B$14,Paramètres!$A$1:$I$89,3,0)*0.475*44/12</f>
        <v>0.14195488065167935</v>
      </c>
      <c r="EC185" s="23">
        <f>EXP(-LN(2)/2)*EC184+(1-EXP(-LN(2)/2))/(LN(2)/2)*DW185*DZ185*VLOOKUP('Données projet'!$B$14,Paramètres!$A$1:$I$89,3,0)*0.475*44/12</f>
        <v>2.3143002967496564E-22</v>
      </c>
      <c r="ED185" s="24">
        <f t="shared" si="178"/>
        <v>0.47112943415748987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1.05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3.85</v>
      </c>
      <c r="H186" s="70">
        <f t="shared" si="110"/>
        <v>241.26666666666665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292.55062013775893</v>
      </c>
      <c r="S186" s="62">
        <f ca="1">AVERAGE(OFFSET($R$3,0,0,'Données projet'!$E$9+1,1))-AVERAGE(OFFSET($H$3,0,0,'Données projet'!$E$9+1,1))</f>
        <v>393.3487617557011</v>
      </c>
      <c r="T186" s="62">
        <f t="shared" si="142"/>
        <v>360.09400083977084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0.25610080729545526</v>
      </c>
      <c r="AA186" s="23">
        <f>EXP(-LN(2)/25)*AA185+(1-EXP(-LN(2)/25))/(LN(2)/25)*Calculateur!V186*Calculateur!X186*VLOOKUP('Données projet'!$B$9,Paramètres!$A$1:$I$89,3,0)*0.475*44/12</f>
        <v>0.13350314383305953</v>
      </c>
      <c r="AB186" s="23">
        <f>EXP(-LN(2)/2)*AB185+(1-EXP(-LN(2)/2))/(LN(2)/2)*V186*Y186*VLOOKUP('Données projet'!$B$9,Paramètres!$A$1:$I$89,3,0)*0.475*44/12</f>
        <v>1.3366325456564902E-22</v>
      </c>
      <c r="AC186" s="24">
        <f t="shared" si="163"/>
        <v>0.38960395112851476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-1.6671037883497774E-13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283.28499080043167</v>
      </c>
      <c r="AO186" s="62">
        <f t="shared" si="144"/>
        <v>278.56966286485783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9.4296359307169772E-2</v>
      </c>
      <c r="AV186" s="23">
        <f>EXP(-LN(2)/25)*AV185+(1-EXP(-LN(2)/25))/(LN(2)/25)*Calculateur!AQ186*Calculateur!AS186*VLOOKUP('Données projet'!$B$10,Paramètres!$A$1:$I$89,3,0)*0.475*44/12</f>
        <v>0.12528542981098964</v>
      </c>
      <c r="AW186" s="23">
        <f>EXP(-LN(2)/2)*AW185+(1-EXP(-LN(2)/2))/(LN(2)/2)*AQ186*AT186*VLOOKUP('Données projet'!$B$10,Paramètres!$A$1:$I$89,3,0)*0.475*44/12</f>
        <v>1.2137596823059913E-22</v>
      </c>
      <c r="AX186" s="23">
        <f t="shared" si="166"/>
        <v>0.2195817891181594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-1.8089849618263545E-13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303.91914071195419</v>
      </c>
      <c r="BJ186" s="62">
        <f t="shared" si="146"/>
        <v>298.30050362688769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3.7384265284004521E-2</v>
      </c>
      <c r="BR186" s="23">
        <f>EXP(-LN(2)/2)*BR185+(1-EXP(-LN(2)/2))/(LN(2)/2)*BL186*BO186*VLOOKUP('Données projet'!$B$11,Paramètres!$A$1:$I$89,3,0)*0.475*44/12</f>
        <v>2.3820539776196943E-22</v>
      </c>
      <c r="BS186" s="24">
        <f t="shared" si="169"/>
        <v>3.7384265284004521E-2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446.15737983598251</v>
      </c>
      <c r="CE186" s="62">
        <f t="shared" si="148"/>
        <v>282.2299715529382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4.4337866711430253E-14</v>
      </c>
      <c r="CV186" s="14">
        <f t="shared" si="173"/>
        <v>7.3222115536967035E-13</v>
      </c>
      <c r="CW186" s="22">
        <f t="shared" si="174"/>
        <v>1.3525069634579169E-12</v>
      </c>
      <c r="CX186" s="62">
        <f t="shared" si="122"/>
        <v>292.55062013775841</v>
      </c>
      <c r="CY186" s="62">
        <f ca="1">AVERAGE(OFFSET($CX$3,0,0,'Données projet'!$E$13+1,1))-AVERAGE(OFFSET($H$3,0,0,'Données projet'!$E$13+1,1))</f>
        <v>293.03320024876842</v>
      </c>
      <c r="CZ186" s="62">
        <f t="shared" si="150"/>
        <v>287.49994652707915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3.8368188459101256E-23</v>
      </c>
      <c r="DI186" s="24">
        <f t="shared" si="175"/>
        <v>3.8368188459101256E-23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-1.7053025658242404E-13</v>
      </c>
      <c r="DP186" s="18">
        <f>DO186*VLOOKUP('Données projet'!$B$14,Paramètres!$A$1:$I$89,3,0)*VLOOKUP('Données projet'!$B$14,Paramètres!$A$1:$I$89,5,0)</f>
        <v>-9.3109520094003535E-14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253.0312006976271</v>
      </c>
      <c r="DU186" s="62">
        <f t="shared" si="152"/>
        <v>365.93937083714866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0.32271964128821412</v>
      </c>
      <c r="EB186" s="23">
        <f>EXP(-LN(2)/25)*EB185+(1-EXP(-LN(2)/25))/(LN(2)/25)*Calculateur!DW186*Calculateur!DY186*VLOOKUP('Données projet'!$B$14,Paramètres!$A$1:$I$89,3,0)*0.475*44/12</f>
        <v>0.13807311697517646</v>
      </c>
      <c r="EC186" s="23">
        <f>EXP(-LN(2)/2)*EC185+(1-EXP(-LN(2)/2))/(LN(2)/2)*DW186*DZ186*VLOOKUP('Données projet'!$B$14,Paramètres!$A$1:$I$89,3,0)*0.475*44/12</f>
        <v>1.6364574335337214E-22</v>
      </c>
      <c r="ED186" s="24">
        <f t="shared" si="178"/>
        <v>0.46079275826339061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1.05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3.85</v>
      </c>
      <c r="H187" s="70">
        <f t="shared" si="110"/>
        <v>241.26666666666665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292.56419846181763</v>
      </c>
      <c r="S187" s="62">
        <f ca="1">AVERAGE(OFFSET($R$3,0,0,'Données projet'!$E$9+1,1))-AVERAGE(OFFSET($H$3,0,0,'Données projet'!$E$9+1,1))</f>
        <v>393.3487617557011</v>
      </c>
      <c r="T187" s="62">
        <f t="shared" si="142"/>
        <v>360.09400083977084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0.25107882667045978</v>
      </c>
      <c r="AA187" s="23">
        <f>EXP(-LN(2)/25)*AA186+(1-EXP(-LN(2)/25))/(LN(2)/25)*Calculateur!V187*Calculateur!X187*VLOOKUP('Données projet'!$B$9,Paramètres!$A$1:$I$89,3,0)*0.475*44/12</f>
        <v>0.12985249334431931</v>
      </c>
      <c r="AB187" s="23">
        <f>EXP(-LN(2)/2)*AB186+(1-EXP(-LN(2)/2))/(LN(2)/2)*V187*Y187*VLOOKUP('Données projet'!$B$9,Paramètres!$A$1:$I$89,3,0)*0.475*44/12</f>
        <v>9.4514193698834184E-23</v>
      </c>
      <c r="AC187" s="24">
        <f t="shared" si="163"/>
        <v>0.38093132001477908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-1.6671037883497774E-13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283.28499080043167</v>
      </c>
      <c r="AO187" s="62">
        <f t="shared" si="144"/>
        <v>278.56966286485783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9.2447265216256208E-2</v>
      </c>
      <c r="AV187" s="23">
        <f>EXP(-LN(2)/25)*AV186+(1-EXP(-LN(2)/25))/(LN(2)/25)*Calculateur!AQ187*Calculateur!AS187*VLOOKUP('Données projet'!$B$10,Paramètres!$A$1:$I$89,3,0)*0.475*44/12</f>
        <v>0.12185949314433372</v>
      </c>
      <c r="AW187" s="23">
        <f>EXP(-LN(2)/2)*AW186+(1-EXP(-LN(2)/2))/(LN(2)/2)*AQ187*AT187*VLOOKUP('Données projet'!$B$10,Paramètres!$A$1:$I$89,3,0)*0.475*44/12</f>
        <v>8.5825770208939605E-23</v>
      </c>
      <c r="AX187" s="23">
        <f t="shared" si="166"/>
        <v>0.21430675836058993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-1.8089849618263545E-13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303.91914071195419</v>
      </c>
      <c r="BJ187" s="62">
        <f t="shared" si="146"/>
        <v>298.30050362688769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3.6361990583860346E-2</v>
      </c>
      <c r="BR187" s="23">
        <f>EXP(-LN(2)/2)*BR186+(1-EXP(-LN(2)/2))/(LN(2)/2)*BL187*BO187*VLOOKUP('Données projet'!$B$11,Paramètres!$A$1:$I$89,3,0)*0.475*44/12</f>
        <v>1.6843665207272744E-22</v>
      </c>
      <c r="BS187" s="24">
        <f t="shared" si="169"/>
        <v>3.6361990583860346E-2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446.15737983598251</v>
      </c>
      <c r="CE187" s="62">
        <f t="shared" si="148"/>
        <v>282.2299715529382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4.4337866711430253E-14</v>
      </c>
      <c r="CV187" s="14">
        <f t="shared" si="173"/>
        <v>7.3222115536967035E-13</v>
      </c>
      <c r="CW187" s="22">
        <f t="shared" si="174"/>
        <v>1.3525069634579169E-12</v>
      </c>
      <c r="CX187" s="62">
        <f t="shared" si="122"/>
        <v>292.56419846181711</v>
      </c>
      <c r="CY187" s="62">
        <f ca="1">AVERAGE(OFFSET($CX$3,0,0,'Données projet'!$E$13+1,1))-AVERAGE(OFFSET($H$3,0,0,'Données projet'!$E$13+1,1))</f>
        <v>293.03320024876842</v>
      </c>
      <c r="CZ187" s="62">
        <f t="shared" si="150"/>
        <v>287.49994652707915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2.7130406241273929E-23</v>
      </c>
      <c r="DI187" s="24">
        <f t="shared" si="175"/>
        <v>2.7130406241273929E-23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-1.7053025658242404E-13</v>
      </c>
      <c r="DP187" s="18">
        <f>DO187*VLOOKUP('Données projet'!$B$14,Paramètres!$A$1:$I$89,3,0)*VLOOKUP('Données projet'!$B$14,Paramètres!$A$1:$I$89,5,0)</f>
        <v>-9.3109520094003535E-14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253.0312006976271</v>
      </c>
      <c r="DU187" s="62">
        <f t="shared" si="152"/>
        <v>365.93937083714866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0.31639130596209714</v>
      </c>
      <c r="EB187" s="23">
        <f>EXP(-LN(2)/25)*EB186+(1-EXP(-LN(2)/25))/(LN(2)/25)*Calculateur!DW187*Calculateur!DY187*VLOOKUP('Données projet'!$B$14,Paramètres!$A$1:$I$89,3,0)*0.475*44/12</f>
        <v>0.13429750033054061</v>
      </c>
      <c r="EC187" s="23">
        <f>EXP(-LN(2)/2)*EC186+(1-EXP(-LN(2)/2))/(LN(2)/2)*DW187*DZ187*VLOOKUP('Données projet'!$B$14,Paramètres!$A$1:$I$89,3,0)*0.475*44/12</f>
        <v>1.1571501483748282E-22</v>
      </c>
      <c r="ED187" s="24">
        <f t="shared" si="178"/>
        <v>0.45068880629263774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1.05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3.85</v>
      </c>
      <c r="H188" s="70">
        <f t="shared" si="110"/>
        <v>241.26666666666665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292.57754123231052</v>
      </c>
      <c r="S188" s="62">
        <f ca="1">AVERAGE(OFFSET($R$3,0,0,'Données projet'!$E$9+1,1))-AVERAGE(OFFSET($H$3,0,0,'Données projet'!$E$9+1,1))</f>
        <v>393.3487617557011</v>
      </c>
      <c r="T188" s="62">
        <f t="shared" si="142"/>
        <v>360.09400083977084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0.24615532402241472</v>
      </c>
      <c r="AA188" s="23">
        <f>EXP(-LN(2)/25)*AA187+(1-EXP(-LN(2)/25))/(LN(2)/25)*Calculateur!V188*Calculateur!X188*VLOOKUP('Données projet'!$B$9,Paramètres!$A$1:$I$89,3,0)*0.475*44/12</f>
        <v>0.12630167008517307</v>
      </c>
      <c r="AB188" s="23">
        <f>EXP(-LN(2)/2)*AB187+(1-EXP(-LN(2)/2))/(LN(2)/2)*V188*Y188*VLOOKUP('Données projet'!$B$9,Paramètres!$A$1:$I$89,3,0)*0.475*44/12</f>
        <v>6.6831627282824511E-23</v>
      </c>
      <c r="AC188" s="24">
        <f t="shared" si="163"/>
        <v>0.37245699410758781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-1.6671037883497774E-13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283.28499080043167</v>
      </c>
      <c r="AO188" s="62">
        <f t="shared" si="144"/>
        <v>278.56966286485783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9.0634430732629431E-2</v>
      </c>
      <c r="AV188" s="23">
        <f>EXP(-LN(2)/25)*AV187+(1-EXP(-LN(2)/25))/(LN(2)/25)*Calculateur!AQ188*Calculateur!AS188*VLOOKUP('Données projet'!$B$10,Paramètres!$A$1:$I$89,3,0)*0.475*44/12</f>
        <v>0.11852723889598969</v>
      </c>
      <c r="AW188" s="23">
        <f>EXP(-LN(2)/2)*AW187+(1-EXP(-LN(2)/2))/(LN(2)/2)*AQ188*AT188*VLOOKUP('Données projet'!$B$10,Paramètres!$A$1:$I$89,3,0)*0.475*44/12</f>
        <v>6.0687984115299566E-23</v>
      </c>
      <c r="AX188" s="23">
        <f t="shared" si="166"/>
        <v>0.20916166962861912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-1.8089849618263545E-13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303.91914071195419</v>
      </c>
      <c r="BJ188" s="62">
        <f t="shared" si="146"/>
        <v>298.30050362688769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3.5367670039150707E-2</v>
      </c>
      <c r="BR188" s="23">
        <f>EXP(-LN(2)/2)*BR187+(1-EXP(-LN(2)/2))/(LN(2)/2)*BL188*BO188*VLOOKUP('Données projet'!$B$11,Paramètres!$A$1:$I$89,3,0)*0.475*44/12</f>
        <v>1.1910269888098472E-22</v>
      </c>
      <c r="BS188" s="24">
        <f t="shared" si="169"/>
        <v>3.5367670039150707E-2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446.15737983598251</v>
      </c>
      <c r="CE188" s="62">
        <f t="shared" si="148"/>
        <v>282.2299715529382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4.4337866711430253E-14</v>
      </c>
      <c r="CV188" s="14">
        <f t="shared" si="173"/>
        <v>7.3222115536967035E-13</v>
      </c>
      <c r="CW188" s="22">
        <f t="shared" si="174"/>
        <v>1.3525069634579169E-12</v>
      </c>
      <c r="CX188" s="62">
        <f t="shared" si="122"/>
        <v>292.57754123231001</v>
      </c>
      <c r="CY188" s="62">
        <f ca="1">AVERAGE(OFFSET($CX$3,0,0,'Données projet'!$E$13+1,1))-AVERAGE(OFFSET($H$3,0,0,'Données projet'!$E$13+1,1))</f>
        <v>293.03320024876842</v>
      </c>
      <c r="CZ188" s="62">
        <f t="shared" si="150"/>
        <v>287.49994652707915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1.9184094229550628E-23</v>
      </c>
      <c r="DI188" s="24">
        <f t="shared" si="175"/>
        <v>1.9184094229550628E-23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-1.7053025658242404E-13</v>
      </c>
      <c r="DP188" s="18">
        <f>DO188*VLOOKUP('Données projet'!$B$14,Paramètres!$A$1:$I$89,3,0)*VLOOKUP('Données projet'!$B$14,Paramètres!$A$1:$I$89,5,0)</f>
        <v>-9.3109520094003535E-14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253.0312006976271</v>
      </c>
      <c r="DU188" s="62">
        <f t="shared" si="152"/>
        <v>365.93937083714866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0.3101870654318219</v>
      </c>
      <c r="EB188" s="23">
        <f>EXP(-LN(2)/25)*EB187+(1-EXP(-LN(2)/25))/(LN(2)/25)*Calculateur!DW188*Calculateur!DY188*VLOOKUP('Données projet'!$B$14,Paramètres!$A$1:$I$89,3,0)*0.475*44/12</f>
        <v>0.13062512812160337</v>
      </c>
      <c r="EC188" s="23">
        <f>EXP(-LN(2)/2)*EC187+(1-EXP(-LN(2)/2))/(LN(2)/2)*DW188*DZ188*VLOOKUP('Données projet'!$B$14,Paramètres!$A$1:$I$89,3,0)*0.475*44/12</f>
        <v>8.1822871676686068E-23</v>
      </c>
      <c r="ED188" s="24">
        <f t="shared" si="178"/>
        <v>0.44081219355342527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1.05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3.85</v>
      </c>
      <c r="H189" s="70">
        <f t="shared" si="110"/>
        <v>241.26666666666665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292.59065253556531</v>
      </c>
      <c r="S189" s="62">
        <f ca="1">AVERAGE(OFFSET($R$3,0,0,'Données projet'!$E$9+1,1))-AVERAGE(OFFSET($H$3,0,0,'Données projet'!$E$9+1,1))</f>
        <v>393.3487617557011</v>
      </c>
      <c r="T189" s="62">
        <f t="shared" si="142"/>
        <v>360.09400083977084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0.24132836825825774</v>
      </c>
      <c r="AA189" s="23">
        <f>EXP(-LN(2)/25)*AA188+(1-EXP(-LN(2)/25))/(LN(2)/25)*Calculateur!V189*Calculateur!X189*VLOOKUP('Données projet'!$B$9,Paramètres!$A$1:$I$89,3,0)*0.475*44/12</f>
        <v>0.12284794427477784</v>
      </c>
      <c r="AB189" s="23">
        <f>EXP(-LN(2)/2)*AB188+(1-EXP(-LN(2)/2))/(LN(2)/2)*V189*Y189*VLOOKUP('Données projet'!$B$9,Paramètres!$A$1:$I$89,3,0)*0.475*44/12</f>
        <v>4.7257096849417092E-23</v>
      </c>
      <c r="AC189" s="24">
        <f t="shared" si="163"/>
        <v>0.36417631253303556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-1.6671037883497774E-13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283.28499080043167</v>
      </c>
      <c r="AO189" s="62">
        <f t="shared" si="144"/>
        <v>278.56966286485783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8.8857144827506715E-2</v>
      </c>
      <c r="AV189" s="23">
        <f>EXP(-LN(2)/25)*AV188+(1-EXP(-LN(2)/25))/(LN(2)/25)*Calculateur!AQ189*Calculateur!AS189*VLOOKUP('Données projet'!$B$10,Paramètres!$A$1:$I$89,3,0)*0.475*44/12</f>
        <v>0.11528610531530226</v>
      </c>
      <c r="AW189" s="23">
        <f>EXP(-LN(2)/2)*AW188+(1-EXP(-LN(2)/2))/(LN(2)/2)*AQ189*AT189*VLOOKUP('Données projet'!$B$10,Paramètres!$A$1:$I$89,3,0)*0.475*44/12</f>
        <v>4.2912885104469802E-23</v>
      </c>
      <c r="AX189" s="23">
        <f t="shared" si="166"/>
        <v>0.20414325014280899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-1.8089849618263545E-13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303.91914071195419</v>
      </c>
      <c r="BJ189" s="62">
        <f t="shared" si="146"/>
        <v>298.30050362688769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3.4400539242025199E-2</v>
      </c>
      <c r="BR189" s="23">
        <f>EXP(-LN(2)/2)*BR188+(1-EXP(-LN(2)/2))/(LN(2)/2)*BL189*BO189*VLOOKUP('Données projet'!$B$11,Paramètres!$A$1:$I$89,3,0)*0.475*44/12</f>
        <v>8.4218326036363719E-23</v>
      </c>
      <c r="BS189" s="24">
        <f t="shared" si="169"/>
        <v>3.4400539242025199E-2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446.15737983598251</v>
      </c>
      <c r="CE189" s="62">
        <f t="shared" si="148"/>
        <v>282.2299715529382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4.4337866711430253E-14</v>
      </c>
      <c r="CV189" s="14">
        <f t="shared" si="173"/>
        <v>7.3222115536967035E-13</v>
      </c>
      <c r="CW189" s="22">
        <f t="shared" si="174"/>
        <v>1.3525069634579169E-12</v>
      </c>
      <c r="CX189" s="62">
        <f t="shared" si="122"/>
        <v>292.5906525355648</v>
      </c>
      <c r="CY189" s="62">
        <f ca="1">AVERAGE(OFFSET($CX$3,0,0,'Données projet'!$E$13+1,1))-AVERAGE(OFFSET($H$3,0,0,'Données projet'!$E$13+1,1))</f>
        <v>293.03320024876842</v>
      </c>
      <c r="CZ189" s="62">
        <f t="shared" si="150"/>
        <v>287.49994652707915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1.3565203120636964E-23</v>
      </c>
      <c r="DI189" s="24">
        <f t="shared" si="175"/>
        <v>1.3565203120636964E-23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-1.7053025658242404E-13</v>
      </c>
      <c r="DP189" s="18">
        <f>DO189*VLOOKUP('Données projet'!$B$14,Paramètres!$A$1:$I$89,3,0)*VLOOKUP('Données projet'!$B$14,Paramètres!$A$1:$I$89,5,0)</f>
        <v>-9.3109520094003535E-14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253.0312006976271</v>
      </c>
      <c r="DU189" s="62">
        <f t="shared" si="152"/>
        <v>365.93937083714866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0.30410448627413228</v>
      </c>
      <c r="EB189" s="23">
        <f>EXP(-LN(2)/25)*EB188+(1-EXP(-LN(2)/25))/(LN(2)/25)*Calculateur!DW189*Calculateur!DY189*VLOOKUP('Données projet'!$B$14,Paramètres!$A$1:$I$89,3,0)*0.475*44/12</f>
        <v>0.12705317712384118</v>
      </c>
      <c r="EC189" s="23">
        <f>EXP(-LN(2)/2)*EC188+(1-EXP(-LN(2)/2))/(LN(2)/2)*DW189*DZ189*VLOOKUP('Données projet'!$B$14,Paramètres!$A$1:$I$89,3,0)*0.475*44/12</f>
        <v>5.7857507418741411E-23</v>
      </c>
      <c r="ED189" s="24">
        <f t="shared" si="178"/>
        <v>0.43115766339797346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1.05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3.85</v>
      </c>
      <c r="H190" s="70">
        <f t="shared" si="110"/>
        <v>241.26666666666665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292.60353638702105</v>
      </c>
      <c r="S190" s="62">
        <f ca="1">AVERAGE(OFFSET($R$3,0,0,'Données projet'!$E$9+1,1))-AVERAGE(OFFSET($H$3,0,0,'Données projet'!$E$9+1,1))</f>
        <v>393.3487617557011</v>
      </c>
      <c r="T190" s="62">
        <f t="shared" si="142"/>
        <v>360.09400083977084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0.23659606615248358</v>
      </c>
      <c r="AA190" s="23">
        <f>EXP(-LN(2)/25)*AA189+(1-EXP(-LN(2)/25))/(LN(2)/25)*Calculateur!V190*Calculateur!X190*VLOOKUP('Données projet'!$B$9,Paramètres!$A$1:$I$89,3,0)*0.475*44/12</f>
        <v>0.11948866077829143</v>
      </c>
      <c r="AB190" s="23">
        <f>EXP(-LN(2)/2)*AB189+(1-EXP(-LN(2)/2))/(LN(2)/2)*V190*Y190*VLOOKUP('Données projet'!$B$9,Paramètres!$A$1:$I$89,3,0)*0.475*44/12</f>
        <v>3.3415813641412256E-23</v>
      </c>
      <c r="AC190" s="24">
        <f t="shared" si="163"/>
        <v>0.35608472693077498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-1.6671037883497774E-13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283.28499080043167</v>
      </c>
      <c r="AO190" s="62">
        <f t="shared" si="144"/>
        <v>278.56966286485783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8.7114710414946089E-2</v>
      </c>
      <c r="AV190" s="23">
        <f>EXP(-LN(2)/25)*AV189+(1-EXP(-LN(2)/25))/(LN(2)/25)*Calculateur!AQ190*Calculateur!AS190*VLOOKUP('Données projet'!$B$10,Paramètres!$A$1:$I$89,3,0)*0.475*44/12</f>
        <v>0.11213360070282252</v>
      </c>
      <c r="AW190" s="23">
        <f>EXP(-LN(2)/2)*AW189+(1-EXP(-LN(2)/2))/(LN(2)/2)*AQ190*AT190*VLOOKUP('Données projet'!$B$10,Paramètres!$A$1:$I$89,3,0)*0.475*44/12</f>
        <v>3.0343992057649783E-23</v>
      </c>
      <c r="AX190" s="23">
        <f t="shared" si="166"/>
        <v>0.19924831111776861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-1.8089849618263545E-13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303.91914071195419</v>
      </c>
      <c r="BJ190" s="62">
        <f t="shared" si="146"/>
        <v>298.30050362688769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3.3459854687406282E-2</v>
      </c>
      <c r="BR190" s="23">
        <f>EXP(-LN(2)/2)*BR189+(1-EXP(-LN(2)/2))/(LN(2)/2)*BL190*BO190*VLOOKUP('Données projet'!$B$11,Paramètres!$A$1:$I$89,3,0)*0.475*44/12</f>
        <v>5.9551349440492358E-23</v>
      </c>
      <c r="BS190" s="24">
        <f t="shared" si="169"/>
        <v>3.3459854687406282E-2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446.15737983598251</v>
      </c>
      <c r="CE190" s="62">
        <f t="shared" si="148"/>
        <v>282.2299715529382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4.4337866711430253E-14</v>
      </c>
      <c r="CV190" s="14">
        <f t="shared" si="173"/>
        <v>7.3222115536967035E-13</v>
      </c>
      <c r="CW190" s="22">
        <f t="shared" si="174"/>
        <v>1.3525069634579169E-12</v>
      </c>
      <c r="CX190" s="62">
        <f t="shared" si="122"/>
        <v>292.60353638702054</v>
      </c>
      <c r="CY190" s="62">
        <f ca="1">AVERAGE(OFFSET($CX$3,0,0,'Données projet'!$E$13+1,1))-AVERAGE(OFFSET($H$3,0,0,'Données projet'!$E$13+1,1))</f>
        <v>293.03320024876842</v>
      </c>
      <c r="CZ190" s="62">
        <f t="shared" si="150"/>
        <v>287.49994652707915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9.5920471147753139E-24</v>
      </c>
      <c r="DI190" s="24">
        <f t="shared" si="175"/>
        <v>9.5920471147753139E-24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-1.7053025658242404E-13</v>
      </c>
      <c r="DP190" s="18">
        <f>DO190*VLOOKUP('Données projet'!$B$14,Paramètres!$A$1:$I$89,3,0)*VLOOKUP('Données projet'!$B$14,Paramètres!$A$1:$I$89,5,0)</f>
        <v>-9.3109520094003535E-14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253.0312006976271</v>
      </c>
      <c r="DU190" s="62">
        <f t="shared" si="152"/>
        <v>365.93937083714866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0.29814118278371798</v>
      </c>
      <c r="EB190" s="23">
        <f>EXP(-LN(2)/25)*EB189+(1-EXP(-LN(2)/25))/(LN(2)/25)*Calculateur!DW190*Calculateur!DY190*VLOOKUP('Données projet'!$B$14,Paramètres!$A$1:$I$89,3,0)*0.475*44/12</f>
        <v>0.12357890131395353</v>
      </c>
      <c r="EC190" s="23">
        <f>EXP(-LN(2)/2)*EC189+(1-EXP(-LN(2)/2))/(LN(2)/2)*DW190*DZ190*VLOOKUP('Données projet'!$B$14,Paramètres!$A$1:$I$89,3,0)*0.475*44/12</f>
        <v>4.0911435838343034E-23</v>
      </c>
      <c r="ED190" s="24">
        <f t="shared" si="178"/>
        <v>0.42172008409767153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1.05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3.85</v>
      </c>
      <c r="H191" s="70">
        <f t="shared" si="110"/>
        <v>241.26666666666665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292.61619673245809</v>
      </c>
      <c r="S191" s="62">
        <f ca="1">AVERAGE(OFFSET($R$3,0,0,'Données projet'!$E$9+1,1))-AVERAGE(OFFSET($H$3,0,0,'Données projet'!$E$9+1,1))</f>
        <v>393.3487617557011</v>
      </c>
      <c r="T191" s="62">
        <f t="shared" si="142"/>
        <v>360.09400083977084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0.23195656160458436</v>
      </c>
      <c r="AA191" s="23">
        <f>EXP(-LN(2)/25)*AA190+(1-EXP(-LN(2)/25))/(LN(2)/25)*Calculateur!V191*Calculateur!X191*VLOOKUP('Données projet'!$B$9,Paramètres!$A$1:$I$89,3,0)*0.475*44/12</f>
        <v>0.11622123706567347</v>
      </c>
      <c r="AB191" s="23">
        <f>EXP(-LN(2)/2)*AB190+(1-EXP(-LN(2)/2))/(LN(2)/2)*V191*Y191*VLOOKUP('Données projet'!$B$9,Paramètres!$A$1:$I$89,3,0)*0.475*44/12</f>
        <v>2.3628548424708546E-23</v>
      </c>
      <c r="AC191" s="24">
        <f t="shared" si="163"/>
        <v>0.34817779867025783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-1.6671037883497774E-13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283.28499080043167</v>
      </c>
      <c r="AO191" s="62">
        <f t="shared" si="144"/>
        <v>278.56966286485783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8.5406444078435728E-2</v>
      </c>
      <c r="AV191" s="23">
        <f>EXP(-LN(2)/25)*AV190+(1-EXP(-LN(2)/25))/(LN(2)/25)*Calculateur!AQ191*Calculateur!AS191*VLOOKUP('Données projet'!$B$10,Paramètres!$A$1:$I$89,3,0)*0.475*44/12</f>
        <v>0.10906730149475406</v>
      </c>
      <c r="AW191" s="23">
        <f>EXP(-LN(2)/2)*AW190+(1-EXP(-LN(2)/2))/(LN(2)/2)*AQ191*AT191*VLOOKUP('Données projet'!$B$10,Paramètres!$A$1:$I$89,3,0)*0.475*44/12</f>
        <v>2.1456442552234901E-23</v>
      </c>
      <c r="AX191" s="23">
        <f t="shared" si="166"/>
        <v>0.1944737455731898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-1.8089849618263545E-13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303.91914071195419</v>
      </c>
      <c r="BJ191" s="62">
        <f t="shared" si="146"/>
        <v>298.30050362688769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3.2544893201401873E-2</v>
      </c>
      <c r="BR191" s="23">
        <f>EXP(-LN(2)/2)*BR190+(1-EXP(-LN(2)/2))/(LN(2)/2)*BL191*BO191*VLOOKUP('Données projet'!$B$11,Paramètres!$A$1:$I$89,3,0)*0.475*44/12</f>
        <v>4.2109163018181859E-23</v>
      </c>
      <c r="BS191" s="24">
        <f t="shared" si="169"/>
        <v>3.2544893201401873E-2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446.15737983598251</v>
      </c>
      <c r="CE191" s="62">
        <f t="shared" si="148"/>
        <v>282.2299715529382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4.4337866711430253E-14</v>
      </c>
      <c r="CV191" s="14">
        <f t="shared" si="173"/>
        <v>7.3222115536967035E-13</v>
      </c>
      <c r="CW191" s="22">
        <f t="shared" si="174"/>
        <v>1.3525069634579169E-12</v>
      </c>
      <c r="CX191" s="62">
        <f t="shared" si="122"/>
        <v>292.61619673245758</v>
      </c>
      <c r="CY191" s="62">
        <f ca="1">AVERAGE(OFFSET($CX$3,0,0,'Données projet'!$E$13+1,1))-AVERAGE(OFFSET($H$3,0,0,'Données projet'!$E$13+1,1))</f>
        <v>293.03320024876842</v>
      </c>
      <c r="CZ191" s="62">
        <f t="shared" si="150"/>
        <v>287.49994652707915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6.7826015603184822E-24</v>
      </c>
      <c r="DI191" s="24">
        <f t="shared" si="175"/>
        <v>6.7826015603184822E-24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-1.7053025658242404E-13</v>
      </c>
      <c r="DP191" s="18">
        <f>DO191*VLOOKUP('Données projet'!$B$14,Paramètres!$A$1:$I$89,3,0)*VLOOKUP('Données projet'!$B$14,Paramètres!$A$1:$I$89,5,0)</f>
        <v>-9.3109520094003535E-14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253.0312006976271</v>
      </c>
      <c r="DU191" s="62">
        <f t="shared" si="152"/>
        <v>365.93937083714866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0.29229481603749474</v>
      </c>
      <c r="EB191" s="23">
        <f>EXP(-LN(2)/25)*EB190+(1-EXP(-LN(2)/25))/(LN(2)/25)*Calculateur!DW191*Calculateur!DY191*VLOOKUP('Données projet'!$B$14,Paramètres!$A$1:$I$89,3,0)*0.475*44/12</f>
        <v>0.1201996297587915</v>
      </c>
      <c r="EC191" s="23">
        <f>EXP(-LN(2)/2)*EC190+(1-EXP(-LN(2)/2))/(LN(2)/2)*DW191*DZ191*VLOOKUP('Données projet'!$B$14,Paramètres!$A$1:$I$89,3,0)*0.475*44/12</f>
        <v>2.8928753709370705E-23</v>
      </c>
      <c r="ED191" s="24">
        <f t="shared" si="178"/>
        <v>0.41249444579628625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1.05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3.85</v>
      </c>
      <c r="H192" s="70">
        <f t="shared" si="110"/>
        <v>241.26666666666665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292.62863744920605</v>
      </c>
      <c r="S192" s="62">
        <f ca="1">AVERAGE(OFFSET($R$3,0,0,'Données projet'!$E$9+1,1))-AVERAGE(OFFSET($H$3,0,0,'Données projet'!$E$9+1,1))</f>
        <v>393.3487617557011</v>
      </c>
      <c r="T192" s="62">
        <f t="shared" si="142"/>
        <v>360.09400083977084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0.2274080349110511</v>
      </c>
      <c r="AA192" s="23">
        <f>EXP(-LN(2)/25)*AA191+(1-EXP(-LN(2)/25))/(LN(2)/25)*Calculateur!V192*Calculateur!X192*VLOOKUP('Données projet'!$B$9,Paramètres!$A$1:$I$89,3,0)*0.475*44/12</f>
        <v>0.1130431612263034</v>
      </c>
      <c r="AB192" s="23">
        <f>EXP(-LN(2)/2)*AB191+(1-EXP(-LN(2)/2))/(LN(2)/2)*V192*Y192*VLOOKUP('Données projet'!$B$9,Paramètres!$A$1:$I$89,3,0)*0.475*44/12</f>
        <v>1.6707906820706128E-23</v>
      </c>
      <c r="AC192" s="24">
        <f t="shared" si="163"/>
        <v>0.34045119613735453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-1.6671037883497774E-13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283.28499080043167</v>
      </c>
      <c r="AO192" s="62">
        <f t="shared" si="144"/>
        <v>278.56966286485783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8.3731675802844754E-2</v>
      </c>
      <c r="AV192" s="23">
        <f>EXP(-LN(2)/25)*AV191+(1-EXP(-LN(2)/25))/(LN(2)/25)*Calculateur!AQ192*Calculateur!AS192*VLOOKUP('Données projet'!$B$10,Paramètres!$A$1:$I$89,3,0)*0.475*44/12</f>
        <v>0.1060848503997799</v>
      </c>
      <c r="AW192" s="23">
        <f>EXP(-LN(2)/2)*AW191+(1-EXP(-LN(2)/2))/(LN(2)/2)*AQ192*AT192*VLOOKUP('Données projet'!$B$10,Paramètres!$A$1:$I$89,3,0)*0.475*44/12</f>
        <v>1.5171996028824892E-23</v>
      </c>
      <c r="AX192" s="23">
        <f t="shared" si="166"/>
        <v>0.18981652620262465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-1.8089849618263545E-13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303.91914071195419</v>
      </c>
      <c r="BJ192" s="62">
        <f t="shared" si="146"/>
        <v>298.30050362688769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3.165495138534799E-2</v>
      </c>
      <c r="BR192" s="23">
        <f>EXP(-LN(2)/2)*BR191+(1-EXP(-LN(2)/2))/(LN(2)/2)*BL192*BO192*VLOOKUP('Données projet'!$B$11,Paramètres!$A$1:$I$89,3,0)*0.475*44/12</f>
        <v>2.9775674720246179E-23</v>
      </c>
      <c r="BS192" s="24">
        <f t="shared" si="169"/>
        <v>3.165495138534799E-2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446.15737983598251</v>
      </c>
      <c r="CE192" s="62">
        <f t="shared" si="148"/>
        <v>282.2299715529382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4.4337866711430253E-14</v>
      </c>
      <c r="CV192" s="14">
        <f t="shared" si="173"/>
        <v>7.3222115536967035E-13</v>
      </c>
      <c r="CW192" s="22">
        <f t="shared" si="174"/>
        <v>1.3525069634579169E-12</v>
      </c>
      <c r="CX192" s="62">
        <f t="shared" si="122"/>
        <v>292.62863744920554</v>
      </c>
      <c r="CY192" s="62">
        <f ca="1">AVERAGE(OFFSET($CX$3,0,0,'Données projet'!$E$13+1,1))-AVERAGE(OFFSET($H$3,0,0,'Données projet'!$E$13+1,1))</f>
        <v>293.03320024876842</v>
      </c>
      <c r="CZ192" s="62">
        <f t="shared" si="150"/>
        <v>287.49994652707915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4.7960235573876569E-24</v>
      </c>
      <c r="DI192" s="24">
        <f t="shared" si="175"/>
        <v>4.7960235573876569E-24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-1.7053025658242404E-13</v>
      </c>
      <c r="DP192" s="18">
        <f>DO192*VLOOKUP('Données projet'!$B$14,Paramètres!$A$1:$I$89,3,0)*VLOOKUP('Données projet'!$B$14,Paramètres!$A$1:$I$89,5,0)</f>
        <v>-9.3109520094003535E-14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253.0312006976271</v>
      </c>
      <c r="DU192" s="62">
        <f t="shared" si="152"/>
        <v>365.93937083714866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0.28656309297723337</v>
      </c>
      <c r="EB192" s="23">
        <f>EXP(-LN(2)/25)*EB191+(1-EXP(-LN(2)/25))/(LN(2)/25)*Calculateur!DW192*Calculateur!DY192*VLOOKUP('Données projet'!$B$14,Paramètres!$A$1:$I$89,3,0)*0.475*44/12</f>
        <v>0.11691276456201354</v>
      </c>
      <c r="EC192" s="23">
        <f>EXP(-LN(2)/2)*EC191+(1-EXP(-LN(2)/2))/(LN(2)/2)*DW192*DZ192*VLOOKUP('Données projet'!$B$14,Paramètres!$A$1:$I$89,3,0)*0.475*44/12</f>
        <v>2.0455717919171517E-23</v>
      </c>
      <c r="ED192" s="24">
        <f t="shared" si="178"/>
        <v>0.40347585753924692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1.05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3.85</v>
      </c>
      <c r="H193" s="70">
        <f t="shared" si="110"/>
        <v>241.26666666666665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292.64086234733168</v>
      </c>
      <c r="S193" s="62">
        <f ca="1">AVERAGE(OFFSET($R$3,0,0,'Données projet'!$E$9+1,1))-AVERAGE(OFFSET($H$3,0,0,'Données projet'!$E$9+1,1))</f>
        <v>393.3487617557011</v>
      </c>
      <c r="T193" s="62">
        <f t="shared" si="142"/>
        <v>360.09400083977084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0.22294870205165068</v>
      </c>
      <c r="AA193" s="23">
        <f>EXP(-LN(2)/25)*AA192+(1-EXP(-LN(2)/25))/(LN(2)/25)*Calculateur!V193*Calculateur!X193*VLOOKUP('Données projet'!$B$9,Paramètres!$A$1:$I$89,3,0)*0.475*44/12</f>
        <v>0.10995199003788865</v>
      </c>
      <c r="AB193" s="23">
        <f>EXP(-LN(2)/2)*AB192+(1-EXP(-LN(2)/2))/(LN(2)/2)*V193*Y193*VLOOKUP('Données projet'!$B$9,Paramètres!$A$1:$I$89,3,0)*0.475*44/12</f>
        <v>1.1814274212354273E-23</v>
      </c>
      <c r="AC193" s="24">
        <f t="shared" si="163"/>
        <v>0.33290069208953932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-1.6671037883497774E-13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283.28499080043167</v>
      </c>
      <c r="AO193" s="62">
        <f t="shared" si="144"/>
        <v>278.56966286485783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8.2089748711630342E-2</v>
      </c>
      <c r="AV193" s="23">
        <f>EXP(-LN(2)/25)*AV192+(1-EXP(-LN(2)/25))/(LN(2)/25)*Calculateur!AQ193*Calculateur!AS193*VLOOKUP('Données projet'!$B$10,Paramètres!$A$1:$I$89,3,0)*0.475*44/12</f>
        <v>0.1031839545868381</v>
      </c>
      <c r="AW193" s="23">
        <f>EXP(-LN(2)/2)*AW192+(1-EXP(-LN(2)/2))/(LN(2)/2)*AQ193*AT193*VLOOKUP('Données projet'!$B$10,Paramètres!$A$1:$I$89,3,0)*0.475*44/12</f>
        <v>1.0728221276117451E-23</v>
      </c>
      <c r="AX193" s="23">
        <f t="shared" si="166"/>
        <v>0.18527370329846843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-1.8089849618263545E-13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303.91914071195419</v>
      </c>
      <c r="BJ193" s="62">
        <f t="shared" si="146"/>
        <v>298.30050362688769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3.0789345075054105E-2</v>
      </c>
      <c r="BR193" s="23">
        <f>EXP(-LN(2)/2)*BR192+(1-EXP(-LN(2)/2))/(LN(2)/2)*BL193*BO193*VLOOKUP('Données projet'!$B$11,Paramètres!$A$1:$I$89,3,0)*0.475*44/12</f>
        <v>2.105458150909093E-23</v>
      </c>
      <c r="BS193" s="24">
        <f t="shared" si="169"/>
        <v>3.0789345075054105E-2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446.15737983598251</v>
      </c>
      <c r="CE193" s="62">
        <f t="shared" si="148"/>
        <v>282.2299715529382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4.4337866711430253E-14</v>
      </c>
      <c r="CV193" s="14">
        <f t="shared" si="173"/>
        <v>7.3222115536967035E-13</v>
      </c>
      <c r="CW193" s="22">
        <f t="shared" si="174"/>
        <v>1.3525069634579169E-12</v>
      </c>
      <c r="CX193" s="62">
        <f t="shared" si="122"/>
        <v>292.64086234733116</v>
      </c>
      <c r="CY193" s="62">
        <f ca="1">AVERAGE(OFFSET($CX$3,0,0,'Données projet'!$E$13+1,1))-AVERAGE(OFFSET($H$3,0,0,'Données projet'!$E$13+1,1))</f>
        <v>293.03320024876842</v>
      </c>
      <c r="CZ193" s="62">
        <f t="shared" si="150"/>
        <v>287.49994652707915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3.3913007801592411E-24</v>
      </c>
      <c r="DI193" s="24">
        <f t="shared" si="175"/>
        <v>3.3913007801592411E-24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-1.7053025658242404E-13</v>
      </c>
      <c r="DP193" s="18">
        <f>DO193*VLOOKUP('Données projet'!$B$14,Paramètres!$A$1:$I$89,3,0)*VLOOKUP('Données projet'!$B$14,Paramètres!$A$1:$I$89,5,0)</f>
        <v>-9.3109520094003535E-14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253.0312006976271</v>
      </c>
      <c r="DU193" s="62">
        <f t="shared" si="152"/>
        <v>365.93937083714866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0.28094376551017786</v>
      </c>
      <c r="EB193" s="23">
        <f>EXP(-LN(2)/25)*EB192+(1-EXP(-LN(2)/25))/(LN(2)/25)*Calculateur!DW193*Calculateur!DY193*VLOOKUP('Données projet'!$B$14,Paramètres!$A$1:$I$89,3,0)*0.475*44/12</f>
        <v>0.11371577886689019</v>
      </c>
      <c r="EC193" s="23">
        <f>EXP(-LN(2)/2)*EC192+(1-EXP(-LN(2)/2))/(LN(2)/2)*DW193*DZ193*VLOOKUP('Données projet'!$B$14,Paramètres!$A$1:$I$89,3,0)*0.475*44/12</f>
        <v>1.4464376854685353E-23</v>
      </c>
      <c r="ED193" s="24">
        <f t="shared" si="178"/>
        <v>0.39465954437706807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1.05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3.85</v>
      </c>
      <c r="H194" s="70">
        <f t="shared" si="110"/>
        <v>241.26666666666665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292.65287517080571</v>
      </c>
      <c r="S194" s="62">
        <f ca="1">AVERAGE(OFFSET($R$3,0,0,'Données projet'!$E$9+1,1))-AVERAGE(OFFSET($H$3,0,0,'Données projet'!$E$9+1,1))</f>
        <v>393.3487617557011</v>
      </c>
      <c r="T194" s="62">
        <f t="shared" si="142"/>
        <v>360.09400083977084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0.21857681398969864</v>
      </c>
      <c r="AA194" s="23">
        <f>EXP(-LN(2)/25)*AA193+(1-EXP(-LN(2)/25))/(LN(2)/25)*Calculateur!V194*Calculateur!X194*VLOOKUP('Données projet'!$B$9,Paramètres!$A$1:$I$89,3,0)*0.475*44/12</f>
        <v>0.10694534708817872</v>
      </c>
      <c r="AB194" s="23">
        <f>EXP(-LN(2)/2)*AB193+(1-EXP(-LN(2)/2))/(LN(2)/2)*V194*Y194*VLOOKUP('Données projet'!$B$9,Paramètres!$A$1:$I$89,3,0)*0.475*44/12</f>
        <v>8.3539534103530639E-24</v>
      </c>
      <c r="AC194" s="24">
        <f t="shared" si="163"/>
        <v>0.32552216107787735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-1.6671037883497774E-13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283.28499080043167</v>
      </c>
      <c r="AO194" s="62">
        <f t="shared" si="144"/>
        <v>278.56966286485783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8.0480018809198001E-2</v>
      </c>
      <c r="AV194" s="23">
        <f>EXP(-LN(2)/25)*AV193+(1-EXP(-LN(2)/25))/(LN(2)/25)*Calculateur!AQ194*Calculateur!AS194*VLOOKUP('Données projet'!$B$10,Paramètres!$A$1:$I$89,3,0)*0.475*44/12</f>
        <v>0.10036238392245267</v>
      </c>
      <c r="AW194" s="23">
        <f>EXP(-LN(2)/2)*AW193+(1-EXP(-LN(2)/2))/(LN(2)/2)*AQ194*AT194*VLOOKUP('Données projet'!$B$10,Paramètres!$A$1:$I$89,3,0)*0.475*44/12</f>
        <v>7.5859980144124458E-24</v>
      </c>
      <c r="AX194" s="23">
        <f t="shared" si="166"/>
        <v>0.18084240273165067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-1.8089849618263545E-13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303.91914071195419</v>
      </c>
      <c r="BJ194" s="62">
        <f t="shared" si="146"/>
        <v>298.30050362688769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2.9947408814835461E-2</v>
      </c>
      <c r="BR194" s="23">
        <f>EXP(-LN(2)/2)*BR193+(1-EXP(-LN(2)/2))/(LN(2)/2)*BL194*BO194*VLOOKUP('Données projet'!$B$11,Paramètres!$A$1:$I$89,3,0)*0.475*44/12</f>
        <v>1.4887837360123089E-23</v>
      </c>
      <c r="BS194" s="24">
        <f t="shared" si="169"/>
        <v>2.9947408814835461E-2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446.15737983598251</v>
      </c>
      <c r="CE194" s="62">
        <f t="shared" si="148"/>
        <v>282.2299715529382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4.4337866711430253E-14</v>
      </c>
      <c r="CV194" s="14">
        <f t="shared" si="173"/>
        <v>7.3222115536967035E-13</v>
      </c>
      <c r="CW194" s="22">
        <f t="shared" si="174"/>
        <v>1.3525069634579169E-12</v>
      </c>
      <c r="CX194" s="62">
        <f t="shared" si="122"/>
        <v>292.6528751708052</v>
      </c>
      <c r="CY194" s="62">
        <f ca="1">AVERAGE(OFFSET($CX$3,0,0,'Données projet'!$E$13+1,1))-AVERAGE(OFFSET($H$3,0,0,'Données projet'!$E$13+1,1))</f>
        <v>293.03320024876842</v>
      </c>
      <c r="CZ194" s="62">
        <f t="shared" si="150"/>
        <v>287.49994652707915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2.3980117786938285E-24</v>
      </c>
      <c r="DI194" s="24">
        <f t="shared" si="175"/>
        <v>2.3980117786938285E-24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-1.7053025658242404E-13</v>
      </c>
      <c r="DP194" s="18">
        <f>DO194*VLOOKUP('Données projet'!$B$14,Paramètres!$A$1:$I$89,3,0)*VLOOKUP('Données projet'!$B$14,Paramètres!$A$1:$I$89,5,0)</f>
        <v>-9.3109520094003535E-14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253.0312006976271</v>
      </c>
      <c r="DU194" s="62">
        <f t="shared" si="152"/>
        <v>365.93937083714866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0.27543462962729998</v>
      </c>
      <c r="EB194" s="23">
        <f>EXP(-LN(2)/25)*EB193+(1-EXP(-LN(2)/25))/(LN(2)/25)*Calculateur!DW194*Calculateur!DY194*VLOOKUP('Données projet'!$B$14,Paramètres!$A$1:$I$89,3,0)*0.475*44/12</f>
        <v>0.11060621491372216</v>
      </c>
      <c r="EC194" s="23">
        <f>EXP(-LN(2)/2)*EC193+(1-EXP(-LN(2)/2))/(LN(2)/2)*DW194*DZ194*VLOOKUP('Données projet'!$B$14,Paramètres!$A$1:$I$89,3,0)*0.475*44/12</f>
        <v>1.0227858959585759E-23</v>
      </c>
      <c r="ED194" s="24">
        <f t="shared" si="178"/>
        <v>0.38604084454102217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1.05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3.85</v>
      </c>
      <c r="H195" s="70">
        <f t="shared" si="110"/>
        <v>241.26666666666665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292.66467959864906</v>
      </c>
      <c r="S195" s="62">
        <f ca="1">AVERAGE(OFFSET($R$3,0,0,'Données projet'!$E$9+1,1))-AVERAGE(OFFSET($H$3,0,0,'Données projet'!$E$9+1,1))</f>
        <v>393.3487617557011</v>
      </c>
      <c r="T195" s="62">
        <f t="shared" si="142"/>
        <v>360.09400083977084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0.21429065598605304</v>
      </c>
      <c r="AA195" s="23">
        <f>EXP(-LN(2)/25)*AA194+(1-EXP(-LN(2)/25))/(LN(2)/25)*Calculateur!V195*Calculateur!X195*VLOOKUP('Données projet'!$B$9,Paramètres!$A$1:$I$89,3,0)*0.475*44/12</f>
        <v>0.10402092094804111</v>
      </c>
      <c r="AB195" s="23">
        <f>EXP(-LN(2)/2)*AB194+(1-EXP(-LN(2)/2))/(LN(2)/2)*V195*Y195*VLOOKUP('Données projet'!$B$9,Paramètres!$A$1:$I$89,3,0)*0.475*44/12</f>
        <v>5.9071371061771365E-24</v>
      </c>
      <c r="AC195" s="24">
        <f t="shared" si="163"/>
        <v>0.31831157693409418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-1.6671037883497774E-13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283.28499080043167</v>
      </c>
      <c r="AO195" s="62">
        <f t="shared" si="144"/>
        <v>278.56966286485783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7.8901854728314069E-2</v>
      </c>
      <c r="AV195" s="23">
        <f>EXP(-LN(2)/25)*AV194+(1-EXP(-LN(2)/25))/(LN(2)/25)*Calculateur!AQ195*Calculateur!AS195*VLOOKUP('Données projet'!$B$10,Paramètres!$A$1:$I$89,3,0)*0.475*44/12</f>
        <v>9.7617969256264814E-2</v>
      </c>
      <c r="AW195" s="23">
        <f>EXP(-LN(2)/2)*AW194+(1-EXP(-LN(2)/2))/(LN(2)/2)*AQ195*AT195*VLOOKUP('Données projet'!$B$10,Paramètres!$A$1:$I$89,3,0)*0.475*44/12</f>
        <v>5.3641106380587253E-24</v>
      </c>
      <c r="AX195" s="23">
        <f t="shared" si="166"/>
        <v>0.17651982398457888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-1.8089849618263545E-13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303.91914071195419</v>
      </c>
      <c r="BJ195" s="62">
        <f t="shared" si="146"/>
        <v>298.30050362688769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2.9128495345928002E-2</v>
      </c>
      <c r="BR195" s="23">
        <f>EXP(-LN(2)/2)*BR194+(1-EXP(-LN(2)/2))/(LN(2)/2)*BL195*BO195*VLOOKUP('Données projet'!$B$11,Paramètres!$A$1:$I$89,3,0)*0.475*44/12</f>
        <v>1.0527290754545465E-23</v>
      </c>
      <c r="BS195" s="24">
        <f t="shared" si="169"/>
        <v>2.9128495345928002E-2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446.15737983598251</v>
      </c>
      <c r="CE195" s="62">
        <f t="shared" si="148"/>
        <v>282.2299715529382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4.4337866711430253E-14</v>
      </c>
      <c r="CV195" s="14">
        <f t="shared" si="173"/>
        <v>7.3222115536967035E-13</v>
      </c>
      <c r="CW195" s="22">
        <f t="shared" si="174"/>
        <v>1.3525069634579169E-12</v>
      </c>
      <c r="CX195" s="62">
        <f t="shared" si="122"/>
        <v>292.66467959864855</v>
      </c>
      <c r="CY195" s="62">
        <f ca="1">AVERAGE(OFFSET($CX$3,0,0,'Données projet'!$E$13+1,1))-AVERAGE(OFFSET($H$3,0,0,'Données projet'!$E$13+1,1))</f>
        <v>293.03320024876842</v>
      </c>
      <c r="CZ195" s="62">
        <f t="shared" si="150"/>
        <v>287.49994652707915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1.6956503900796206E-24</v>
      </c>
      <c r="DI195" s="24">
        <f t="shared" si="175"/>
        <v>1.6956503900796206E-24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-1.7053025658242404E-13</v>
      </c>
      <c r="DP195" s="18">
        <f>DO195*VLOOKUP('Données projet'!$B$14,Paramètres!$A$1:$I$89,3,0)*VLOOKUP('Données projet'!$B$14,Paramètres!$A$1:$I$89,5,0)</f>
        <v>-9.3109520094003535E-14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253.0312006976271</v>
      </c>
      <c r="DU195" s="62">
        <f t="shared" si="152"/>
        <v>365.93937083714866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0.27003352453884422</v>
      </c>
      <c r="EB195" s="23">
        <f>EXP(-LN(2)/25)*EB194+(1-EXP(-LN(2)/25))/(LN(2)/25)*Calculateur!DW195*Calculateur!DY195*VLOOKUP('Données projet'!$B$14,Paramètres!$A$1:$I$89,3,0)*0.475*44/12</f>
        <v>0.10758168215037837</v>
      </c>
      <c r="EC195" s="23">
        <f>EXP(-LN(2)/2)*EC194+(1-EXP(-LN(2)/2))/(LN(2)/2)*DW195*DZ195*VLOOKUP('Données projet'!$B$14,Paramètres!$A$1:$I$89,3,0)*0.475*44/12</f>
        <v>7.2321884273426764E-24</v>
      </c>
      <c r="ED195" s="24">
        <f t="shared" si="178"/>
        <v>0.3776152066892226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1.05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3.85</v>
      </c>
      <c r="H196" s="70">
        <f t="shared" ref="H196:H203" si="192">(B196+E196+F196)*44/12+(C196+D196)*0.475*44/12</f>
        <v>241.26666666666665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292.67627924606001</v>
      </c>
      <c r="S196" s="62">
        <f ca="1">AVERAGE(OFFSET($R$3,0,0,'Données projet'!$E$9+1,1))-AVERAGE(OFFSET($H$3,0,0,'Données projet'!$E$9+1,1))</f>
        <v>393.3487617557011</v>
      </c>
      <c r="T196" s="62">
        <f t="shared" si="142"/>
        <v>360.09400083977084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0.2100885469265607</v>
      </c>
      <c r="AA196" s="23">
        <f>EXP(-LN(2)/25)*AA195+(1-EXP(-LN(2)/25))/(LN(2)/25)*Calculateur!V196*Calculateur!X196*VLOOKUP('Données projet'!$B$9,Paramètres!$A$1:$I$89,3,0)*0.475*44/12</f>
        <v>0.10117646339449443</v>
      </c>
      <c r="AB196" s="23">
        <f>EXP(-LN(2)/2)*AB195+(1-EXP(-LN(2)/2))/(LN(2)/2)*V196*Y196*VLOOKUP('Données projet'!$B$9,Paramètres!$A$1:$I$89,3,0)*0.475*44/12</f>
        <v>4.176976705176532E-24</v>
      </c>
      <c r="AC196" s="24">
        <f t="shared" si="163"/>
        <v>0.31126501032105514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-1.6671037883497774E-13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283.28499080043167</v>
      </c>
      <c r="AO196" s="62">
        <f t="shared" si="144"/>
        <v>278.56966286485783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7.7354637482471234E-2</v>
      </c>
      <c r="AV196" s="23">
        <f>EXP(-LN(2)/25)*AV195+(1-EXP(-LN(2)/25))/(LN(2)/25)*Calculateur!AQ196*Calculateur!AS196*VLOOKUP('Données projet'!$B$10,Paramètres!$A$1:$I$89,3,0)*0.475*44/12</f>
        <v>9.4948600753446355E-2</v>
      </c>
      <c r="AW196" s="23">
        <f>EXP(-LN(2)/2)*AW195+(1-EXP(-LN(2)/2))/(LN(2)/2)*AQ196*AT196*VLOOKUP('Données projet'!$B$10,Paramètres!$A$1:$I$89,3,0)*0.475*44/12</f>
        <v>3.7929990072062229E-24</v>
      </c>
      <c r="AX196" s="23">
        <f t="shared" si="166"/>
        <v>0.17230323823591759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-1.8089849618263545E-13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303.91914071195419</v>
      </c>
      <c r="BJ196" s="62">
        <f t="shared" si="146"/>
        <v>298.30050362688769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2.8331975108892606E-2</v>
      </c>
      <c r="BR196" s="23">
        <f>EXP(-LN(2)/2)*BR195+(1-EXP(-LN(2)/2))/(LN(2)/2)*BL196*BO196*VLOOKUP('Données projet'!$B$11,Paramètres!$A$1:$I$89,3,0)*0.475*44/12</f>
        <v>7.4439186800615447E-24</v>
      </c>
      <c r="BS196" s="24">
        <f t="shared" si="169"/>
        <v>2.8331975108892606E-2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446.15737983598251</v>
      </c>
      <c r="CE196" s="62">
        <f t="shared" si="148"/>
        <v>282.2299715529382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4.4337866711430253E-14</v>
      </c>
      <c r="CV196" s="14">
        <f t="shared" si="173"/>
        <v>7.3222115536967035E-13</v>
      </c>
      <c r="CW196" s="22">
        <f t="shared" si="174"/>
        <v>1.3525069634579169E-12</v>
      </c>
      <c r="CX196" s="62">
        <f t="shared" ref="CX196:CX203" si="196">CW196+(CO196+CP196)*44/12</f>
        <v>292.67627924605949</v>
      </c>
      <c r="CY196" s="62">
        <f ca="1">AVERAGE(OFFSET($CX$3,0,0,'Données projet'!$E$13+1,1))-AVERAGE(OFFSET($H$3,0,0,'Données projet'!$E$13+1,1))</f>
        <v>293.03320024876842</v>
      </c>
      <c r="CZ196" s="62">
        <f t="shared" si="150"/>
        <v>287.49994652707915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1.1990058893469142E-24</v>
      </c>
      <c r="DI196" s="24">
        <f t="shared" si="175"/>
        <v>1.1990058893469142E-24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-1.7053025658242404E-13</v>
      </c>
      <c r="DP196" s="18">
        <f>DO196*VLOOKUP('Données projet'!$B$14,Paramètres!$A$1:$I$89,3,0)*VLOOKUP('Données projet'!$B$14,Paramètres!$A$1:$I$89,5,0)</f>
        <v>-9.3109520094003535E-14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253.0312006976271</v>
      </c>
      <c r="DU196" s="62">
        <f t="shared" si="152"/>
        <v>365.93937083714866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0.26473833182682427</v>
      </c>
      <c r="EB196" s="23">
        <f>EXP(-LN(2)/25)*EB195+(1-EXP(-LN(2)/25))/(LN(2)/25)*Calculateur!DW196*Calculateur!DY196*VLOOKUP('Données projet'!$B$14,Paramètres!$A$1:$I$89,3,0)*0.475*44/12</f>
        <v>0.10463985539450149</v>
      </c>
      <c r="EC196" s="23">
        <f>EXP(-LN(2)/2)*EC195+(1-EXP(-LN(2)/2))/(LN(2)/2)*DW196*DZ196*VLOOKUP('Données projet'!$B$14,Paramètres!$A$1:$I$89,3,0)*0.475*44/12</f>
        <v>5.1139294797928793E-24</v>
      </c>
      <c r="ED196" s="24">
        <f t="shared" si="178"/>
        <v>0.36937818722132576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1.05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3.85</v>
      </c>
      <c r="H197" s="70">
        <f t="shared" si="192"/>
        <v>241.26666666666665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292.68767766552139</v>
      </c>
      <c r="S197" s="62">
        <f ca="1">AVERAGE(OFFSET($R$3,0,0,'Données projet'!$E$9+1,1))-AVERAGE(OFFSET($H$3,0,0,'Données projet'!$E$9+1,1))</f>
        <v>393.3487617557011</v>
      </c>
      <c r="T197" s="62">
        <f t="shared" ref="T197:T203" si="204">$T$3</f>
        <v>360.09400083977084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0.20596883866269156</v>
      </c>
      <c r="AA197" s="23">
        <f>EXP(-LN(2)/25)*AA196+(1-EXP(-LN(2)/25))/(LN(2)/25)*Calculateur!V197*Calculateur!X197*VLOOKUP('Données projet'!$B$9,Paramètres!$A$1:$I$89,3,0)*0.475*44/12</f>
        <v>9.8409787682333008E-2</v>
      </c>
      <c r="AB197" s="23">
        <f>EXP(-LN(2)/2)*AB196+(1-EXP(-LN(2)/2))/(LN(2)/2)*V197*Y197*VLOOKUP('Données projet'!$B$9,Paramètres!$A$1:$I$89,3,0)*0.475*44/12</f>
        <v>2.9535685530885683E-24</v>
      </c>
      <c r="AC197" s="24">
        <f t="shared" si="163"/>
        <v>0.30437862634502455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-1.6671037883497774E-13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283.28499080043167</v>
      </c>
      <c r="AO197" s="62">
        <f t="shared" ref="AO197:AO203" si="205">$AO$3</f>
        <v>278.56966286485783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7.5837760223110035E-2</v>
      </c>
      <c r="AV197" s="23">
        <f>EXP(-LN(2)/25)*AV196+(1-EXP(-LN(2)/25))/(LN(2)/25)*Calculateur!AQ197*Calculateur!AS197*VLOOKUP('Données projet'!$B$10,Paramètres!$A$1:$I$89,3,0)*0.475*44/12</f>
        <v>9.2352226272713459E-2</v>
      </c>
      <c r="AW197" s="23">
        <f>EXP(-LN(2)/2)*AW196+(1-EXP(-LN(2)/2))/(LN(2)/2)*AQ197*AT197*VLOOKUP('Données projet'!$B$10,Paramètres!$A$1:$I$89,3,0)*0.475*44/12</f>
        <v>2.6820553190293626E-24</v>
      </c>
      <c r="AX197" s="23">
        <f t="shared" si="166"/>
        <v>0.16818998649582351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-1.8089849618263545E-13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303.91914071195419</v>
      </c>
      <c r="BJ197" s="62">
        <f t="shared" ref="BJ197:BJ203" si="206">$BJ$3</f>
        <v>298.30050362688769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2.7557235759626118E-2</v>
      </c>
      <c r="BR197" s="23">
        <f>EXP(-LN(2)/2)*BR196+(1-EXP(-LN(2)/2))/(LN(2)/2)*BL197*BO197*VLOOKUP('Données projet'!$B$11,Paramètres!$A$1:$I$89,3,0)*0.475*44/12</f>
        <v>5.2636453772727324E-24</v>
      </c>
      <c r="BS197" s="24">
        <f t="shared" si="169"/>
        <v>2.7557235759626118E-2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446.15737983598251</v>
      </c>
      <c r="CE197" s="62">
        <f t="shared" ref="CE197:CE203" si="207">$CE$3</f>
        <v>282.2299715529382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4.4337866711430253E-14</v>
      </c>
      <c r="CV197" s="14">
        <f t="shared" si="173"/>
        <v>7.3222115536967035E-13</v>
      </c>
      <c r="CW197" s="22">
        <f t="shared" si="174"/>
        <v>1.3525069634579169E-12</v>
      </c>
      <c r="CX197" s="62">
        <f t="shared" si="196"/>
        <v>292.68767766552088</v>
      </c>
      <c r="CY197" s="62">
        <f ca="1">AVERAGE(OFFSET($CX$3,0,0,'Données projet'!$E$13+1,1))-AVERAGE(OFFSET($H$3,0,0,'Données projet'!$E$13+1,1))</f>
        <v>293.03320024876842</v>
      </c>
      <c r="CZ197" s="62">
        <f t="shared" ref="CZ197:CZ203" si="208">$CZ$3</f>
        <v>287.49994652707915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8.4782519503981028E-25</v>
      </c>
      <c r="DI197" s="24">
        <f t="shared" si="175"/>
        <v>8.4782519503981028E-25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-1.7053025658242404E-13</v>
      </c>
      <c r="DP197" s="18">
        <f>DO197*VLOOKUP('Données projet'!$B$14,Paramètres!$A$1:$I$89,3,0)*VLOOKUP('Données projet'!$B$14,Paramètres!$A$1:$I$89,5,0)</f>
        <v>-9.3109520094003535E-14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253.0312006976271</v>
      </c>
      <c r="DU197" s="62">
        <f t="shared" ref="DU197:DU203" si="209">$DU$3</f>
        <v>365.93937083714866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0.25954697461413839</v>
      </c>
      <c r="EB197" s="23">
        <f>EXP(-LN(2)/25)*EB196+(1-EXP(-LN(2)/25))/(LN(2)/25)*Calculateur!DW197*Calculateur!DY197*VLOOKUP('Données projet'!$B$14,Paramètres!$A$1:$I$89,3,0)*0.475*44/12</f>
        <v>0.10177847304596802</v>
      </c>
      <c r="EC197" s="23">
        <f>EXP(-LN(2)/2)*EC196+(1-EXP(-LN(2)/2))/(LN(2)/2)*DW197*DZ197*VLOOKUP('Données projet'!$B$14,Paramètres!$A$1:$I$89,3,0)*0.475*44/12</f>
        <v>3.6160942136713382E-24</v>
      </c>
      <c r="ED197" s="24">
        <f t="shared" si="178"/>
        <v>0.36132544766010644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1.05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3.85</v>
      </c>
      <c r="H198" s="70">
        <f t="shared" si="192"/>
        <v>241.26666666666665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292.69887834788813</v>
      </c>
      <c r="S198" s="62">
        <f ca="1">AVERAGE(OFFSET($R$3,0,0,'Données projet'!$E$9+1,1))-AVERAGE(OFFSET($H$3,0,0,'Données projet'!$E$9+1,1))</f>
        <v>393.3487617557011</v>
      </c>
      <c r="T198" s="62">
        <f t="shared" si="204"/>
        <v>360.09400083977084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0.20192991536510296</v>
      </c>
      <c r="AA198" s="23">
        <f>EXP(-LN(2)/25)*AA197+(1-EXP(-LN(2)/25))/(LN(2)/25)*Calculateur!V198*Calculateur!X198*VLOOKUP('Données projet'!$B$9,Paramètres!$A$1:$I$89,3,0)*0.475*44/12</f>
        <v>9.5718766863013796E-2</v>
      </c>
      <c r="AB198" s="23">
        <f>EXP(-LN(2)/2)*AB197+(1-EXP(-LN(2)/2))/(LN(2)/2)*V198*Y198*VLOOKUP('Données projet'!$B$9,Paramètres!$A$1:$I$89,3,0)*0.475*44/12</f>
        <v>2.088488352588266E-24</v>
      </c>
      <c r="AC198" s="24">
        <f t="shared" si="163"/>
        <v>0.29764868222811675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-1.6671037883497774E-13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283.28499080043167</v>
      </c>
      <c r="AO198" s="62">
        <f t="shared" si="205"/>
        <v>278.56966286485783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7.4350628001601138E-2</v>
      </c>
      <c r="AV198" s="23">
        <f>EXP(-LN(2)/25)*AV197+(1-EXP(-LN(2)/25))/(LN(2)/25)*Calculateur!AQ198*Calculateur!AS198*VLOOKUP('Données projet'!$B$10,Paramètres!$A$1:$I$89,3,0)*0.475*44/12</f>
        <v>8.9826849788693597E-2</v>
      </c>
      <c r="AW198" s="23">
        <f>EXP(-LN(2)/2)*AW197+(1-EXP(-LN(2)/2))/(LN(2)/2)*AQ198*AT198*VLOOKUP('Données projet'!$B$10,Paramètres!$A$1:$I$89,3,0)*0.475*44/12</f>
        <v>1.8964995036031114E-24</v>
      </c>
      <c r="AX198" s="23">
        <f t="shared" si="166"/>
        <v>0.16417747779029473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-1.8089849618263545E-13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303.91914071195419</v>
      </c>
      <c r="BJ198" s="62">
        <f t="shared" si="206"/>
        <v>298.30050362688769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2.6803681698607095E-2</v>
      </c>
      <c r="BR198" s="23">
        <f>EXP(-LN(2)/2)*BR197+(1-EXP(-LN(2)/2))/(LN(2)/2)*BL198*BO198*VLOOKUP('Données projet'!$B$11,Paramètres!$A$1:$I$89,3,0)*0.475*44/12</f>
        <v>3.7219593400307724E-24</v>
      </c>
      <c r="BS198" s="24">
        <f t="shared" si="169"/>
        <v>2.6803681698607095E-2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446.15737983598251</v>
      </c>
      <c r="CE198" s="62">
        <f t="shared" si="207"/>
        <v>282.2299715529382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4.4337866711430253E-14</v>
      </c>
      <c r="CV198" s="14">
        <f t="shared" si="173"/>
        <v>7.3222115536967035E-13</v>
      </c>
      <c r="CW198" s="22">
        <f t="shared" si="174"/>
        <v>1.3525069634579169E-12</v>
      </c>
      <c r="CX198" s="62">
        <f t="shared" si="196"/>
        <v>292.69887834788761</v>
      </c>
      <c r="CY198" s="62">
        <f ca="1">AVERAGE(OFFSET($CX$3,0,0,'Données projet'!$E$13+1,1))-AVERAGE(OFFSET($H$3,0,0,'Données projet'!$E$13+1,1))</f>
        <v>293.03320024876842</v>
      </c>
      <c r="CZ198" s="62">
        <f t="shared" si="208"/>
        <v>287.49994652707915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5.9950294467345712E-25</v>
      </c>
      <c r="DI198" s="24">
        <f t="shared" si="175"/>
        <v>5.9950294467345712E-25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-1.7053025658242404E-13</v>
      </c>
      <c r="DP198" s="18">
        <f>DO198*VLOOKUP('Données projet'!$B$14,Paramètres!$A$1:$I$89,3,0)*VLOOKUP('Données projet'!$B$14,Paramètres!$A$1:$I$89,5,0)</f>
        <v>-9.3109520094003535E-14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253.0312006976271</v>
      </c>
      <c r="DU198" s="62">
        <f t="shared" si="209"/>
        <v>365.93937083714866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0.25445741674997802</v>
      </c>
      <c r="EB198" s="23">
        <f>EXP(-LN(2)/25)*EB197+(1-EXP(-LN(2)/25))/(LN(2)/25)*Calculateur!DW198*Calculateur!DY198*VLOOKUP('Données projet'!$B$14,Paramètres!$A$1:$I$89,3,0)*0.475*44/12</f>
        <v>9.8995335348228741E-2</v>
      </c>
      <c r="EC198" s="23">
        <f>EXP(-LN(2)/2)*EC197+(1-EXP(-LN(2)/2))/(LN(2)/2)*DW198*DZ198*VLOOKUP('Données projet'!$B$14,Paramètres!$A$1:$I$89,3,0)*0.475*44/12</f>
        <v>2.5569647398964396E-24</v>
      </c>
      <c r="ED198" s="24">
        <f t="shared" si="178"/>
        <v>0.35345275209820676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1.05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3.85</v>
      </c>
      <c r="H199" s="70">
        <f t="shared" si="192"/>
        <v>241.26666666666665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292.70988472345675</v>
      </c>
      <c r="S199" s="62">
        <f ca="1">AVERAGE(OFFSET($R$3,0,0,'Données projet'!$E$9+1,1))-AVERAGE(OFFSET($H$3,0,0,'Données projet'!$E$9+1,1))</f>
        <v>393.3487617557011</v>
      </c>
      <c r="T199" s="62">
        <f t="shared" si="204"/>
        <v>360.09400083977084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0.19797019288988013</v>
      </c>
      <c r="AA199" s="23">
        <f>EXP(-LN(2)/25)*AA198+(1-EXP(-LN(2)/25))/(LN(2)/25)*Calculateur!V199*Calculateur!X199*VLOOKUP('Données projet'!$B$9,Paramètres!$A$1:$I$89,3,0)*0.475*44/12</f>
        <v>9.3101332149513508E-2</v>
      </c>
      <c r="AB199" s="23">
        <f>EXP(-LN(2)/2)*AB198+(1-EXP(-LN(2)/2))/(LN(2)/2)*V199*Y199*VLOOKUP('Données projet'!$B$9,Paramètres!$A$1:$I$89,3,0)*0.475*44/12</f>
        <v>1.4767842765442841E-24</v>
      </c>
      <c r="AC199" s="24">
        <f t="shared" si="163"/>
        <v>0.29107152503939365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-1.6671037883497774E-13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283.28499080043167</v>
      </c>
      <c r="AO199" s="62">
        <f t="shared" si="205"/>
        <v>278.56966286485783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7.2892657535894939E-2</v>
      </c>
      <c r="AV199" s="23">
        <f>EXP(-LN(2)/25)*AV198+(1-EXP(-LN(2)/25))/(LN(2)/25)*Calculateur!AQ199*Calculateur!AS199*VLOOKUP('Données projet'!$B$10,Paramètres!$A$1:$I$89,3,0)*0.475*44/12</f>
        <v>8.7370529857433044E-2</v>
      </c>
      <c r="AW199" s="23">
        <f>EXP(-LN(2)/2)*AW198+(1-EXP(-LN(2)/2))/(LN(2)/2)*AQ199*AT199*VLOOKUP('Données projet'!$B$10,Paramètres!$A$1:$I$89,3,0)*0.475*44/12</f>
        <v>1.3410276595146813E-24</v>
      </c>
      <c r="AX199" s="23">
        <f t="shared" si="166"/>
        <v>0.16026318739332798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-1.8089849618263545E-13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303.91914071195419</v>
      </c>
      <c r="BJ199" s="62">
        <f t="shared" si="206"/>
        <v>298.30050362688769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2.6070733613014326E-2</v>
      </c>
      <c r="BR199" s="23">
        <f>EXP(-LN(2)/2)*BR198+(1-EXP(-LN(2)/2))/(LN(2)/2)*BL199*BO199*VLOOKUP('Données projet'!$B$11,Paramètres!$A$1:$I$89,3,0)*0.475*44/12</f>
        <v>2.6318226886363662E-24</v>
      </c>
      <c r="BS199" s="24">
        <f t="shared" si="169"/>
        <v>2.6070733613014326E-2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446.15737983598251</v>
      </c>
      <c r="CE199" s="62">
        <f t="shared" si="207"/>
        <v>282.2299715529382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4.4337866711430253E-14</v>
      </c>
      <c r="CV199" s="14">
        <f t="shared" si="173"/>
        <v>7.3222115536967035E-13</v>
      </c>
      <c r="CW199" s="22">
        <f t="shared" si="174"/>
        <v>1.3525069634579169E-12</v>
      </c>
      <c r="CX199" s="62">
        <f t="shared" si="196"/>
        <v>292.70988472345624</v>
      </c>
      <c r="CY199" s="62">
        <f ca="1">AVERAGE(OFFSET($CX$3,0,0,'Données projet'!$E$13+1,1))-AVERAGE(OFFSET($H$3,0,0,'Données projet'!$E$13+1,1))</f>
        <v>293.03320024876842</v>
      </c>
      <c r="CZ199" s="62">
        <f t="shared" si="208"/>
        <v>287.49994652707915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4.2391259751990514E-25</v>
      </c>
      <c r="DI199" s="24">
        <f t="shared" si="175"/>
        <v>4.2391259751990514E-25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-1.7053025658242404E-13</v>
      </c>
      <c r="DP199" s="18">
        <f>DO199*VLOOKUP('Données projet'!$B$14,Paramètres!$A$1:$I$89,3,0)*VLOOKUP('Données projet'!$B$14,Paramètres!$A$1:$I$89,5,0)</f>
        <v>-9.3109520094003535E-14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253.0312006976271</v>
      </c>
      <c r="DU199" s="62">
        <f t="shared" si="209"/>
        <v>365.93937083714866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0.24946766201121007</v>
      </c>
      <c r="EB199" s="23">
        <f>EXP(-LN(2)/25)*EB198+(1-EXP(-LN(2)/25))/(LN(2)/25)*Calculateur!DW199*Calculateur!DY199*VLOOKUP('Données projet'!$B$14,Paramètres!$A$1:$I$89,3,0)*0.475*44/12</f>
        <v>9.6288302697193004E-2</v>
      </c>
      <c r="EC199" s="23">
        <f>EXP(-LN(2)/2)*EC198+(1-EXP(-LN(2)/2))/(LN(2)/2)*DW199*DZ199*VLOOKUP('Données projet'!$B$14,Paramètres!$A$1:$I$89,3,0)*0.475*44/12</f>
        <v>1.8080471068356691E-24</v>
      </c>
      <c r="ED199" s="24">
        <f t="shared" si="178"/>
        <v>0.34575596470840309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1.05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3.85</v>
      </c>
      <c r="H200" s="70">
        <f t="shared" si="192"/>
        <v>241.26666666666665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292.72070016301586</v>
      </c>
      <c r="S200" s="62">
        <f ca="1">AVERAGE(OFFSET($R$3,0,0,'Données projet'!$E$9+1,1))-AVERAGE(OFFSET($H$3,0,0,'Données projet'!$E$9+1,1))</f>
        <v>393.3487617557011</v>
      </c>
      <c r="T200" s="62">
        <f t="shared" si="204"/>
        <v>360.09400083977084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0.19408811815720417</v>
      </c>
      <c r="AA200" s="23">
        <f>EXP(-LN(2)/25)*AA199+(1-EXP(-LN(2)/25))/(LN(2)/25)*Calculateur!V200*Calculateur!X200*VLOOKUP('Données projet'!$B$9,Paramètres!$A$1:$I$89,3,0)*0.475*44/12</f>
        <v>9.0555471325898793E-2</v>
      </c>
      <c r="AB200" s="23">
        <f>EXP(-LN(2)/2)*AB199+(1-EXP(-LN(2)/2))/(LN(2)/2)*V200*Y200*VLOOKUP('Données projet'!$B$9,Paramètres!$A$1:$I$89,3,0)*0.475*44/12</f>
        <v>1.044244176294133E-24</v>
      </c>
      <c r="AC200" s="24">
        <f t="shared" si="163"/>
        <v>0.28464358948310298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-1.6671037883497774E-13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283.28499080043167</v>
      </c>
      <c r="AO200" s="62">
        <f t="shared" si="205"/>
        <v>278.56966286485783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7.1463276981747065E-2</v>
      </c>
      <c r="AV200" s="23">
        <f>EXP(-LN(2)/25)*AV199+(1-EXP(-LN(2)/25))/(LN(2)/25)*Calculateur!AQ200*Calculateur!AS200*VLOOKUP('Données projet'!$B$10,Paramètres!$A$1:$I$89,3,0)*0.475*44/12</f>
        <v>8.4981378123865053E-2</v>
      </c>
      <c r="AW200" s="23">
        <f>EXP(-LN(2)/2)*AW199+(1-EXP(-LN(2)/2))/(LN(2)/2)*AQ200*AT200*VLOOKUP('Données projet'!$B$10,Paramètres!$A$1:$I$89,3,0)*0.475*44/12</f>
        <v>9.4824975180155572E-25</v>
      </c>
      <c r="AX200" s="23">
        <f t="shared" si="166"/>
        <v>0.15644465510561212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-1.8089849618263545E-13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303.91914071195419</v>
      </c>
      <c r="BJ200" s="62">
        <f t="shared" si="206"/>
        <v>298.30050362688769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2.5357828031366155E-2</v>
      </c>
      <c r="BR200" s="23">
        <f>EXP(-LN(2)/2)*BR199+(1-EXP(-LN(2)/2))/(LN(2)/2)*BL200*BO200*VLOOKUP('Données projet'!$B$11,Paramètres!$A$1:$I$89,3,0)*0.475*44/12</f>
        <v>1.8609796700153862E-24</v>
      </c>
      <c r="BS200" s="24">
        <f t="shared" si="169"/>
        <v>2.5357828031366155E-2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446.15737983598251</v>
      </c>
      <c r="CE200" s="62">
        <f t="shared" si="207"/>
        <v>282.2299715529382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4.4337866711430253E-14</v>
      </c>
      <c r="CV200" s="14">
        <f t="shared" si="173"/>
        <v>7.3222115536967035E-13</v>
      </c>
      <c r="CW200" s="22">
        <f t="shared" si="174"/>
        <v>1.3525069634579169E-12</v>
      </c>
      <c r="CX200" s="62">
        <f t="shared" si="196"/>
        <v>292.72070016301535</v>
      </c>
      <c r="CY200" s="62">
        <f ca="1">AVERAGE(OFFSET($CX$3,0,0,'Données projet'!$E$13+1,1))-AVERAGE(OFFSET($H$3,0,0,'Données projet'!$E$13+1,1))</f>
        <v>293.03320024876842</v>
      </c>
      <c r="CZ200" s="62">
        <f t="shared" si="208"/>
        <v>287.49994652707915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2.9975147233672856E-25</v>
      </c>
      <c r="DI200" s="24">
        <f t="shared" si="175"/>
        <v>2.9975147233672856E-25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-1.7053025658242404E-13</v>
      </c>
      <c r="DP200" s="18">
        <f>DO200*VLOOKUP('Données projet'!$B$14,Paramètres!$A$1:$I$89,3,0)*VLOOKUP('Données projet'!$B$14,Paramètres!$A$1:$I$89,5,0)</f>
        <v>-9.3109520094003535E-14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253.0312006976271</v>
      </c>
      <c r="DU200" s="62">
        <f t="shared" si="209"/>
        <v>365.93937083714866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0.2445757533194195</v>
      </c>
      <c r="EB200" s="23">
        <f>EXP(-LN(2)/25)*EB199+(1-EXP(-LN(2)/25))/(LN(2)/25)*Calculateur!DW200*Calculateur!DY200*VLOOKUP('Données projet'!$B$14,Paramètres!$A$1:$I$89,3,0)*0.475*44/12</f>
        <v>9.3655293996356498E-2</v>
      </c>
      <c r="EC200" s="23">
        <f>EXP(-LN(2)/2)*EC199+(1-EXP(-LN(2)/2))/(LN(2)/2)*DW200*DZ200*VLOOKUP('Données projet'!$B$14,Paramètres!$A$1:$I$89,3,0)*0.475*44/12</f>
        <v>1.2784823699482198E-24</v>
      </c>
      <c r="ED200" s="24">
        <f t="shared" si="178"/>
        <v>0.33823104731577602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1.05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3.85</v>
      </c>
      <c r="H201" s="70">
        <f t="shared" si="192"/>
        <v>241.26666666666665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292.73132797887831</v>
      </c>
      <c r="S201" s="62">
        <f ca="1">AVERAGE(OFFSET($R$3,0,0,'Données projet'!$E$9+1,1))-AVERAGE(OFFSET($H$3,0,0,'Données projet'!$E$9+1,1))</f>
        <v>393.3487617557011</v>
      </c>
      <c r="T201" s="62">
        <f t="shared" si="204"/>
        <v>360.09400083977084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0.19028216854220423</v>
      </c>
      <c r="AA201" s="23">
        <f>EXP(-LN(2)/25)*AA200+(1-EXP(-LN(2)/25))/(LN(2)/25)*Calculateur!V201*Calculateur!X201*VLOOKUP('Données projet'!$B$9,Paramètres!$A$1:$I$89,3,0)*0.475*44/12</f>
        <v>8.8079227200386814E-2</v>
      </c>
      <c r="AB201" s="23">
        <f>EXP(-LN(2)/2)*AB200+(1-EXP(-LN(2)/2))/(LN(2)/2)*V201*Y201*VLOOKUP('Données projet'!$B$9,Paramètres!$A$1:$I$89,3,0)*0.475*44/12</f>
        <v>7.3839213827214206E-25</v>
      </c>
      <c r="AC201" s="24">
        <f t="shared" si="163"/>
        <v>0.27836139574259106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-1.6671037883497774E-13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283.28499080043167</v>
      </c>
      <c r="AO201" s="62">
        <f t="shared" si="205"/>
        <v>278.56966286485783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7.0061925708429978E-2</v>
      </c>
      <c r="AV201" s="23">
        <f>EXP(-LN(2)/25)*AV200+(1-EXP(-LN(2)/25))/(LN(2)/25)*Calculateur!AQ201*Calculateur!AS201*VLOOKUP('Données projet'!$B$10,Paramètres!$A$1:$I$89,3,0)*0.475*44/12</f>
        <v>8.2657557870091519E-2</v>
      </c>
      <c r="AW201" s="23">
        <f>EXP(-LN(2)/2)*AW200+(1-EXP(-LN(2)/2))/(LN(2)/2)*AQ201*AT201*VLOOKUP('Données projet'!$B$10,Paramètres!$A$1:$I$89,3,0)*0.475*44/12</f>
        <v>6.7051382975734066E-25</v>
      </c>
      <c r="AX201" s="23">
        <f t="shared" si="166"/>
        <v>0.1527194835785215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-1.8089849618263545E-13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303.91914071195419</v>
      </c>
      <c r="BJ201" s="62">
        <f t="shared" si="206"/>
        <v>298.30050362688769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2.4664416890338228E-2</v>
      </c>
      <c r="BR201" s="23">
        <f>EXP(-LN(2)/2)*BR200+(1-EXP(-LN(2)/2))/(LN(2)/2)*BL201*BO201*VLOOKUP('Données projet'!$B$11,Paramètres!$A$1:$I$89,3,0)*0.475*44/12</f>
        <v>1.3159113443181831E-24</v>
      </c>
      <c r="BS201" s="24">
        <f t="shared" si="169"/>
        <v>2.4664416890338228E-2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446.15737983598251</v>
      </c>
      <c r="CE201" s="62">
        <f t="shared" si="207"/>
        <v>282.2299715529382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4.4337866711430253E-14</v>
      </c>
      <c r="CV201" s="14">
        <f t="shared" si="173"/>
        <v>7.3222115536967035E-13</v>
      </c>
      <c r="CW201" s="22">
        <f t="shared" si="174"/>
        <v>1.3525069634579169E-12</v>
      </c>
      <c r="CX201" s="62">
        <f t="shared" si="196"/>
        <v>292.7313279788778</v>
      </c>
      <c r="CY201" s="62">
        <f ca="1">AVERAGE(OFFSET($CX$3,0,0,'Données projet'!$E$13+1,1))-AVERAGE(OFFSET($H$3,0,0,'Données projet'!$E$13+1,1))</f>
        <v>293.03320024876842</v>
      </c>
      <c r="CZ201" s="62">
        <f t="shared" si="208"/>
        <v>287.49994652707915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2.1195629875995257E-25</v>
      </c>
      <c r="DI201" s="24">
        <f t="shared" si="175"/>
        <v>2.1195629875995257E-25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-1.7053025658242404E-13</v>
      </c>
      <c r="DP201" s="18">
        <f>DO201*VLOOKUP('Données projet'!$B$14,Paramètres!$A$1:$I$89,3,0)*VLOOKUP('Données projet'!$B$14,Paramètres!$A$1:$I$89,5,0)</f>
        <v>-9.3109520094003535E-14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253.0312006976271</v>
      </c>
      <c r="DU201" s="62">
        <f t="shared" si="209"/>
        <v>365.93937083714866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0.23977977197330524</v>
      </c>
      <c r="EB201" s="23">
        <f>EXP(-LN(2)/25)*EB200+(1-EXP(-LN(2)/25))/(LN(2)/25)*Calculateur!DW201*Calculateur!DY201*VLOOKUP('Données projet'!$B$14,Paramètres!$A$1:$I$89,3,0)*0.475*44/12</f>
        <v>9.1094285056908267E-2</v>
      </c>
      <c r="EC201" s="23">
        <f>EXP(-LN(2)/2)*EC200+(1-EXP(-LN(2)/2))/(LN(2)/2)*DW201*DZ201*VLOOKUP('Données projet'!$B$14,Paramètres!$A$1:$I$89,3,0)*0.475*44/12</f>
        <v>9.0402355341783454E-25</v>
      </c>
      <c r="ED201" s="24">
        <f t="shared" si="178"/>
        <v>0.3308740570302135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1.05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3.85</v>
      </c>
      <c r="H202" s="70">
        <f t="shared" si="192"/>
        <v>241.26666666666665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292.74177142589576</v>
      </c>
      <c r="S202" s="62">
        <f ca="1">AVERAGE(OFFSET($R$3,0,0,'Données projet'!$E$9+1,1))-AVERAGE(OFFSET($H$3,0,0,'Données projet'!$E$9+1,1))</f>
        <v>393.3487617557011</v>
      </c>
      <c r="T202" s="62">
        <f t="shared" si="204"/>
        <v>360.09400083977084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0.18655085127775436</v>
      </c>
      <c r="AA202" s="23">
        <f>EXP(-LN(2)/25)*AA201+(1-EXP(-LN(2)/25))/(LN(2)/25)*Calculateur!V202*Calculateur!X202*VLOOKUP('Données projet'!$B$9,Paramètres!$A$1:$I$89,3,0)*0.475*44/12</f>
        <v>8.5670696100706989E-2</v>
      </c>
      <c r="AB202" s="23">
        <f>EXP(-LN(2)/2)*AB201+(1-EXP(-LN(2)/2))/(LN(2)/2)*V202*Y202*VLOOKUP('Données projet'!$B$9,Paramètres!$A$1:$I$89,3,0)*0.475*44/12</f>
        <v>5.2212208814706649E-25</v>
      </c>
      <c r="AC202" s="24">
        <f t="shared" si="163"/>
        <v>0.27222154737846138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-1.6671037883497774E-13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283.28499080043167</v>
      </c>
      <c r="AO202" s="62">
        <f t="shared" si="205"/>
        <v>278.56966286485783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6.8688054078842764E-2</v>
      </c>
      <c r="AV202" s="23">
        <f>EXP(-LN(2)/25)*AV201+(1-EXP(-LN(2)/25))/(LN(2)/25)*Calculateur!AQ202*Calculateur!AS202*VLOOKUP('Données projet'!$B$10,Paramètres!$A$1:$I$89,3,0)*0.475*44/12</f>
        <v>8.0397282603361819E-2</v>
      </c>
      <c r="AW202" s="23">
        <f>EXP(-LN(2)/2)*AW201+(1-EXP(-LN(2)/2))/(LN(2)/2)*AQ202*AT202*VLOOKUP('Données projet'!$B$10,Paramètres!$A$1:$I$89,3,0)*0.475*44/12</f>
        <v>4.7412487590077786E-25</v>
      </c>
      <c r="AX202" s="23">
        <f t="shared" si="166"/>
        <v>0.14908533668220458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-1.8089849618263545E-13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303.91914071195419</v>
      </c>
      <c r="BJ202" s="62">
        <f t="shared" si="206"/>
        <v>298.30050362688769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2.3989967113426616E-2</v>
      </c>
      <c r="BR202" s="23">
        <f>EXP(-LN(2)/2)*BR201+(1-EXP(-LN(2)/2))/(LN(2)/2)*BL202*BO202*VLOOKUP('Données projet'!$B$11,Paramètres!$A$1:$I$89,3,0)*0.475*44/12</f>
        <v>9.3048983500769309E-25</v>
      </c>
      <c r="BS202" s="24">
        <f t="shared" si="169"/>
        <v>2.3989967113426616E-2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446.15737983598251</v>
      </c>
      <c r="CE202" s="62">
        <f t="shared" si="207"/>
        <v>282.2299715529382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4.4337866711430253E-14</v>
      </c>
      <c r="CV202" s="14">
        <f t="shared" si="173"/>
        <v>7.3222115536967035E-13</v>
      </c>
      <c r="CW202" s="22">
        <f t="shared" si="174"/>
        <v>1.3525069634579169E-12</v>
      </c>
      <c r="CX202" s="62">
        <f t="shared" si="196"/>
        <v>292.74177142589525</v>
      </c>
      <c r="CY202" s="62">
        <f ca="1">AVERAGE(OFFSET($CX$3,0,0,'Données projet'!$E$13+1,1))-AVERAGE(OFFSET($H$3,0,0,'Données projet'!$E$13+1,1))</f>
        <v>293.03320024876842</v>
      </c>
      <c r="CZ202" s="62">
        <f t="shared" si="208"/>
        <v>287.49994652707915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1.4987573616836428E-25</v>
      </c>
      <c r="DI202" s="24">
        <f t="shared" si="175"/>
        <v>1.4987573616836428E-25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-1.7053025658242404E-13</v>
      </c>
      <c r="DP202" s="18">
        <f>DO202*VLOOKUP('Données projet'!$B$14,Paramètres!$A$1:$I$89,3,0)*VLOOKUP('Données projet'!$B$14,Paramètres!$A$1:$I$89,5,0)</f>
        <v>-9.3109520094003535E-14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253.0312006976271</v>
      </c>
      <c r="DU202" s="62">
        <f t="shared" si="209"/>
        <v>365.93937083714866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0.23507783689612852</v>
      </c>
      <c r="EB202" s="23">
        <f>EXP(-LN(2)/25)*EB201+(1-EXP(-LN(2)/25))/(LN(2)/25)*Calculateur!DW202*Calculateur!DY202*VLOOKUP('Données projet'!$B$14,Paramètres!$A$1:$I$89,3,0)*0.475*44/12</f>
        <v>8.8603307041586851E-2</v>
      </c>
      <c r="EC202" s="23">
        <f>EXP(-LN(2)/2)*EC201+(1-EXP(-LN(2)/2))/(LN(2)/2)*DW202*DZ202*VLOOKUP('Données projet'!$B$14,Paramètres!$A$1:$I$89,3,0)*0.475*44/12</f>
        <v>6.3924118497410991E-25</v>
      </c>
      <c r="ED202" s="24">
        <f t="shared" si="178"/>
        <v>0.32368114393771535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1.05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3.85</v>
      </c>
      <c r="H203" s="70">
        <f t="shared" si="192"/>
        <v>241.26666666666665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292.75203370245555</v>
      </c>
      <c r="S203" s="62">
        <f ca="1">AVERAGE(OFFSET($R$3,0,0,'Données projet'!$E$9+1,1))-AVERAGE(OFFSET($H$3,0,0,'Données projet'!$E$9+1,1))</f>
        <v>393.3487617557011</v>
      </c>
      <c r="T203" s="62">
        <f t="shared" si="204"/>
        <v>360.09400083977084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0.18289270286898157</v>
      </c>
      <c r="AA203" s="23">
        <f>EXP(-LN(2)/25)*AA202+(1-EXP(-LN(2)/25))/(LN(2)/25)*Calculateur!V203*Calculateur!X203*VLOOKUP('Données projet'!$B$9,Paramètres!$A$1:$I$89,3,0)*0.475*44/12</f>
        <v>8.3328026410607048E-2</v>
      </c>
      <c r="AB203" s="23">
        <f>EXP(-LN(2)/2)*AB202+(1-EXP(-LN(2)/2))/(LN(2)/2)*V203*Y203*VLOOKUP('Données projet'!$B$9,Paramètres!$A$1:$I$89,3,0)*0.475*44/12</f>
        <v>3.6919606913607103E-25</v>
      </c>
      <c r="AC203" s="24">
        <f t="shared" si="163"/>
        <v>0.26622072927958862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-1.6671037883497774E-13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283.28499080043167</v>
      </c>
      <c r="AO203" s="62">
        <f t="shared" si="205"/>
        <v>278.56966286485783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6.7341123233932806E-2</v>
      </c>
      <c r="AV203" s="23">
        <f>EXP(-LN(2)/25)*AV202+(1-EXP(-LN(2)/25))/(LN(2)/25)*Calculateur!AQ203*Calculateur!AS203*VLOOKUP('Données projet'!$B$10,Paramètres!$A$1:$I$89,3,0)*0.475*44/12</f>
        <v>7.8198814682663542E-2</v>
      </c>
      <c r="AW203" s="23">
        <f>EXP(-LN(2)/2)*AW202+(1-EXP(-LN(2)/2))/(LN(2)/2)*AQ203*AT203*VLOOKUP('Données projet'!$B$10,Paramètres!$A$1:$I$89,3,0)*0.475*44/12</f>
        <v>3.3525691487867033E-25</v>
      </c>
      <c r="AX203" s="23">
        <f t="shared" si="166"/>
        <v>0.14553993791659636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-1.8089849618263545E-13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303.91914071195419</v>
      </c>
      <c r="BJ203" s="62">
        <f t="shared" si="206"/>
        <v>298.30050362688769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2.3333960201132424E-2</v>
      </c>
      <c r="BR203" s="23">
        <f>EXP(-LN(2)/2)*BR202+(1-EXP(-LN(2)/2))/(LN(2)/2)*BL203*BO203*VLOOKUP('Données projet'!$B$11,Paramètres!$A$1:$I$89,3,0)*0.475*44/12</f>
        <v>6.5795567215909155E-25</v>
      </c>
      <c r="BS203" s="24">
        <f t="shared" si="169"/>
        <v>2.3333960201132424E-2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446.15737983598251</v>
      </c>
      <c r="CE203" s="62">
        <f t="shared" si="207"/>
        <v>282.2299715529382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4.4337866711430253E-14</v>
      </c>
      <c r="CV203" s="14">
        <f t="shared" si="173"/>
        <v>7.3222115536967035E-13</v>
      </c>
      <c r="CW203" s="22">
        <f t="shared" si="174"/>
        <v>1.3525069634579169E-12</v>
      </c>
      <c r="CX203" s="62">
        <f t="shared" si="196"/>
        <v>292.75203370245504</v>
      </c>
      <c r="CY203" s="62">
        <f ca="1">AVERAGE(OFFSET($CX$3,0,0,'Données projet'!$E$13+1,1))-AVERAGE(OFFSET($H$3,0,0,'Données projet'!$E$13+1,1))</f>
        <v>293.03320024876842</v>
      </c>
      <c r="CZ203" s="62">
        <f t="shared" si="208"/>
        <v>287.49994652707915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1.0597814937997628E-25</v>
      </c>
      <c r="DI203" s="24">
        <f t="shared" si="175"/>
        <v>1.0597814937997628E-25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-1.7053025658242404E-13</v>
      </c>
      <c r="DP203" s="18">
        <f>DO203*VLOOKUP('Données projet'!$B$14,Paramètres!$A$1:$I$89,3,0)*VLOOKUP('Données projet'!$B$14,Paramètres!$A$1:$I$89,5,0)</f>
        <v>-9.3109520094003535E-14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253.0312006976271</v>
      </c>
      <c r="DU203" s="62">
        <f t="shared" si="209"/>
        <v>365.93937083714866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0.23046810389791803</v>
      </c>
      <c r="EB203" s="23">
        <f>EXP(-LN(2)/25)*EB202+(1-EXP(-LN(2)/25))/(LN(2)/25)*Calculateur!DW203*Calculateur!DY203*VLOOKUP('Données projet'!$B$14,Paramètres!$A$1:$I$89,3,0)*0.475*44/12</f>
        <v>8.6180444951089244E-2</v>
      </c>
      <c r="EC203" s="23">
        <f>EXP(-LN(2)/2)*EC202+(1-EXP(-LN(2)/2))/(LN(2)/2)*DW203*DZ203*VLOOKUP('Données projet'!$B$14,Paramètres!$A$1:$I$89,3,0)*0.475*44/12</f>
        <v>4.5201177670891727E-25</v>
      </c>
      <c r="ED203" s="24">
        <f t="shared" si="178"/>
        <v>0.31664854884900728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1.3037606943669584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1.2721747796233518</v>
      </c>
      <c r="BA205" s="88">
        <f>EXP(LN('Données projet'!B88)/'Données projet'!A88)</f>
        <v>1.2721747796233518</v>
      </c>
      <c r="BV205" s="88">
        <f>EXP(LN('Données projet'!B114)/'Données projet'!A114)</f>
        <v>1.2392705892426346</v>
      </c>
      <c r="CQ205" s="88">
        <f>EXP(LN('Données projet'!B140)/'Données projet'!A140)</f>
        <v>1.2788040393997409</v>
      </c>
      <c r="DL205" s="88">
        <f>EXP(LN('Données projet'!B166)/'Données projet'!A166)</f>
        <v>1.5180683844287584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15" sqref="M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2.0869200000000001</v>
      </c>
      <c r="C6" s="156">
        <f ca="1">IF(OR('Données projet'!B9="",'Données projet'!C9="",'Données projet'!C9=0%),0,Calculateur!S3)</f>
        <v>393.3487617557011</v>
      </c>
      <c r="D6" s="156">
        <f>IF(OR('Données projet'!B9="",'Données projet'!C9="",'Données projet'!C9=0%),0,Calculateur!T3)</f>
        <v>360.09400083977084</v>
      </c>
      <c r="E6" s="156">
        <f ca="1">MIN(C6,D6)</f>
        <v>360.09400083977084</v>
      </c>
      <c r="F6" s="156">
        <f ca="1">E6*B6</f>
        <v>751.48737223253465</v>
      </c>
      <c r="G6" s="156">
        <f ca="1">F6*(100%-'Données projet'!$C$24)*(100%-'Données projet'!$C$25)*(100%-'Données projet'!$C$26)*(100%-'Données projet'!$C$27)</f>
        <v>676.33863500928123</v>
      </c>
      <c r="H6" s="157">
        <f>IF(OR('Données projet'!B9="",'Données projet'!C9="",'Données projet'!C9=0%),0,AVERAGE(Calculateur!$AC$3:$AC$33)*B6)</f>
        <v>16.395055298324365</v>
      </c>
      <c r="I6" s="158">
        <f>H6*(100%-'Données projet'!$C$24)*(100%-'Données projet'!$C$25)*(100%-'Données projet'!$C$26)*(100%-'Données projet'!$C$27)</f>
        <v>14.75554976849193</v>
      </c>
      <c r="J6" s="159">
        <f>IF(OR('Données projet'!B9="",'Données projet'!C9="",'Données projet'!C9=0%),0,SUM(Calculateur!$V$3:$V$33)*VLOOKUP('Données projet'!$B$9,Paramètres!$A$1:$I$89,9,0)*B6)</f>
        <v>118.624080564</v>
      </c>
      <c r="K6" s="160">
        <f>J6*(100%-'Données projet'!$C$24)*(100%-'Données projet'!$C$25)*(100%-'Données projet'!$C$26)*(100%-'Données projet'!$C$27)</f>
        <v>106.7616725076</v>
      </c>
      <c r="L6" s="161">
        <f ca="1">G6+I6+K6</f>
        <v>797.85585728537319</v>
      </c>
      <c r="M6" s="25">
        <f ca="1">L6/B6</f>
        <v>382.31262208679448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2.2664400000000002</v>
      </c>
      <c r="C7" s="156">
        <f ca="1">IF(OR('Données projet'!B10="",'Données projet'!C10="",'Données projet'!C10=0%),0,Calculateur!AN3)</f>
        <v>283.28499080043167</v>
      </c>
      <c r="D7" s="156">
        <f>IF(OR('Données projet'!B10="",'Données projet'!C10="",'Données projet'!C10=0%),0,Calculateur!AO3)</f>
        <v>278.56966286485783</v>
      </c>
      <c r="E7" s="156">
        <f t="shared" ref="E7:E15" ca="1" si="0">MIN(C7,D7)</f>
        <v>278.56966286485783</v>
      </c>
      <c r="F7" s="156">
        <f t="shared" ref="F7:F15" ca="1" si="1">E7*B7</f>
        <v>631.36142670342849</v>
      </c>
      <c r="G7" s="156">
        <f ca="1">F7*(100%-'Données projet'!$C$24)*(100%-'Données projet'!$C$25)*(100%-'Données projet'!$C$26)*(100%-'Données projet'!$C$27)</f>
        <v>568.2252840330857</v>
      </c>
      <c r="H7" s="164">
        <f>IF(OR('Données projet'!B10="",'Données projet'!C10="",'Données projet'!C10=0%),0,AVERAGE(Calculateur!$AX$3:$AX$33)*B7)</f>
        <v>12.475422430233291</v>
      </c>
      <c r="I7" s="158">
        <f>H7*(100%-'Données projet'!$C$24)*(100%-'Données projet'!$C$25)*(100%-'Données projet'!$C$26)*(100%-'Données projet'!$C$27)</f>
        <v>11.227880187209962</v>
      </c>
      <c r="J7" s="159">
        <f>IF(OR('Données projet'!B10="",'Données projet'!C10="",'Données projet'!C10=0%),0,SUM(Calculateur!$AQ$3:$AQ$33)*VLOOKUP('Données projet'!$B$10,Paramètres!$A$1:$I$89,9,0)*B7)</f>
        <v>56.094390000000004</v>
      </c>
      <c r="K7" s="160">
        <f>J7*(100%-'Données projet'!$C$24)*(100%-'Données projet'!$C$25)*(100%-'Données projet'!$C$26)*(100%-'Données projet'!$C$27)</f>
        <v>50.484951000000002</v>
      </c>
      <c r="L7" s="161">
        <f t="shared" ref="L7:L15" ca="1" si="2">G7+I7+K7</f>
        <v>629.93811522029569</v>
      </c>
      <c r="M7" s="25">
        <f ca="1">L7/B7</f>
        <v>277.94166852874798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sycomore</v>
      </c>
      <c r="B8" s="163">
        <f>'Données projet'!D11</f>
        <v>2.4684000000000004</v>
      </c>
      <c r="C8" s="156">
        <f ca="1">IF(OR('Données projet'!B11="",'Données projet'!C11="",'Données projet'!C11=0%),0,Calculateur!BI3)</f>
        <v>303.91914071195419</v>
      </c>
      <c r="D8" s="156">
        <f>IF(OR('Données projet'!B11="",'Données projet'!C11="",'Données projet'!C11=0%),0,Calculateur!BJ3)</f>
        <v>298.30050362688769</v>
      </c>
      <c r="E8" s="156">
        <f t="shared" ca="1" si="0"/>
        <v>298.30050362688769</v>
      </c>
      <c r="F8" s="156">
        <f t="shared" ca="1" si="1"/>
        <v>736.32496315260971</v>
      </c>
      <c r="G8" s="156">
        <f ca="1">F8*(100%-'Données projet'!$C$24)*(100%-'Données projet'!$C$25)*(100%-'Données projet'!$C$26)*(100%-'Données projet'!$C$27)</f>
        <v>662.69246683734877</v>
      </c>
      <c r="H8" s="164">
        <f>IF(OR('Données projet'!B11="",'Données projet'!C11="",'Données projet'!C11=0%),0,AVERAGE(Calculateur!$BS$3:$BS$33)*B8)</f>
        <v>15.517630942748189</v>
      </c>
      <c r="I8" s="158">
        <f>H8*(100%-'Données projet'!$C$24)*(100%-'Données projet'!$C$25)*(100%-'Données projet'!$C$26)*(100%-'Données projet'!$C$27)</f>
        <v>13.965867848473371</v>
      </c>
      <c r="J8" s="159">
        <f>IF(OR('Données projet'!B11="",'Données projet'!C11="",'Données projet'!C11=0%),0,SUM(Calculateur!$BL$3:$BL$33)*VLOOKUP('Données projet'!$B$11,Paramètres!$A$1:$I$89,9,0)*B8)</f>
        <v>61.092900000000007</v>
      </c>
      <c r="K8" s="160">
        <f>J8*(100%-'Données projet'!$C$24)*(100%-'Données projet'!$C$25)*(100%-'Données projet'!$C$26)*(100%-'Données projet'!$C$27)</f>
        <v>54.983610000000006</v>
      </c>
      <c r="L8" s="161">
        <f t="shared" ca="1" si="2"/>
        <v>731.64194468582218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sessile</v>
      </c>
      <c r="B9" s="163">
        <f>'Données projet'!D12</f>
        <v>2.0196000000000001</v>
      </c>
      <c r="C9" s="156">
        <f ca="1">IF(OR('Données projet'!B12="",'Données projet'!C12="",'Données projet'!C12=0%),0,Calculateur!CD3)</f>
        <v>446.15737983598251</v>
      </c>
      <c r="D9" s="156">
        <f>IF(OR('Données projet'!B12="",'Données projet'!C12="",'Données projet'!C12=0%),0,Calculateur!CE3)</f>
        <v>282.2299715529382</v>
      </c>
      <c r="E9" s="156">
        <f t="shared" ca="1" si="0"/>
        <v>282.2299715529382</v>
      </c>
      <c r="F9" s="156">
        <f t="shared" ca="1" si="1"/>
        <v>569.99165054831394</v>
      </c>
      <c r="G9" s="156">
        <f ca="1">F9*(100%-'Données projet'!$C$24)*(100%-'Données projet'!$C$25)*(100%-'Données projet'!$C$26)*(100%-'Données projet'!$C$27)</f>
        <v>512.9924854934826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31.303800000000003</v>
      </c>
      <c r="K9" s="160">
        <f>J9*(100%-'Données projet'!$C$24)*(100%-'Données projet'!$C$25)*(100%-'Données projet'!$C$26)*(100%-'Données projet'!$C$27)</f>
        <v>28.173420000000004</v>
      </c>
      <c r="L9" s="161">
        <f t="shared" ca="1" si="2"/>
        <v>541.16590549348257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Merisier</v>
      </c>
      <c r="B10" s="163">
        <f>'Données projet'!D13</f>
        <v>0.23562000000000002</v>
      </c>
      <c r="C10" s="156">
        <f ca="1">IF(OR('Données projet'!B13="",'Données projet'!C13="",'Données projet'!C13=0%),0,Calculateur!CY3)</f>
        <v>293.03320024876842</v>
      </c>
      <c r="D10" s="156">
        <f>IF(OR('Données projet'!B13="",'Données projet'!C13="",'Données projet'!C13=0%),0,Calculateur!CZ3)</f>
        <v>287.49994652707915</v>
      </c>
      <c r="E10" s="156">
        <f t="shared" ca="1" si="0"/>
        <v>287.49994652707915</v>
      </c>
      <c r="F10" s="156">
        <f t="shared" ca="1" si="1"/>
        <v>67.740737400710401</v>
      </c>
      <c r="G10" s="156">
        <f ca="1">F10*(100%-'Données projet'!$C$24)*(100%-'Données projet'!$C$25)*(100%-'Données projet'!$C$26)*(100%-'Données projet'!$C$27)</f>
        <v>60.966663660639362</v>
      </c>
      <c r="H10" s="164">
        <f>IF(OR('Données projet'!B13="",'Données projet'!C13="",'Données projet'!C13=0%),0,AVERAGE(Calculateur!$DI$3:$DI$33)*B10)</f>
        <v>0.97516501390050425</v>
      </c>
      <c r="I10" s="158">
        <f>H10*(100%-'Données projet'!$C$24)*(100%-'Données projet'!$C$25)*(100%-'Données projet'!$C$26)*(100%-'Données projet'!$C$27)</f>
        <v>0.87764851251045384</v>
      </c>
      <c r="J10" s="159">
        <f>IF(OR('Données projet'!B13="",'Données projet'!C13="",'Données projet'!C13=0%),0,SUM(Calculateur!$DB$3:$DB$33)*VLOOKUP('Données projet'!$B$13,Paramètres!$A$1:$I$89,9,0)*B10)</f>
        <v>3.2397750000000003</v>
      </c>
      <c r="K10" s="160">
        <f>J10*(100%-'Données projet'!$C$24)*(100%-'Données projet'!$C$25)*(100%-'Données projet'!$C$26)*(100%-'Données projet'!$C$27)</f>
        <v>2.9157975000000005</v>
      </c>
      <c r="L10" s="161">
        <f t="shared" ca="1" si="2"/>
        <v>64.760109673149813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Mélèze hybride</v>
      </c>
      <c r="B11" s="163">
        <f>'Données projet'!D14</f>
        <v>1.67178</v>
      </c>
      <c r="C11" s="156">
        <f ca="1">IF(OR('Données projet'!B14="",'Données projet'!C14="",'Données projet'!C14=0%),0,Calculateur!DT3)</f>
        <v>253.0312006976271</v>
      </c>
      <c r="D11" s="156">
        <f>IF(OR('Données projet'!B14="",'Données projet'!C14="",'Données projet'!C14=0%),0,Calculateur!DU3)</f>
        <v>365.93937083714866</v>
      </c>
      <c r="E11" s="156">
        <f t="shared" ca="1" si="0"/>
        <v>253.0312006976271</v>
      </c>
      <c r="F11" s="156">
        <f t="shared" ca="1" si="1"/>
        <v>423.01250070227906</v>
      </c>
      <c r="G11" s="156">
        <f ca="1">F11*(100%-'Données projet'!$C$24)*(100%-'Données projet'!$C$25)*(100%-'Données projet'!$C$26)*(100%-'Données projet'!$C$27)</f>
        <v>380.71125063205113</v>
      </c>
      <c r="H11" s="164">
        <f>IF(OR('Données projet'!B14="",'Données projet'!C14="",'Données projet'!C14=0%),0,AVERAGE(Calculateur!$ED$3:$ED$33)*B11)</f>
        <v>19.035934674386542</v>
      </c>
      <c r="I11" s="158">
        <f>H11*(100%-'Données projet'!$C$24)*(100%-'Données projet'!$C$25)*(100%-'Données projet'!$C$26)*(100%-'Données projet'!$C$27)</f>
        <v>17.132341206947888</v>
      </c>
      <c r="J11" s="159">
        <f>IF(OR('Données projet'!B14="",'Données projet'!C14="",'Données projet'!C14=0%),0,SUM(Calculateur!$DW$3:$DW$33)*VLOOKUP('Données projet'!$B$14,Paramètres!$A$1:$I$89,9,0)*B11)</f>
        <v>134.42782979999998</v>
      </c>
      <c r="K11" s="160">
        <f>J11*(100%-'Données projet'!$C$24)*(100%-'Données projet'!$C$25)*(100%-'Données projet'!$C$26)*(100%-'Données projet'!$C$27)</f>
        <v>120.98504681999999</v>
      </c>
      <c r="L11" s="161">
        <f t="shared" ca="1" si="2"/>
        <v>518.82863865899901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3179.9186507398758</v>
      </c>
      <c r="G16" s="175">
        <f t="shared" ca="1" si="3"/>
        <v>2861.9267856658889</v>
      </c>
      <c r="H16" s="176">
        <f t="shared" si="3"/>
        <v>64.39920835959289</v>
      </c>
      <c r="I16" s="176">
        <f t="shared" si="3"/>
        <v>57.959287523633606</v>
      </c>
      <c r="J16" s="177">
        <f t="shared" si="3"/>
        <v>404.78277536400003</v>
      </c>
      <c r="K16" s="177">
        <f t="shared" si="3"/>
        <v>364.30449782759996</v>
      </c>
      <c r="L16" s="178">
        <f t="shared" ca="1" si="3"/>
        <v>3284.1905710171222</v>
      </c>
      <c r="M16" s="25">
        <f ca="1">L16/6.42</f>
        <v>511.55616370983211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Mélèze hybride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5" sqref="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1834.5490195942696</v>
      </c>
      <c r="U10" s="190">
        <f>'Données projet'!D9</f>
        <v>2.0869200000000001</v>
      </c>
      <c r="V10" s="189">
        <f>U10*T10</f>
        <v>3828.557039971673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2112.2886926311694</v>
      </c>
      <c r="U11" s="190">
        <f>'Données projet'!D10</f>
        <v>2.2664400000000002</v>
      </c>
      <c r="V11" s="189">
        <f t="shared" ref="V11" si="0">U11*T11</f>
        <v>4787.375584526988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3090.9793751399343</v>
      </c>
      <c r="U12" s="190">
        <f>'Données projet'!D11</f>
        <v>2.4684000000000004</v>
      </c>
      <c r="V12" s="189">
        <f t="shared" ref="V12:V19" si="1">U12*T12</f>
        <v>7629.7734895954145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sessile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2450.0665251476748</v>
      </c>
      <c r="U13" s="190">
        <f>'Données projet'!D12</f>
        <v>2.0196000000000001</v>
      </c>
      <c r="V13" s="189">
        <f t="shared" si="1"/>
        <v>4948.1543541882438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Merisier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2992.477401780217</v>
      </c>
      <c r="U14" s="190">
        <f>'Données projet'!D13</f>
        <v>0.23562000000000002</v>
      </c>
      <c r="V14" s="189">
        <f t="shared" si="1"/>
        <v>705.08752540745479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Mélèze hybride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5335.5984115339106</v>
      </c>
      <c r="U15" s="190">
        <f>'Données projet'!D14</f>
        <v>1.67178</v>
      </c>
      <c r="V15" s="189">
        <f t="shared" si="1"/>
        <v>8919.9467124341609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74897/11.22</f>
        <v>6675.3119429590015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(1987+4668)/11.22</f>
        <v>593.13725490196077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(1987+2801+4668)/11.22</f>
        <v>842.78074866310158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>
        <v>10</v>
      </c>
      <c r="D23" s="194">
        <f>B23*C23</f>
        <v>0</v>
      </c>
      <c r="E23" s="206"/>
      <c r="F23" s="261"/>
      <c r="H23" s="203">
        <v>3</v>
      </c>
      <c r="I23" s="204">
        <f>(2062+2801+4668)/11.22</f>
        <v>849.46524064171115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-81981.148993187817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64.58</v>
      </c>
      <c r="C24" s="206">
        <v>10</v>
      </c>
      <c r="D24" s="194">
        <f t="shared" ref="D24:D42" si="2">B24*C24</f>
        <v>645.79999999999995</v>
      </c>
      <c r="E24" s="206"/>
      <c r="F24" s="264"/>
      <c r="H24" s="203">
        <v>4</v>
      </c>
      <c r="I24" s="204">
        <f>(2100+2904+4772)/11.22</f>
        <v>871.30124777183596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67.61</v>
      </c>
      <c r="C25" s="206">
        <v>10</v>
      </c>
      <c r="D25" s="194">
        <f t="shared" si="2"/>
        <v>676.1</v>
      </c>
      <c r="E25" s="206"/>
      <c r="F25" s="264"/>
      <c r="G25" s="1"/>
      <c r="H25" s="203">
        <v>5</v>
      </c>
      <c r="I25" s="204">
        <f>(3008+4875)/11.22</f>
        <v>702.58467023172898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-81981.148993187817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86.68</v>
      </c>
      <c r="C26" s="206">
        <v>10</v>
      </c>
      <c r="D26" s="194">
        <f t="shared" si="2"/>
        <v>866.80000000000007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42</v>
      </c>
      <c r="B27" s="193">
        <f>'Données projet'!D40</f>
        <v>99.98</v>
      </c>
      <c r="C27" s="206">
        <v>20</v>
      </c>
      <c r="D27" s="194">
        <f t="shared" si="2"/>
        <v>1999.6000000000001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49</v>
      </c>
      <c r="B28" s="193">
        <f>'Données projet'!D41</f>
        <v>112.61</v>
      </c>
      <c r="C28" s="206">
        <v>30</v>
      </c>
      <c r="D28" s="194">
        <f t="shared" si="2"/>
        <v>3378.3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94.57</v>
      </c>
      <c r="C29" s="206">
        <v>30</v>
      </c>
      <c r="D29" s="194">
        <f t="shared" si="2"/>
        <v>2837.1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63</v>
      </c>
      <c r="B30" s="193">
        <f>'Données projet'!D43</f>
        <v>99.49</v>
      </c>
      <c r="C30" s="206">
        <v>40</v>
      </c>
      <c r="D30" s="194">
        <f t="shared" si="2"/>
        <v>3979.6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69</v>
      </c>
      <c r="B31" s="193">
        <f>'Données projet'!D44</f>
        <v>0</v>
      </c>
      <c r="C31" s="206">
        <v>50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586.05999999999995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15</v>
      </c>
      <c r="C54" s="292">
        <v>12</v>
      </c>
      <c r="D54" s="191">
        <f>B54*C54</f>
        <v>180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28</v>
      </c>
      <c r="C55" s="292">
        <v>15</v>
      </c>
      <c r="D55" s="191">
        <f t="shared" ref="D55:D73" si="4">B55*C55</f>
        <v>420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28</v>
      </c>
      <c r="C56" s="292">
        <v>17</v>
      </c>
      <c r="D56" s="191">
        <f t="shared" si="4"/>
        <v>476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28</v>
      </c>
      <c r="C57" s="292">
        <v>20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28</v>
      </c>
      <c r="C58" s="292">
        <v>25</v>
      </c>
      <c r="D58" s="191">
        <f t="shared" si="4"/>
        <v>700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28</v>
      </c>
      <c r="C59" s="292">
        <v>35</v>
      </c>
      <c r="D59" s="191">
        <f t="shared" si="4"/>
        <v>980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22</v>
      </c>
      <c r="C60" s="292">
        <v>60</v>
      </c>
      <c r="D60" s="191">
        <f t="shared" si="4"/>
        <v>1320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17</v>
      </c>
      <c r="C61" s="204">
        <v>65</v>
      </c>
      <c r="D61" s="191">
        <f t="shared" si="4"/>
        <v>1105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13</v>
      </c>
      <c r="C62" s="204">
        <v>70</v>
      </c>
      <c r="D62" s="191">
        <f t="shared" si="4"/>
        <v>910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12</v>
      </c>
      <c r="C63" s="204">
        <v>80</v>
      </c>
      <c r="D63" s="191">
        <f t="shared" si="4"/>
        <v>960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11</v>
      </c>
      <c r="C64" s="204">
        <v>85</v>
      </c>
      <c r="D64" s="191">
        <f t="shared" si="4"/>
        <v>935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10</v>
      </c>
      <c r="C65" s="204">
        <v>90</v>
      </c>
      <c r="D65" s="191">
        <f t="shared" si="4"/>
        <v>900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9</v>
      </c>
      <c r="C66" s="204">
        <v>95</v>
      </c>
      <c r="D66" s="191">
        <f t="shared" si="4"/>
        <v>855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275</v>
      </c>
      <c r="C67" s="204">
        <v>100</v>
      </c>
      <c r="D67" s="191">
        <f t="shared" si="4"/>
        <v>27500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15</v>
      </c>
      <c r="C85" s="204">
        <v>15</v>
      </c>
      <c r="D85" s="191">
        <f>B85*C85</f>
        <v>225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28</v>
      </c>
      <c r="C86" s="204">
        <v>30</v>
      </c>
      <c r="D86" s="191">
        <f t="shared" ref="D86:D104" si="6">B86*C86</f>
        <v>840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28</v>
      </c>
      <c r="C87" s="204">
        <v>35</v>
      </c>
      <c r="D87" s="191">
        <f t="shared" si="6"/>
        <v>980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28</v>
      </c>
      <c r="C88" s="204">
        <v>45</v>
      </c>
      <c r="D88" s="191">
        <f t="shared" si="6"/>
        <v>1260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28</v>
      </c>
      <c r="C89" s="204">
        <v>50</v>
      </c>
      <c r="D89" s="191">
        <f t="shared" si="6"/>
        <v>1400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28</v>
      </c>
      <c r="C90" s="204">
        <v>50</v>
      </c>
      <c r="D90" s="191">
        <f t="shared" si="6"/>
        <v>1400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22</v>
      </c>
      <c r="C91" s="204">
        <v>60</v>
      </c>
      <c r="D91" s="191">
        <f t="shared" si="6"/>
        <v>1320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17</v>
      </c>
      <c r="C92" s="204">
        <v>70</v>
      </c>
      <c r="D92" s="191">
        <f t="shared" si="6"/>
        <v>1190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13</v>
      </c>
      <c r="C93" s="204">
        <v>80</v>
      </c>
      <c r="D93" s="191">
        <f t="shared" si="6"/>
        <v>1040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12</v>
      </c>
      <c r="C94" s="204">
        <v>80</v>
      </c>
      <c r="D94" s="191">
        <f t="shared" si="6"/>
        <v>960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11</v>
      </c>
      <c r="C95" s="204">
        <v>90</v>
      </c>
      <c r="D95" s="191">
        <f t="shared" si="6"/>
        <v>990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10</v>
      </c>
      <c r="C96" s="204">
        <v>100</v>
      </c>
      <c r="D96" s="191">
        <f t="shared" si="6"/>
        <v>1000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9</v>
      </c>
      <c r="C97" s="204">
        <v>100</v>
      </c>
      <c r="D97" s="191">
        <f t="shared" si="6"/>
        <v>900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275</v>
      </c>
      <c r="C98" s="204">
        <v>100</v>
      </c>
      <c r="D98" s="191">
        <f t="shared" si="6"/>
        <v>27500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04">
        <v>20</v>
      </c>
      <c r="D116" s="191">
        <f>B116*C116</f>
        <v>120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04">
        <v>25</v>
      </c>
      <c r="D117" s="191">
        <f t="shared" ref="D117:D135" si="8">B117*C117</f>
        <v>700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04">
        <v>30</v>
      </c>
      <c r="D118" s="191">
        <f t="shared" si="8"/>
        <v>840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04">
        <v>35</v>
      </c>
      <c r="D119" s="191">
        <f t="shared" si="8"/>
        <v>980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4">
        <v>45</v>
      </c>
      <c r="D120" s="191">
        <f t="shared" si="8"/>
        <v>1260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04">
        <v>50</v>
      </c>
      <c r="D121" s="191">
        <f t="shared" si="8"/>
        <v>1400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>
        <v>60</v>
      </c>
      <c r="D122" s="191">
        <f t="shared" si="8"/>
        <v>1680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04">
        <v>60</v>
      </c>
      <c r="D123" s="191">
        <f t="shared" si="8"/>
        <v>1680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04">
        <v>60</v>
      </c>
      <c r="D124" s="191">
        <f t="shared" si="8"/>
        <v>1680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04">
        <v>60</v>
      </c>
      <c r="D125" s="191">
        <f t="shared" si="8"/>
        <v>1680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04">
        <v>80</v>
      </c>
      <c r="D126" s="191">
        <f t="shared" si="8"/>
        <v>2240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04">
        <v>80</v>
      </c>
      <c r="D127" s="191">
        <f t="shared" si="8"/>
        <v>2240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04">
        <v>80</v>
      </c>
      <c r="D128" s="191">
        <f t="shared" si="8"/>
        <v>2240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04">
        <v>80</v>
      </c>
      <c r="D129" s="191">
        <f t="shared" si="8"/>
        <v>2240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04">
        <v>80</v>
      </c>
      <c r="D130" s="191">
        <f t="shared" si="8"/>
        <v>2240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04">
        <v>120</v>
      </c>
      <c r="D131" s="191">
        <f t="shared" si="8"/>
        <v>3360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04">
        <v>130</v>
      </c>
      <c r="D132" s="191">
        <f t="shared" si="8"/>
        <v>3510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04">
        <v>130</v>
      </c>
      <c r="D133" s="191">
        <f t="shared" si="8"/>
        <v>3380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04">
        <v>130</v>
      </c>
      <c r="D134" s="191">
        <f t="shared" si="8"/>
        <v>3250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04">
        <v>130</v>
      </c>
      <c r="D135" s="191">
        <f t="shared" si="8"/>
        <v>42900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3</v>
      </c>
      <c r="C147" s="204">
        <v>20</v>
      </c>
      <c r="D147" s="194">
        <f>B147*C147</f>
        <v>60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25</v>
      </c>
      <c r="C148" s="204">
        <v>25</v>
      </c>
      <c r="D148" s="194">
        <f t="shared" ref="D148:D166" si="10">B148*C148</f>
        <v>625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27</v>
      </c>
      <c r="C149" s="204">
        <v>30</v>
      </c>
      <c r="D149" s="194">
        <f t="shared" si="10"/>
        <v>810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7">
        <f>'Données projet'!D143</f>
        <v>36</v>
      </c>
      <c r="C150" s="204">
        <v>40</v>
      </c>
      <c r="D150" s="194">
        <f t="shared" si="10"/>
        <v>1440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7">
        <f>'Données projet'!D144</f>
        <v>36</v>
      </c>
      <c r="C151" s="204">
        <v>45</v>
      </c>
      <c r="D151" s="194">
        <f t="shared" si="10"/>
        <v>1620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7">
        <f>'Données projet'!D145</f>
        <v>43</v>
      </c>
      <c r="C152" s="204">
        <v>50</v>
      </c>
      <c r="D152" s="194">
        <f t="shared" si="10"/>
        <v>2150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7">
        <f>'Données projet'!D146</f>
        <v>48</v>
      </c>
      <c r="C153" s="204">
        <v>60</v>
      </c>
      <c r="D153" s="194">
        <f t="shared" si="10"/>
        <v>2880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47</v>
      </c>
      <c r="C154" s="204">
        <v>60</v>
      </c>
      <c r="D154" s="194">
        <f t="shared" si="10"/>
        <v>2820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328</v>
      </c>
      <c r="C155" s="204">
        <v>60</v>
      </c>
      <c r="D155" s="194">
        <f t="shared" si="10"/>
        <v>19680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Mélèze hybride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18</v>
      </c>
      <c r="C178" s="206">
        <v>20</v>
      </c>
      <c r="D178" s="191">
        <f>B178*C178</f>
        <v>360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41</v>
      </c>
      <c r="C179" s="206">
        <v>25</v>
      </c>
      <c r="D179" s="191">
        <f t="shared" ref="D179:D197" si="11">B179*C179</f>
        <v>1025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47</v>
      </c>
      <c r="C180" s="206">
        <v>30</v>
      </c>
      <c r="D180" s="191">
        <f t="shared" si="11"/>
        <v>1410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44</v>
      </c>
      <c r="C181" s="206">
        <v>30</v>
      </c>
      <c r="D181" s="191">
        <f t="shared" si="11"/>
        <v>1320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37</v>
      </c>
      <c r="C182" s="206">
        <v>35</v>
      </c>
      <c r="D182" s="191">
        <f t="shared" si="11"/>
        <v>1295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29</v>
      </c>
      <c r="C183" s="206">
        <v>40</v>
      </c>
      <c r="D183" s="191">
        <f t="shared" si="11"/>
        <v>1160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22</v>
      </c>
      <c r="C184" s="206">
        <v>55</v>
      </c>
      <c r="D184" s="191">
        <f t="shared" si="11"/>
        <v>1210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16</v>
      </c>
      <c r="C185" s="206">
        <v>60</v>
      </c>
      <c r="D185" s="191">
        <f t="shared" si="11"/>
        <v>960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315</v>
      </c>
      <c r="C186" s="206">
        <v>75</v>
      </c>
      <c r="D186" s="191">
        <f t="shared" si="11"/>
        <v>23625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2024-12-17T14:24:46Z</dcterms:modified>
</cp:coreProperties>
</file>