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fleur.alonso\Nextcloud\Documents partagés C+FOR\Fleur\73 - Saint-Franc (A.S.O.)\docs 0 à 9 St Cassin\"/>
    </mc:Choice>
  </mc:AlternateContent>
  <bookViews>
    <workbookView xWindow="0" yWindow="0" windowWidth="17928" windowHeight="2340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4" i="1" l="1"/>
  <c r="D72" i="1"/>
  <c r="D70" i="1"/>
  <c r="D68" i="1"/>
  <c r="D66" i="1"/>
  <c r="D64" i="1"/>
  <c r="B76" i="1"/>
  <c r="B74" i="1"/>
  <c r="B72" i="1"/>
  <c r="B70" i="1"/>
  <c r="B68" i="1"/>
  <c r="B66" i="1"/>
  <c r="B64" i="1"/>
  <c r="D76" i="1"/>
  <c r="D44" i="1" l="1"/>
  <c r="D43" i="1"/>
  <c r="D42" i="1"/>
  <c r="D41" i="1"/>
  <c r="D40" i="1"/>
  <c r="B46" i="1"/>
  <c r="B45" i="1"/>
  <c r="B44" i="1"/>
  <c r="B43" i="1"/>
  <c r="B42" i="1"/>
  <c r="B41" i="1"/>
  <c r="B40" i="1"/>
  <c r="B39" i="1"/>
  <c r="B37" i="1"/>
  <c r="D38" i="1"/>
  <c r="B38" i="1"/>
  <c r="D37" i="1"/>
  <c r="D46" i="1"/>
  <c r="B36" i="1"/>
  <c r="B101" i="1"/>
  <c r="D101" i="1" s="1"/>
  <c r="B100" i="1"/>
  <c r="D99" i="1"/>
  <c r="B99" i="1"/>
  <c r="B98" i="1"/>
  <c r="D97" i="1"/>
  <c r="B97" i="1"/>
  <c r="B96" i="1"/>
  <c r="D95" i="1"/>
  <c r="B95" i="1"/>
  <c r="B94" i="1"/>
  <c r="D93" i="1"/>
  <c r="B93" i="1"/>
  <c r="B92" i="1"/>
  <c r="D91" i="1"/>
  <c r="B91" i="1"/>
  <c r="B90" i="1"/>
  <c r="D89" i="1"/>
  <c r="B89" i="1"/>
  <c r="B8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EA4" i="2"/>
  <c r="BR4" i="2"/>
  <c r="BQ4" i="2"/>
  <c r="GL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X7" i="2"/>
  <c r="HI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C14" i="2"/>
  <c r="EX14" i="2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EV18" i="2"/>
  <c r="EX18" i="2"/>
  <c r="HG18" i="2"/>
  <c r="FS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V20" i="2"/>
  <c r="HH20" i="2"/>
  <c r="FS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HI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HG22" i="2"/>
  <c r="EC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V28" i="2"/>
  <c r="EC28" i="2"/>
  <c r="HI28" i="2"/>
  <c r="FS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B33" i="2"/>
  <c r="EA33" i="2"/>
  <c r="HG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A38" i="2"/>
  <c r="HI38" i="2"/>
  <c r="HH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HI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HH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EA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B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G85" i="2"/>
  <c r="EC85" i="2"/>
  <c r="EV85" i="2"/>
  <c r="EW85" i="2"/>
  <c r="HI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A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FS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X112" i="2"/>
  <c r="FQ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X113" i="2"/>
  <c r="EB113" i="2"/>
  <c r="EC113" i="2"/>
  <c r="HI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C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Q118" i="2"/>
  <c r="FS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HH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EW122" i="2"/>
  <c r="FS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W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HG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HG130" i="2"/>
  <c r="EX130" i="2"/>
  <c r="FS130" i="2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HH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X140" i="2"/>
  <c r="HH140" i="2"/>
  <c r="FS140" i="2"/>
  <c r="HG140" i="2"/>
  <c r="FR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HG141" i="2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X144" i="2"/>
  <c r="HH144" i="2"/>
  <c r="HG144" i="2"/>
  <c r="FR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EA145" i="2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I146" i="2"/>
  <c r="EA146" i="2"/>
  <c r="HG146" i="2"/>
  <c r="FR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H149" i="2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C150" i="2"/>
  <c r="EV150" i="2"/>
  <c r="HG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HG155" i="2"/>
  <c r="HJ154" i="2"/>
  <c r="EY154" i="2"/>
  <c r="DI154" i="2"/>
  <c r="ED154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HH156" i="2"/>
  <c r="HG156" i="2"/>
  <c r="EY155" i="2"/>
  <c r="EX156" i="2"/>
  <c r="ED155" i="2"/>
  <c r="HI156" i="2"/>
  <c r="FS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HH157" i="2"/>
  <c r="EX157" i="2"/>
  <c r="EB157" i="2"/>
  <c r="EC157" i="2"/>
  <c r="EA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C158" i="2"/>
  <c r="ED157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H159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I160" i="2"/>
  <c r="DG160" i="2"/>
  <c r="EC160" i="2"/>
  <c r="ED159" i="2"/>
  <c r="HG160" i="2"/>
  <c r="FS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HG161" i="2"/>
  <c r="ED160" i="2"/>
  <c r="EX161" i="2"/>
  <c r="FS161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HH162" i="2"/>
  <c r="ED161" i="2"/>
  <c r="EB162" i="2"/>
  <c r="EW162" i="2"/>
  <c r="EY161" i="2"/>
  <c r="EC162" i="2"/>
  <c r="DI161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D162" i="2"/>
  <c r="HH163" i="2"/>
  <c r="HG163" i="2"/>
  <c r="HI163" i="2"/>
  <c r="EV163" i="2"/>
  <c r="EY163" i="2" s="1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A164" i="2"/>
  <c r="EV164" i="2"/>
  <c r="EX164" i="2"/>
  <c r="HG164" i="2"/>
  <c r="DI163" i="2"/>
  <c r="FR164" i="2"/>
  <c r="FS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EC166" i="2"/>
  <c r="ED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C167" i="2"/>
  <c r="EX167" i="2"/>
  <c r="HI167" i="2"/>
  <c r="HH167" i="2"/>
  <c r="FR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C168" i="2"/>
  <c r="EB168" i="2"/>
  <c r="HH168" i="2"/>
  <c r="DG168" i="2"/>
  <c r="DI167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A169" i="2"/>
  <c r="EB169" i="2"/>
  <c r="EY168" i="2"/>
  <c r="EX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HI172" i="2"/>
  <c r="EA172" i="2"/>
  <c r="ED171" i="2"/>
  <c r="EB172" i="2"/>
  <c r="EY171" i="2"/>
  <c r="EV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W173" i="2"/>
  <c r="ED172" i="2"/>
  <c r="EB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A175" i="2"/>
  <c r="EB175" i="2"/>
  <c r="HI175" i="2"/>
  <c r="FS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D177" i="2"/>
  <c r="EW178" i="2"/>
  <c r="HG178" i="2"/>
  <c r="FS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HG179" i="2"/>
  <c r="ED178" i="2"/>
  <c r="EB179" i="2"/>
  <c r="EA179" i="2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D179" i="2"/>
  <c r="EY179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Y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HI185" i="2"/>
  <c r="ED184" i="2"/>
  <c r="HG185" i="2"/>
  <c r="HH185" i="2"/>
  <c r="EW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HH186" i="2"/>
  <c r="EB186" i="2"/>
  <c r="EA186" i="2"/>
  <c r="ED185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HI188" i="2"/>
  <c r="ED187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HH189" i="2"/>
  <c r="EY188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HG190" i="2"/>
  <c r="HJ189" i="2"/>
  <c r="ED189" i="2"/>
  <c r="EB190" i="2"/>
  <c r="EV190" i="2"/>
  <c r="EY189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W191" i="2"/>
  <c r="ED190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HI192" i="2"/>
  <c r="EW192" i="2"/>
  <c r="EV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A193" i="2"/>
  <c r="ED192" i="2"/>
  <c r="EB193" i="2"/>
  <c r="EY192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ED193" i="2"/>
  <c r="EB194" i="2"/>
  <c r="EA194" i="2"/>
  <c r="FQ194" i="2"/>
  <c r="HG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HI195" i="2"/>
  <c r="HG195" i="2"/>
  <c r="EB195" i="2"/>
  <c r="ED194" i="2"/>
  <c r="EA195" i="2"/>
  <c r="EY194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FS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EV199" i="2"/>
  <c r="EY198" i="2"/>
  <c r="EB199" i="2"/>
  <c r="EW199" i="2"/>
  <c r="FS199" i="2"/>
  <c r="HG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HJ200" i="2"/>
  <c r="HH201" i="2"/>
  <c r="ED200" i="2"/>
  <c r="DI200" i="2"/>
  <c r="HG201" i="2"/>
  <c r="FS201" i="2"/>
  <c r="EB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FS202" i="2"/>
  <c r="HG202" i="2"/>
  <c r="HH202" i="2"/>
  <c r="HI202" i="2"/>
  <c r="EY201" i="2"/>
  <c r="ED201" i="2"/>
  <c r="EW202" i="2"/>
  <c r="EY202" i="2" s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D21" i="2" a="1"/>
  <c r="FD21" i="2" s="1"/>
  <c r="FD144" i="2" a="1"/>
  <c r="FD144" i="2" s="1"/>
  <c r="FD59" i="2" a="1"/>
  <c r="FD59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CS116" i="2" a="1"/>
  <c r="CS116" i="2" s="1"/>
  <c r="EI195" i="2" a="1"/>
  <c r="EI195" i="2" s="1"/>
  <c r="CS137" i="2" a="1"/>
  <c r="CS137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CS120" i="2" a="1"/>
  <c r="CS120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CS56" i="2" a="1"/>
  <c r="CS56" i="2" s="1"/>
  <c r="CS114" i="2" a="1"/>
  <c r="CS114" i="2" s="1"/>
  <c r="DN6" i="2" a="1"/>
  <c r="DN6" i="2" s="1"/>
  <c r="DO6" i="2" s="1"/>
  <c r="CS24" i="2" a="1"/>
  <c r="CS24" i="2" s="1"/>
  <c r="CS134" i="2" a="1"/>
  <c r="CS134" i="2" s="1"/>
  <c r="CS72" i="2" a="1"/>
  <c r="CS72" i="2" s="1"/>
  <c r="FD82" i="2" a="1"/>
  <c r="FD82" i="2" s="1"/>
  <c r="AX200" i="2"/>
  <c r="BX107" i="2" l="1" a="1"/>
  <c r="BX107" i="2" s="1"/>
  <c r="HJ202" i="2"/>
  <c r="BC34" i="2" a="1"/>
  <c r="BC34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19" i="2" a="1"/>
  <c r="AH19" i="2" s="1"/>
  <c r="AH92" i="2" a="1"/>
  <c r="AH92" i="2" s="1"/>
  <c r="GT51" i="2" a="1"/>
  <c r="GT51" i="2" s="1"/>
  <c r="GT138" i="2" a="1"/>
  <c r="GT138" i="2" s="1"/>
  <c r="GT178" i="2" a="1"/>
  <c r="GT178" i="2" s="1"/>
  <c r="GT15" i="2" a="1"/>
  <c r="GT15" i="2" s="1"/>
  <c r="GT74" i="2" a="1"/>
  <c r="GT74" i="2" s="1"/>
  <c r="GT133" i="2" a="1"/>
  <c r="GT133" i="2" s="1"/>
  <c r="GT107" i="2" a="1"/>
  <c r="GT107" i="2" s="1"/>
  <c r="GT189" i="2" a="1"/>
  <c r="GT189" i="2" s="1"/>
  <c r="GT184" i="2" a="1"/>
  <c r="GT184" i="2" s="1"/>
  <c r="GT174" i="2" a="1"/>
  <c r="GT174" i="2" s="1"/>
  <c r="GT198" i="2" a="1"/>
  <c r="GT198" i="2" s="1"/>
  <c r="GT11" i="2" a="1"/>
  <c r="GT11" i="2" s="1"/>
  <c r="GT102" i="2" a="1"/>
  <c r="GT102" i="2" s="1"/>
  <c r="GT190" i="2" a="1"/>
  <c r="GT190" i="2" s="1"/>
  <c r="GT191" i="2" a="1"/>
  <c r="GT191" i="2" s="1"/>
  <c r="GT12" i="2" a="1"/>
  <c r="GT12" i="2" s="1"/>
  <c r="GT147" i="2" a="1"/>
  <c r="GT147" i="2" s="1"/>
  <c r="GT21" i="2" a="1"/>
  <c r="GT21" i="2" s="1"/>
  <c r="GT152" i="2" a="1"/>
  <c r="GT152" i="2" s="1"/>
  <c r="GT38" i="2" a="1"/>
  <c r="GT38" i="2" s="1"/>
  <c r="GT126" i="2" a="1"/>
  <c r="GT126" i="2" s="1"/>
  <c r="GT33" i="2" a="1"/>
  <c r="GT33" i="2" s="1"/>
  <c r="GT181" i="2" a="1"/>
  <c r="GT181" i="2" s="1"/>
  <c r="GT115" i="2" a="1"/>
  <c r="GT115" i="2" s="1"/>
  <c r="GT121" i="2" a="1"/>
  <c r="GT121" i="2" s="1"/>
  <c r="GT122" i="2" a="1"/>
  <c r="GT122" i="2" s="1"/>
  <c r="GT68" i="2" a="1"/>
  <c r="GT68" i="2" s="1"/>
  <c r="HH203" i="2"/>
  <c r="HG203" i="2"/>
  <c r="DN135" i="2" a="1"/>
  <c r="DN135" i="2" s="1"/>
  <c r="DN55" i="2" a="1"/>
  <c r="DN55" i="2" s="1"/>
  <c r="DN132" i="2" a="1"/>
  <c r="DN132" i="2" s="1"/>
  <c r="DN177" i="2" a="1"/>
  <c r="DN177" i="2" s="1"/>
  <c r="DN30" i="2" a="1"/>
  <c r="DN30" i="2" s="1"/>
  <c r="DN184" i="2" a="1"/>
  <c r="DN184" i="2" s="1"/>
  <c r="DN164" i="2" a="1"/>
  <c r="DN164" i="2" s="1"/>
  <c r="DN31" i="2" a="1"/>
  <c r="DN31" i="2" s="1"/>
  <c r="DN115" i="2" a="1"/>
  <c r="DN115" i="2" s="1"/>
  <c r="DN170" i="2" a="1"/>
  <c r="DN170" i="2" s="1"/>
  <c r="DN46" i="2" a="1"/>
  <c r="DN46" i="2" s="1"/>
  <c r="DN43" i="2" a="1"/>
  <c r="DN43" i="2" s="1"/>
  <c r="DN123" i="2" a="1"/>
  <c r="DN123" i="2" s="1"/>
  <c r="DN187" i="2" a="1"/>
  <c r="DN187" i="2" s="1"/>
  <c r="DN65" i="2" a="1"/>
  <c r="DN65" i="2" s="1"/>
  <c r="DN70" i="2" a="1"/>
  <c r="DN70" i="2" s="1"/>
  <c r="DN63" i="2" a="1"/>
  <c r="DN63" i="2" s="1"/>
  <c r="DN150" i="2" a="1"/>
  <c r="DN150" i="2" s="1"/>
  <c r="DN152" i="2" a="1"/>
  <c r="DN152" i="2" s="1"/>
  <c r="DN110" i="2" a="1"/>
  <c r="DN110" i="2" s="1"/>
  <c r="DN38" i="2" a="1"/>
  <c r="DN38" i="2" s="1"/>
  <c r="DN153" i="2" a="1"/>
  <c r="DN153" i="2" s="1"/>
  <c r="DN41" i="2" a="1"/>
  <c r="DN41" i="2" s="1"/>
  <c r="DN176" i="2" a="1"/>
  <c r="DN176" i="2" s="1"/>
  <c r="DN167" i="2" a="1"/>
  <c r="DN167" i="2" s="1"/>
  <c r="DN114" i="2" a="1"/>
  <c r="DN114" i="2" s="1"/>
  <c r="DN192" i="2" a="1"/>
  <c r="DN192" i="2" s="1"/>
  <c r="DN129" i="2" a="1"/>
  <c r="DN129" i="2" s="1"/>
  <c r="DN16" i="2" a="1"/>
  <c r="DN16" i="2" s="1"/>
  <c r="DN80" i="2" a="1"/>
  <c r="DN80" i="2" s="1"/>
  <c r="DN103" i="2" a="1"/>
  <c r="DN103" i="2" s="1"/>
  <c r="DN66" i="2" a="1"/>
  <c r="DN66" i="2" s="1"/>
  <c r="DN50" i="2" a="1"/>
  <c r="DN50" i="2" s="1"/>
  <c r="DN45" i="2" a="1"/>
  <c r="DN45" i="2" s="1"/>
  <c r="DN190" i="2" a="1"/>
  <c r="DN190" i="2" s="1"/>
  <c r="DN133" i="2" a="1"/>
  <c r="DN133" i="2" s="1"/>
  <c r="DN162" i="2" a="1"/>
  <c r="DN162" i="2" s="1"/>
  <c r="DN188" i="2" a="1"/>
  <c r="DN188" i="2" s="1"/>
  <c r="DN113" i="2" a="1"/>
  <c r="DN113" i="2" s="1"/>
  <c r="DN49" i="2" a="1"/>
  <c r="DN49" i="2" s="1"/>
  <c r="DN168" i="2" a="1"/>
  <c r="DN168" i="2" s="1"/>
  <c r="DN86" i="2" a="1"/>
  <c r="DN86" i="2" s="1"/>
  <c r="DN25" i="2" a="1"/>
  <c r="DN25" i="2" s="1"/>
  <c r="DN155" i="2" a="1"/>
  <c r="DN155" i="2" s="1"/>
  <c r="DN186" i="2" a="1"/>
  <c r="DN186" i="2" s="1"/>
  <c r="DN137" i="2" a="1"/>
  <c r="DN137" i="2" s="1"/>
  <c r="DN124" i="2" a="1"/>
  <c r="DN124" i="2" s="1"/>
  <c r="DN29" i="2" a="1"/>
  <c r="DN29" i="2" s="1"/>
  <c r="DN56" i="2" a="1"/>
  <c r="DN56" i="2" s="1"/>
  <c r="BC38" i="2" a="1"/>
  <c r="BC38" i="2" s="1"/>
  <c r="BC32" i="2" a="1"/>
  <c r="BC32" i="2" s="1"/>
  <c r="BC83" i="2" a="1"/>
  <c r="BC83" i="2" s="1"/>
  <c r="BC181" i="2" a="1"/>
  <c r="BC181" i="2" s="1"/>
  <c r="BC58" i="2" a="1"/>
  <c r="BC58" i="2" s="1"/>
  <c r="BC164" i="2" a="1"/>
  <c r="BC164" i="2" s="1"/>
  <c r="BC117" i="2" a="1"/>
  <c r="BC117" i="2" s="1"/>
  <c r="BC18" i="2" a="1"/>
  <c r="BC18" i="2" s="1"/>
  <c r="BC84" i="2" a="1"/>
  <c r="BC84" i="2" s="1"/>
  <c r="BC68" i="2" a="1"/>
  <c r="BC68" i="2" s="1"/>
  <c r="BC151" i="2" a="1"/>
  <c r="BC151" i="2" s="1"/>
  <c r="BC192" i="2" a="1"/>
  <c r="BC192" i="2" s="1"/>
  <c r="BC65" i="2" a="1"/>
  <c r="BC65" i="2" s="1"/>
  <c r="BC55" i="2" a="1"/>
  <c r="BC55" i="2" s="1"/>
  <c r="BC114" i="2" a="1"/>
  <c r="BC114" i="2" s="1"/>
  <c r="BC185" i="2" a="1"/>
  <c r="BC185" i="2" s="1"/>
  <c r="BC130" i="2" a="1"/>
  <c r="BC130" i="2" s="1"/>
  <c r="BC126" i="2" a="1"/>
  <c r="BC126" i="2" s="1"/>
  <c r="BC143" i="2" a="1"/>
  <c r="BC143" i="2" s="1"/>
  <c r="BC82" i="2" a="1"/>
  <c r="BC82" i="2" s="1"/>
  <c r="BC7" i="2" a="1"/>
  <c r="BC7" i="2" s="1"/>
  <c r="BD7" i="2" s="1"/>
  <c r="BC31" i="2" a="1"/>
  <c r="BC31" i="2" s="1"/>
  <c r="BC47" i="2" a="1"/>
  <c r="BC47" i="2" s="1"/>
  <c r="FY142" i="2" a="1"/>
  <c r="FY142" i="2" s="1"/>
  <c r="FY167" i="2" a="1"/>
  <c r="FY167" i="2" s="1"/>
  <c r="FY58" i="2" a="1"/>
  <c r="FY58" i="2" s="1"/>
  <c r="FY82" i="2" a="1"/>
  <c r="FY82" i="2" s="1"/>
  <c r="FY121" i="2" a="1"/>
  <c r="FY121" i="2" s="1"/>
  <c r="FY30" i="2" a="1"/>
  <c r="FY30" i="2" s="1"/>
  <c r="FY42" i="2" a="1"/>
  <c r="FY42" i="2" s="1"/>
  <c r="FY196" i="2" a="1"/>
  <c r="FY196" i="2" s="1"/>
  <c r="FY172" i="2" a="1"/>
  <c r="FY172" i="2" s="1"/>
  <c r="FY104" i="2" a="1"/>
  <c r="FY104" i="2" s="1"/>
  <c r="FY80" i="2" a="1"/>
  <c r="FY80" i="2" s="1"/>
  <c r="FY115" i="2" a="1"/>
  <c r="FY115" i="2" s="1"/>
  <c r="FY86" i="2" a="1"/>
  <c r="FY86" i="2" s="1"/>
  <c r="FY34" i="2" a="1"/>
  <c r="FY34" i="2" s="1"/>
  <c r="FY149" i="2" a="1"/>
  <c r="FY149" i="2" s="1"/>
  <c r="FY182" i="2" a="1"/>
  <c r="FY182" i="2" s="1"/>
  <c r="FY169" i="2" a="1"/>
  <c r="FY169" i="2" s="1"/>
  <c r="FY62" i="2" a="1"/>
  <c r="FY62" i="2" s="1"/>
  <c r="FY72" i="2" a="1"/>
  <c r="FY72" i="2" s="1"/>
  <c r="FY55" i="2" a="1"/>
  <c r="FY55" i="2" s="1"/>
  <c r="FY28" i="2" a="1"/>
  <c r="FY28" i="2" s="1"/>
  <c r="FY174" i="2" a="1"/>
  <c r="FY174" i="2" s="1"/>
  <c r="FY24" i="2" a="1"/>
  <c r="FY24" i="2" s="1"/>
  <c r="FY188" i="2" a="1"/>
  <c r="FY188" i="2" s="1"/>
  <c r="FY190" i="2" a="1"/>
  <c r="FY190" i="2" s="1"/>
  <c r="FY78" i="2" a="1"/>
  <c r="FY78" i="2" s="1"/>
  <c r="FY164" i="2" a="1"/>
  <c r="FY164" i="2" s="1"/>
  <c r="FY99" i="2" a="1"/>
  <c r="FY99" i="2" s="1"/>
  <c r="FY178" i="2" a="1"/>
  <c r="FY178" i="2" s="1"/>
  <c r="FY152" i="2" a="1"/>
  <c r="FY152" i="2" s="1"/>
  <c r="FY47" i="2" a="1"/>
  <c r="FY47" i="2" s="1"/>
  <c r="FY124" i="2" a="1"/>
  <c r="FY124" i="2" s="1"/>
  <c r="FY126" i="2" a="1"/>
  <c r="FY126" i="2" s="1"/>
  <c r="FY92" i="2" a="1"/>
  <c r="FY92" i="2" s="1"/>
  <c r="FY111" i="2" a="1"/>
  <c r="FY111" i="2" s="1"/>
  <c r="FY73" i="2" a="1"/>
  <c r="FY73" i="2" s="1"/>
  <c r="FY186" i="2" a="1"/>
  <c r="FY186" i="2" s="1"/>
  <c r="FY110" i="2" a="1"/>
  <c r="FY110" i="2" s="1"/>
  <c r="FY116" i="2" a="1"/>
  <c r="FY116" i="2" s="1"/>
  <c r="FY159" i="2" a="1"/>
  <c r="FY159" i="2" s="1"/>
  <c r="FY143" i="2" a="1"/>
  <c r="FY143" i="2" s="1"/>
  <c r="FY191" i="2" a="1"/>
  <c r="FY191" i="2" s="1"/>
  <c r="FY102" i="2" a="1"/>
  <c r="FY102" i="2" s="1"/>
  <c r="FY18" i="2" a="1"/>
  <c r="FY18" i="2" s="1"/>
  <c r="FY173" i="2" a="1"/>
  <c r="FY173" i="2" s="1"/>
  <c r="FY66" i="2" a="1"/>
  <c r="FY66" i="2" s="1"/>
  <c r="FY120" i="2" a="1"/>
  <c r="FY120" i="2" s="1"/>
  <c r="FY71" i="2" a="1"/>
  <c r="FY71" i="2" s="1"/>
  <c r="FY133" i="2" a="1"/>
  <c r="FY133" i="2" s="1"/>
  <c r="FY153" i="2" a="1"/>
  <c r="FY153" i="2" s="1"/>
  <c r="FY146" i="2" a="1"/>
  <c r="FY146" i="2" s="1"/>
  <c r="FY69" i="2" a="1"/>
  <c r="FY69" i="2" s="1"/>
  <c r="FY29" i="2" a="1"/>
  <c r="FY29" i="2" s="1"/>
  <c r="FY35" i="2" a="1"/>
  <c r="FY35" i="2" s="1"/>
  <c r="FY165" i="2" a="1"/>
  <c r="FY165" i="2" s="1"/>
  <c r="FY32" i="2" a="1"/>
  <c r="FY32" i="2" s="1"/>
  <c r="FY50" i="2" a="1"/>
  <c r="FY50" i="2" s="1"/>
  <c r="FY140" i="2" a="1"/>
  <c r="FY140" i="2" s="1"/>
  <c r="FY90" i="2" a="1"/>
  <c r="FY90" i="2" s="1"/>
  <c r="FY57" i="2" a="1"/>
  <c r="FY57" i="2" s="1"/>
  <c r="FY54" i="2" a="1"/>
  <c r="FY54" i="2" s="1"/>
  <c r="FY109" i="2" a="1"/>
  <c r="FY109" i="2" s="1"/>
  <c r="FY79" i="2" a="1"/>
  <c r="FY79" i="2" s="1"/>
  <c r="FY22" i="2" a="1"/>
  <c r="FY22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ED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J30" i="2" l="1"/>
  <c r="FJ118" i="2"/>
  <c r="FJ32" i="2"/>
  <c r="FJ23" i="2"/>
  <c r="FJ53" i="2"/>
  <c r="FJ133" i="2"/>
  <c r="FJ198" i="2"/>
  <c r="FJ161" i="2"/>
  <c r="FJ173" i="2"/>
  <c r="FJ70" i="2"/>
  <c r="FJ177" i="2"/>
  <c r="FJ28" i="2"/>
  <c r="FJ146" i="2"/>
  <c r="FJ144" i="2"/>
  <c r="FJ113" i="2"/>
  <c r="FJ190" i="2"/>
  <c r="FJ120" i="2"/>
  <c r="FJ131" i="2"/>
  <c r="FJ116" i="2"/>
  <c r="FJ83" i="2"/>
  <c r="FJ63" i="2"/>
  <c r="FJ85" i="2"/>
  <c r="FJ121" i="2"/>
  <c r="FJ135" i="2"/>
  <c r="FJ119" i="2"/>
  <c r="FJ175" i="2"/>
  <c r="FJ162" i="2"/>
  <c r="FJ130" i="2"/>
  <c r="FJ123" i="2"/>
  <c r="FJ65" i="2"/>
  <c r="FJ128" i="2"/>
  <c r="FJ199" i="2"/>
  <c r="FJ139" i="2"/>
  <c r="FJ103" i="2"/>
  <c r="FJ170" i="2"/>
  <c r="FJ197" i="2"/>
  <c r="FJ62" i="2"/>
  <c r="FJ57" i="2"/>
  <c r="FJ150" i="2"/>
  <c r="FJ91" i="2"/>
  <c r="FJ114" i="2"/>
  <c r="FJ186" i="2"/>
  <c r="FJ126" i="2"/>
  <c r="FJ6" i="2"/>
  <c r="FJ95" i="2"/>
  <c r="FJ145" i="2"/>
  <c r="FJ193" i="2"/>
  <c r="FJ35" i="2"/>
  <c r="FJ184" i="2"/>
  <c r="FJ189" i="2"/>
  <c r="FJ107" i="2"/>
  <c r="FJ93" i="2"/>
  <c r="FJ41" i="2"/>
  <c r="FJ136" i="2"/>
  <c r="FJ17" i="2"/>
  <c r="FJ15" i="2"/>
  <c r="FJ203" i="2"/>
  <c r="FJ122" i="2"/>
  <c r="FJ137" i="2"/>
  <c r="FJ71" i="2"/>
  <c r="FJ76" i="2"/>
  <c r="FJ101" i="2"/>
  <c r="FJ96" i="2"/>
  <c r="FJ155" i="2"/>
  <c r="FJ111" i="2"/>
  <c r="FJ98" i="2"/>
  <c r="FJ69" i="2"/>
  <c r="FJ110" i="2"/>
  <c r="FJ124" i="2"/>
  <c r="FJ194" i="2"/>
  <c r="FJ180" i="2"/>
  <c r="FJ11" i="2"/>
  <c r="FJ166" i="2"/>
  <c r="FJ94" i="2"/>
  <c r="FJ27" i="2"/>
  <c r="FJ5" i="2"/>
  <c r="FJ90" i="2"/>
  <c r="FJ64" i="2"/>
  <c r="FJ43" i="2"/>
  <c r="FJ46" i="2"/>
  <c r="FJ79" i="2"/>
  <c r="FJ12" i="2"/>
  <c r="FJ179" i="2"/>
  <c r="FJ22" i="2"/>
  <c r="FJ100" i="2"/>
  <c r="FJ16" i="2"/>
  <c r="FJ29" i="2"/>
  <c r="FJ112" i="2"/>
  <c r="FJ134" i="2"/>
  <c r="FJ183" i="2"/>
  <c r="FJ45" i="2"/>
  <c r="FJ68" i="2"/>
  <c r="FJ140" i="2"/>
  <c r="FJ109" i="2"/>
  <c r="FJ33" i="2"/>
  <c r="FJ152" i="2"/>
  <c r="FJ182" i="2"/>
  <c r="FJ59" i="2"/>
  <c r="FJ66" i="2"/>
  <c r="FJ151" i="2"/>
  <c r="FJ39" i="2"/>
  <c r="FJ156" i="2"/>
  <c r="FJ132" i="2"/>
  <c r="FJ149" i="2"/>
  <c r="FJ158" i="2"/>
  <c r="FJ160" i="2"/>
  <c r="FJ56" i="2"/>
  <c r="FJ14" i="2"/>
  <c r="FJ80" i="2"/>
  <c r="FJ20" i="2"/>
  <c r="FJ24" i="2"/>
  <c r="FJ104" i="2"/>
  <c r="FJ172" i="2"/>
  <c r="FJ157" i="2"/>
  <c r="FJ153" i="2"/>
  <c r="FJ67" i="2"/>
  <c r="FJ188" i="2"/>
  <c r="FJ200" i="2"/>
  <c r="FJ192" i="2"/>
  <c r="FJ9" i="2"/>
  <c r="FJ195" i="2"/>
  <c r="FJ55" i="2"/>
  <c r="FJ168" i="2"/>
  <c r="FJ174" i="2"/>
  <c r="FJ75" i="2"/>
  <c r="FJ165" i="2"/>
  <c r="FJ3" i="2"/>
  <c r="C13" i="4" s="1"/>
  <c r="E13" i="4" s="1"/>
  <c r="F13" i="4" s="1"/>
  <c r="G13" i="4" s="1"/>
  <c r="L13" i="4" s="1"/>
  <c r="FJ74" i="2"/>
  <c r="FJ37" i="2"/>
  <c r="FJ87" i="2"/>
  <c r="FJ44" i="2"/>
  <c r="FJ163" i="2"/>
  <c r="FJ176" i="2"/>
  <c r="FJ49" i="2"/>
  <c r="FJ97" i="2"/>
  <c r="FJ51" i="2"/>
  <c r="FJ72" i="2"/>
  <c r="FJ40" i="2"/>
  <c r="FJ31" i="2"/>
  <c r="FJ52" i="2"/>
  <c r="FJ105" i="2"/>
  <c r="FJ60" i="2"/>
  <c r="FJ167" i="2"/>
  <c r="FJ191" i="2"/>
  <c r="FJ82" i="2"/>
  <c r="FJ25" i="2"/>
  <c r="FJ141" i="2"/>
  <c r="FJ8" i="2"/>
  <c r="FJ106" i="2"/>
  <c r="FJ115" i="2"/>
  <c r="FJ108" i="2"/>
  <c r="FJ202" i="2"/>
  <c r="FJ34" i="2"/>
  <c r="FJ78" i="2"/>
  <c r="FJ81" i="2"/>
  <c r="FJ42" i="2"/>
  <c r="FJ125" i="2"/>
  <c r="FJ7" i="2"/>
  <c r="FJ48" i="2"/>
  <c r="FJ181" i="2"/>
  <c r="FJ54" i="2"/>
  <c r="FJ117" i="2"/>
  <c r="FJ26" i="2"/>
  <c r="FJ89" i="2"/>
  <c r="FJ178" i="2"/>
  <c r="FJ18" i="2"/>
  <c r="FJ58" i="2"/>
  <c r="FJ171" i="2"/>
  <c r="FJ196" i="2"/>
  <c r="FJ185" i="2"/>
  <c r="FJ36" i="2"/>
  <c r="FJ127" i="2"/>
  <c r="FJ159" i="2"/>
  <c r="FJ129" i="2"/>
  <c r="FJ10" i="2"/>
  <c r="FJ201" i="2"/>
  <c r="FJ99" i="2"/>
  <c r="FJ84" i="2"/>
  <c r="FJ86" i="2"/>
  <c r="FJ21" i="2"/>
  <c r="FJ61" i="2"/>
  <c r="FJ73" i="2"/>
  <c r="FJ143" i="2"/>
  <c r="FJ50" i="2"/>
  <c r="FJ19" i="2"/>
  <c r="FJ169" i="2"/>
  <c r="FJ147" i="2"/>
  <c r="FJ138" i="2"/>
  <c r="FJ187" i="2"/>
  <c r="FJ4" i="2"/>
  <c r="FJ77" i="2"/>
  <c r="FJ92" i="2"/>
  <c r="FJ88" i="2"/>
  <c r="FJ102" i="2"/>
  <c r="FJ154" i="2"/>
  <c r="FJ148" i="2"/>
  <c r="FJ164" i="2"/>
  <c r="FJ38" i="2"/>
  <c r="FJ47" i="2"/>
  <c r="FJ13" i="2"/>
  <c r="FJ142" i="2"/>
  <c r="FE104" i="2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GE25" i="2" l="1"/>
  <c r="GE178" i="2"/>
  <c r="GE139" i="2"/>
  <c r="GE142" i="2"/>
  <c r="GE151" i="2"/>
  <c r="GE199" i="2"/>
  <c r="GE113" i="2"/>
  <c r="GE116" i="2"/>
  <c r="GE168" i="2"/>
  <c r="GE82" i="2"/>
  <c r="GE32" i="2"/>
  <c r="GE106" i="2"/>
  <c r="GE105" i="2"/>
  <c r="GE34" i="2"/>
  <c r="GE63" i="2"/>
  <c r="GE130" i="2"/>
  <c r="GE60" i="2"/>
  <c r="GE158" i="2"/>
  <c r="GE17" i="2"/>
  <c r="GE30" i="2"/>
  <c r="GE110" i="2"/>
  <c r="GE93" i="2"/>
  <c r="GE90" i="2"/>
  <c r="GE121" i="2"/>
  <c r="GE73" i="2"/>
  <c r="GE37" i="2"/>
  <c r="GE50" i="2"/>
  <c r="GE47" i="2"/>
  <c r="GE5" i="2"/>
  <c r="GE10" i="2"/>
  <c r="GE161" i="2"/>
  <c r="GE7" i="2"/>
  <c r="GE20" i="2"/>
  <c r="GE15" i="2"/>
  <c r="GE94" i="2"/>
  <c r="GE3" i="2"/>
  <c r="C14" i="4" s="1"/>
  <c r="E14" i="4" s="1"/>
  <c r="F14" i="4" s="1"/>
  <c r="G14" i="4" s="1"/>
  <c r="L14" i="4" s="1"/>
  <c r="GE147" i="2"/>
  <c r="GE102" i="2"/>
  <c r="GE76" i="2"/>
  <c r="GE38" i="2"/>
  <c r="GE156" i="2"/>
  <c r="GE174" i="2"/>
  <c r="GE22" i="2"/>
  <c r="GE57" i="2"/>
  <c r="GE190" i="2"/>
  <c r="GE197" i="2"/>
  <c r="GE100" i="2"/>
  <c r="GE56" i="2"/>
  <c r="GE176" i="2"/>
  <c r="GE148" i="2"/>
  <c r="GE95" i="2"/>
  <c r="GE169" i="2"/>
  <c r="GE31" i="2"/>
  <c r="GE192" i="2"/>
  <c r="GE173" i="2"/>
  <c r="GE36" i="2"/>
  <c r="GE75" i="2"/>
  <c r="GE35" i="2"/>
  <c r="GE48" i="2"/>
  <c r="GE11" i="2"/>
  <c r="GE187" i="2"/>
  <c r="GE13" i="2"/>
  <c r="GE193" i="2"/>
  <c r="GE171" i="2"/>
  <c r="GE98" i="2"/>
  <c r="GE200" i="2"/>
  <c r="GE59" i="2"/>
  <c r="GE88" i="2"/>
  <c r="GE42" i="2"/>
  <c r="GE96" i="2"/>
  <c r="GE195" i="2"/>
  <c r="GE69" i="2"/>
  <c r="GE55" i="2"/>
  <c r="GE160" i="2"/>
  <c r="GE159" i="2"/>
  <c r="GE182" i="2"/>
  <c r="GE149" i="2"/>
  <c r="GE184" i="2"/>
  <c r="GE137" i="2"/>
  <c r="GE109" i="2"/>
  <c r="GE115" i="2"/>
  <c r="GE118" i="2"/>
  <c r="GE166" i="2"/>
  <c r="GE87" i="2"/>
  <c r="GE201" i="2"/>
  <c r="GE111" i="2"/>
  <c r="GE16" i="2"/>
  <c r="GE49" i="2"/>
  <c r="GE179" i="2"/>
  <c r="GE53" i="2"/>
  <c r="GE80" i="2"/>
  <c r="GE92" i="2"/>
  <c r="GE185" i="2"/>
  <c r="GE33" i="2"/>
  <c r="GE134" i="2"/>
  <c r="GE140" i="2"/>
  <c r="GE146" i="2"/>
  <c r="GE189" i="2"/>
  <c r="GE153" i="2"/>
  <c r="GE155" i="2"/>
  <c r="GE52" i="2"/>
  <c r="GE203" i="2"/>
  <c r="GE107" i="2"/>
  <c r="GE180" i="2"/>
  <c r="GE150" i="2"/>
  <c r="GE133" i="2"/>
  <c r="GE64" i="2"/>
  <c r="GE165" i="2"/>
  <c r="GE175" i="2"/>
  <c r="GE97" i="2"/>
  <c r="GE62" i="2"/>
  <c r="GE112" i="2"/>
  <c r="GE162" i="2"/>
  <c r="GE152" i="2"/>
  <c r="GE123" i="2"/>
  <c r="GE28" i="2"/>
  <c r="GE131" i="2"/>
  <c r="GE89" i="2"/>
  <c r="GE188" i="2"/>
  <c r="GE127" i="2"/>
  <c r="GE183" i="2"/>
  <c r="GE54" i="2"/>
  <c r="GE19" i="2"/>
  <c r="GE99" i="2"/>
  <c r="GE45" i="2"/>
  <c r="GE164" i="2"/>
  <c r="GE65" i="2"/>
  <c r="GE67" i="2"/>
  <c r="GE14" i="2"/>
  <c r="GE66" i="2"/>
  <c r="GE104" i="2"/>
  <c r="GE119" i="2"/>
  <c r="GE44" i="2"/>
  <c r="GE40" i="2"/>
  <c r="GE51" i="2"/>
  <c r="GE27" i="2"/>
  <c r="GE78" i="2"/>
  <c r="GE39" i="2"/>
  <c r="GE8" i="2"/>
  <c r="GE85" i="2"/>
  <c r="GE41" i="2"/>
  <c r="GE125" i="2"/>
  <c r="GE61" i="2"/>
  <c r="GE43" i="2"/>
  <c r="GE21" i="2"/>
  <c r="GE124" i="2"/>
  <c r="GE18" i="2"/>
  <c r="GE9" i="2"/>
  <c r="GE84" i="2"/>
  <c r="GE141" i="2"/>
  <c r="GE101" i="2"/>
  <c r="GE120" i="2"/>
  <c r="GE126" i="2"/>
  <c r="GE72" i="2"/>
  <c r="GE6" i="2"/>
  <c r="GE181" i="2"/>
  <c r="GE26" i="2"/>
  <c r="GE157" i="2"/>
  <c r="GE74" i="2"/>
  <c r="GE132" i="2"/>
  <c r="GE24" i="2"/>
  <c r="GE191" i="2"/>
  <c r="GE177" i="2"/>
  <c r="GE143" i="2"/>
  <c r="GE77" i="2"/>
  <c r="GE70" i="2"/>
  <c r="GE23" i="2"/>
  <c r="GE135" i="2"/>
  <c r="GE129" i="2"/>
  <c r="GE103" i="2"/>
  <c r="GE114" i="2"/>
  <c r="GE46" i="2"/>
  <c r="GE136" i="2"/>
  <c r="GE29" i="2"/>
  <c r="GE198" i="2"/>
  <c r="GE202" i="2"/>
  <c r="GE170" i="2"/>
  <c r="GE71" i="2"/>
  <c r="GE186" i="2"/>
  <c r="GE172" i="2"/>
  <c r="GE144" i="2"/>
  <c r="GE79" i="2"/>
  <c r="GE122" i="2"/>
  <c r="GE4" i="2"/>
  <c r="GE128" i="2"/>
  <c r="GE91" i="2"/>
  <c r="GE68" i="2"/>
  <c r="GE163" i="2"/>
  <c r="GE81" i="2"/>
  <c r="GE196" i="2"/>
  <c r="GE12" i="2"/>
  <c r="GE167" i="2"/>
  <c r="GE58" i="2"/>
  <c r="GE138" i="2"/>
  <c r="GE194" i="2"/>
  <c r="GE86" i="2"/>
  <c r="GE83" i="2"/>
  <c r="GE145" i="2"/>
  <c r="GE154" i="2"/>
  <c r="GE108" i="2"/>
  <c r="GE117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128" i="2" l="1"/>
  <c r="DT186" i="2"/>
  <c r="DT20" i="2"/>
  <c r="DT166" i="2"/>
  <c r="DT121" i="2"/>
  <c r="DT167" i="2"/>
  <c r="DT156" i="2"/>
  <c r="DT93" i="2"/>
  <c r="DT193" i="2"/>
  <c r="DT87" i="2"/>
  <c r="DT73" i="2"/>
  <c r="DT113" i="2"/>
  <c r="DT71" i="2"/>
  <c r="DT11" i="2"/>
  <c r="DT195" i="2"/>
  <c r="DT62" i="2"/>
  <c r="DT94" i="2"/>
  <c r="DT201" i="2"/>
  <c r="DT182" i="2"/>
  <c r="DT108" i="2"/>
  <c r="DT4" i="2"/>
  <c r="DT189" i="2"/>
  <c r="DT163" i="2"/>
  <c r="DT191" i="2"/>
  <c r="DT134" i="2"/>
  <c r="DT97" i="2"/>
  <c r="DT15" i="2"/>
  <c r="DT82" i="2"/>
  <c r="DT43" i="2"/>
  <c r="DT36" i="2"/>
  <c r="DT39" i="2"/>
  <c r="DT150" i="2"/>
  <c r="DT37" i="2"/>
  <c r="DT179" i="2"/>
  <c r="DT32" i="2"/>
  <c r="DT136" i="2"/>
  <c r="DT98" i="2"/>
  <c r="DT100" i="2"/>
  <c r="DT60" i="2"/>
  <c r="DT117" i="2"/>
  <c r="DT188" i="2"/>
  <c r="DT181" i="2"/>
  <c r="DT57" i="2"/>
  <c r="DT104" i="2"/>
  <c r="DT190" i="2"/>
  <c r="DT175" i="2"/>
  <c r="DT96" i="2"/>
  <c r="DT152" i="2"/>
  <c r="DT146" i="2"/>
  <c r="DT154" i="2"/>
  <c r="DT176" i="2"/>
  <c r="DT95" i="2"/>
  <c r="DT125" i="2"/>
  <c r="DT141" i="2"/>
  <c r="DT185" i="2"/>
  <c r="DT24" i="2"/>
  <c r="DT54" i="2"/>
  <c r="DT177" i="2"/>
  <c r="DT79" i="2"/>
  <c r="DT33" i="2"/>
  <c r="DT74" i="2"/>
  <c r="DT169" i="2"/>
  <c r="DT7" i="2"/>
  <c r="DT159" i="2"/>
  <c r="DT63" i="2"/>
  <c r="DT38" i="2"/>
  <c r="DT162" i="2"/>
  <c r="DT50" i="2"/>
  <c r="DT165" i="2"/>
  <c r="DT147" i="2"/>
  <c r="DT132" i="2"/>
  <c r="DT10" i="2"/>
  <c r="DT99" i="2"/>
  <c r="DT101" i="2"/>
  <c r="DT198" i="2"/>
  <c r="DT53" i="2"/>
  <c r="DT76" i="2"/>
  <c r="DT116" i="2"/>
  <c r="DT158" i="2"/>
  <c r="DT144" i="2"/>
  <c r="DT119" i="2"/>
  <c r="DT157" i="2"/>
  <c r="DT86" i="2"/>
  <c r="DT103" i="2"/>
  <c r="DT84" i="2"/>
  <c r="DT16" i="2"/>
  <c r="DT149" i="2"/>
  <c r="DT102" i="2"/>
  <c r="DT42" i="2"/>
  <c r="DT56" i="2"/>
  <c r="DT90" i="2"/>
  <c r="DT184" i="2"/>
  <c r="DT69" i="2"/>
  <c r="DT6" i="2"/>
  <c r="DT51" i="2"/>
  <c r="DT148" i="2"/>
  <c r="DT19" i="2"/>
  <c r="DT64" i="2"/>
  <c r="DT170" i="2"/>
  <c r="DT129" i="2"/>
  <c r="DT55" i="2"/>
  <c r="DT145" i="2"/>
  <c r="DT61" i="2"/>
  <c r="DT85" i="2"/>
  <c r="DT81" i="2"/>
  <c r="DT131" i="2"/>
  <c r="DT26" i="2"/>
  <c r="DT199" i="2"/>
  <c r="DT46" i="2"/>
  <c r="DT183" i="2"/>
  <c r="DT168" i="2"/>
  <c r="DT109" i="2"/>
  <c r="DT171" i="2"/>
  <c r="DT110" i="2"/>
  <c r="DT91" i="2"/>
  <c r="DT45" i="2"/>
  <c r="DT126" i="2"/>
  <c r="DT123" i="2"/>
  <c r="DT58" i="2"/>
  <c r="DT41" i="2"/>
  <c r="DT27" i="2"/>
  <c r="DT22" i="2"/>
  <c r="DT9" i="2"/>
  <c r="DT72" i="2"/>
  <c r="DT5" i="2"/>
  <c r="DT59" i="2"/>
  <c r="DT47" i="2"/>
  <c r="DT174" i="2"/>
  <c r="DT65" i="2"/>
  <c r="DT127" i="2"/>
  <c r="DT139" i="2"/>
  <c r="DT120" i="2"/>
  <c r="DT67" i="2"/>
  <c r="DT122" i="2"/>
  <c r="DT66" i="2"/>
  <c r="DT31" i="2"/>
  <c r="DT164" i="2"/>
  <c r="DT124" i="2"/>
  <c r="DT114" i="2"/>
  <c r="DT52" i="2"/>
  <c r="DT48" i="2"/>
  <c r="DT192" i="2"/>
  <c r="DT14" i="2"/>
  <c r="DT78" i="2"/>
  <c r="DT133" i="2"/>
  <c r="DT40" i="2"/>
  <c r="DT173" i="2"/>
  <c r="DT106" i="2"/>
  <c r="DT172" i="2"/>
  <c r="DT111" i="2"/>
  <c r="DT23" i="2"/>
  <c r="DT25" i="2"/>
  <c r="DT70" i="2"/>
  <c r="DT49" i="2"/>
  <c r="DT197" i="2"/>
  <c r="DT28" i="2"/>
  <c r="DT142" i="2"/>
  <c r="DT83" i="2"/>
  <c r="DT105" i="2"/>
  <c r="DT118" i="2"/>
  <c r="DT180" i="2"/>
  <c r="DT140" i="2"/>
  <c r="DT92" i="2"/>
  <c r="DT35" i="2"/>
  <c r="DT153" i="2"/>
  <c r="DT68" i="2"/>
  <c r="DT130" i="2"/>
  <c r="DT88" i="2"/>
  <c r="DT135" i="2"/>
  <c r="DT160" i="2"/>
  <c r="DT200" i="2"/>
  <c r="DT137" i="2"/>
  <c r="DT203" i="2"/>
  <c r="DT138" i="2"/>
  <c r="DT8" i="2"/>
  <c r="DT13" i="2"/>
  <c r="DT151" i="2"/>
  <c r="DT202" i="2"/>
  <c r="DT196" i="2"/>
  <c r="DT17" i="2"/>
  <c r="DT155" i="2"/>
  <c r="DT115" i="2"/>
  <c r="DT178" i="2"/>
  <c r="DT143" i="2"/>
  <c r="DT18" i="2"/>
  <c r="DT187" i="2"/>
  <c r="DT112" i="2"/>
  <c r="DT44" i="2"/>
  <c r="DT80" i="2"/>
  <c r="DT77" i="2"/>
  <c r="DT30" i="2"/>
  <c r="DT34" i="2"/>
  <c r="DT89" i="2"/>
  <c r="DT21" i="2"/>
  <c r="DT75" i="2"/>
  <c r="DT161" i="2"/>
  <c r="DT194" i="2"/>
  <c r="DT107" i="2"/>
  <c r="DT12" i="2"/>
  <c r="DT3" i="2"/>
  <c r="C11" i="4" s="1"/>
  <c r="E11" i="4" s="1"/>
  <c r="F11" i="4" s="1"/>
  <c r="G11" i="4" s="1"/>
  <c r="L11" i="4" s="1"/>
  <c r="DT29" i="2"/>
  <c r="CD60" i="2"/>
  <c r="CD171" i="2"/>
  <c r="CD16" i="2"/>
  <c r="CD97" i="2"/>
  <c r="CD113" i="2"/>
  <c r="CD184" i="2"/>
  <c r="CD78" i="2"/>
  <c r="CD114" i="2"/>
  <c r="CD23" i="2"/>
  <c r="CD121" i="2"/>
  <c r="CD195" i="2"/>
  <c r="CD163" i="2"/>
  <c r="CD106" i="2"/>
  <c r="CD194" i="2"/>
  <c r="CD158" i="2"/>
  <c r="CD130" i="2"/>
  <c r="CD142" i="2"/>
  <c r="CD94" i="2"/>
  <c r="CD144" i="2"/>
  <c r="CD123" i="2"/>
  <c r="CD61" i="2"/>
  <c r="CD3" i="2"/>
  <c r="C9" i="4" s="1"/>
  <c r="E9" i="4" s="1"/>
  <c r="F9" i="4" s="1"/>
  <c r="G9" i="4" s="1"/>
  <c r="L9" i="4" s="1"/>
  <c r="CD8" i="2"/>
  <c r="CD104" i="2"/>
  <c r="CD90" i="2"/>
  <c r="CD39" i="2"/>
  <c r="CD48" i="2"/>
  <c r="CD56" i="2"/>
  <c r="CD19" i="2"/>
  <c r="CD185" i="2"/>
  <c r="CD188" i="2"/>
  <c r="CD120" i="2"/>
  <c r="CD179" i="2"/>
  <c r="CD132" i="2"/>
  <c r="CD200" i="2"/>
  <c r="CD45" i="2"/>
  <c r="CD172" i="2"/>
  <c r="CD160" i="2"/>
  <c r="CD84" i="2"/>
  <c r="CD110" i="2"/>
  <c r="CD162" i="2"/>
  <c r="CD27" i="2"/>
  <c r="CD118" i="2"/>
  <c r="CD25" i="2"/>
  <c r="CD29" i="2"/>
  <c r="CD133" i="2"/>
  <c r="CD181" i="2"/>
  <c r="CD86" i="2"/>
  <c r="CD7" i="2"/>
  <c r="CD77" i="2"/>
  <c r="CD12" i="2"/>
  <c r="CD157" i="2"/>
  <c r="CD51" i="2"/>
  <c r="CD71" i="2"/>
  <c r="CD196" i="2"/>
  <c r="CD44" i="2"/>
  <c r="CD46" i="2"/>
  <c r="CD82" i="2"/>
  <c r="CD139" i="2"/>
  <c r="CD64" i="2"/>
  <c r="CD129" i="2"/>
  <c r="CD99" i="2"/>
  <c r="CD108" i="2"/>
  <c r="CD55" i="2"/>
  <c r="CD189" i="2"/>
  <c r="CD156" i="2"/>
  <c r="CD140" i="2"/>
  <c r="CD111" i="2"/>
  <c r="CD38" i="2"/>
  <c r="CD54" i="2"/>
  <c r="CD155" i="2"/>
  <c r="CD89" i="2"/>
  <c r="CD93" i="2"/>
  <c r="CD116" i="2"/>
  <c r="CD202" i="2"/>
  <c r="CD187" i="2"/>
  <c r="CD24" i="2"/>
  <c r="CD36" i="2"/>
  <c r="CD59" i="2"/>
  <c r="CD76" i="2"/>
  <c r="CD10" i="2"/>
  <c r="CD119" i="2"/>
  <c r="CD80" i="2"/>
  <c r="CD62" i="2"/>
  <c r="CD186" i="2"/>
  <c r="CD13" i="2"/>
  <c r="CD68" i="2"/>
  <c r="CD83" i="2"/>
  <c r="CD50" i="2"/>
  <c r="CD146" i="2"/>
  <c r="CD145" i="2"/>
  <c r="CD203" i="2"/>
  <c r="CD75" i="2"/>
  <c r="CD11" i="2"/>
  <c r="CD128" i="2"/>
  <c r="CD26" i="2"/>
  <c r="CD18" i="2"/>
  <c r="CD100" i="2"/>
  <c r="CD81" i="2"/>
  <c r="CD63" i="2"/>
  <c r="CD141" i="2"/>
  <c r="CD125" i="2"/>
  <c r="CD28" i="2"/>
  <c r="CD67" i="2"/>
  <c r="CD35" i="2"/>
  <c r="CD69" i="2"/>
  <c r="CD175" i="2"/>
  <c r="CD41" i="2"/>
  <c r="CD112" i="2"/>
  <c r="CD183" i="2"/>
  <c r="CD115" i="2"/>
  <c r="CD191" i="2"/>
  <c r="CD105" i="2"/>
  <c r="CD73" i="2"/>
  <c r="CD153" i="2"/>
  <c r="CD122" i="2"/>
  <c r="CD150" i="2"/>
  <c r="CD143" i="2"/>
  <c r="CD136" i="2"/>
  <c r="CD182" i="2"/>
  <c r="CD135" i="2"/>
  <c r="CD147" i="2"/>
  <c r="CD53" i="2"/>
  <c r="CD161" i="2"/>
  <c r="CD137" i="2"/>
  <c r="CD165" i="2"/>
  <c r="CD151" i="2"/>
  <c r="CD79" i="2"/>
  <c r="CD178" i="2"/>
  <c r="CD47" i="2"/>
  <c r="CD14" i="2"/>
  <c r="CD20" i="2"/>
  <c r="CD166" i="2"/>
  <c r="CD124" i="2"/>
  <c r="CD70" i="2"/>
  <c r="CD87" i="2"/>
  <c r="CD32" i="2"/>
  <c r="CD180" i="2"/>
  <c r="CD49" i="2"/>
  <c r="CD91" i="2"/>
  <c r="CD149" i="2"/>
  <c r="CD95" i="2"/>
  <c r="CD74" i="2"/>
  <c r="CD30" i="2"/>
  <c r="CD109" i="2"/>
  <c r="CD190" i="2"/>
  <c r="CD65" i="2"/>
  <c r="CD127" i="2"/>
  <c r="CD5" i="2"/>
  <c r="CD42" i="2"/>
  <c r="CD131" i="2"/>
  <c r="CD164" i="2"/>
  <c r="CD9" i="2"/>
  <c r="CD152" i="2"/>
  <c r="CD52" i="2"/>
  <c r="CD192" i="2"/>
  <c r="CD117" i="2"/>
  <c r="CD148" i="2"/>
  <c r="CD17" i="2"/>
  <c r="CD22" i="2"/>
  <c r="CD57" i="2"/>
  <c r="CD31" i="2"/>
  <c r="CD88" i="2"/>
  <c r="CD174" i="2"/>
  <c r="CD198" i="2"/>
  <c r="CD167" i="2"/>
  <c r="CD170" i="2"/>
  <c r="CD173" i="2"/>
  <c r="CD107" i="2"/>
  <c r="CD201" i="2"/>
  <c r="CD134" i="2"/>
  <c r="CD85" i="2"/>
  <c r="CD169" i="2"/>
  <c r="CD168" i="2"/>
  <c r="CD4" i="2"/>
  <c r="CD102" i="2"/>
  <c r="CD34" i="2"/>
  <c r="CD199" i="2"/>
  <c r="CD176" i="2"/>
  <c r="CD40" i="2"/>
  <c r="CD96" i="2"/>
  <c r="CD154" i="2"/>
  <c r="CD193" i="2"/>
  <c r="CD43" i="2"/>
  <c r="CD98" i="2"/>
  <c r="CD58" i="2"/>
  <c r="CD138" i="2"/>
  <c r="CD103" i="2"/>
  <c r="CD92" i="2"/>
  <c r="CD37" i="2"/>
  <c r="CD159" i="2"/>
  <c r="CD101" i="2"/>
  <c r="CD197" i="2"/>
  <c r="CD6" i="2"/>
  <c r="CD126" i="2"/>
  <c r="CD72" i="2"/>
  <c r="CD177" i="2"/>
  <c r="CD33" i="2"/>
  <c r="CD21" i="2"/>
  <c r="CD66" i="2"/>
  <c r="CD15" i="2"/>
  <c r="GZ173" i="2"/>
  <c r="GZ112" i="2"/>
  <c r="GZ14" i="2"/>
  <c r="GZ28" i="2"/>
  <c r="GZ29" i="2"/>
  <c r="GZ147" i="2"/>
  <c r="GZ198" i="2"/>
  <c r="GZ199" i="2"/>
  <c r="GZ46" i="2"/>
  <c r="GZ177" i="2"/>
  <c r="GZ178" i="2"/>
  <c r="GZ25" i="2"/>
  <c r="GZ140" i="2"/>
  <c r="GZ141" i="2"/>
  <c r="GZ126" i="2"/>
  <c r="GZ111" i="2"/>
  <c r="GZ116" i="2"/>
  <c r="GZ105" i="2"/>
  <c r="GZ90" i="2"/>
  <c r="GZ6" i="2"/>
  <c r="GZ68" i="2"/>
  <c r="GZ53" i="2"/>
  <c r="GZ184" i="2"/>
  <c r="GZ39" i="2"/>
  <c r="GZ32" i="2"/>
  <c r="GZ187" i="2"/>
  <c r="GZ63" i="2"/>
  <c r="GZ202" i="2"/>
  <c r="GZ118" i="2"/>
  <c r="GZ42" i="2"/>
  <c r="GZ165" i="2"/>
  <c r="GZ97" i="2"/>
  <c r="GZ5" i="2"/>
  <c r="GZ144" i="2"/>
  <c r="GZ60" i="2"/>
  <c r="GZ175" i="2"/>
  <c r="GZ51" i="2"/>
  <c r="GZ31" i="2"/>
  <c r="GZ154" i="2"/>
  <c r="GZ78" i="2"/>
  <c r="GZ10" i="2"/>
  <c r="GZ117" i="2"/>
  <c r="GZ8" i="2"/>
  <c r="GZ172" i="2"/>
  <c r="GZ96" i="2"/>
  <c r="GZ81" i="2"/>
  <c r="GZ143" i="2"/>
  <c r="GZ181" i="2"/>
  <c r="GZ44" i="2"/>
  <c r="GZ122" i="2"/>
  <c r="GZ160" i="2"/>
  <c r="GZ15" i="2"/>
  <c r="GZ85" i="2"/>
  <c r="GZ179" i="2"/>
  <c r="GZ18" i="2"/>
  <c r="GZ64" i="2"/>
  <c r="GZ94" i="2"/>
  <c r="GZ180" i="2"/>
  <c r="GZ11" i="2"/>
  <c r="GZ73" i="2"/>
  <c r="GZ151" i="2"/>
  <c r="GZ197" i="2"/>
  <c r="GZ36" i="2"/>
  <c r="GZ130" i="2"/>
  <c r="GZ176" i="2"/>
  <c r="GZ7" i="2"/>
  <c r="GZ93" i="2"/>
  <c r="GZ35" i="2"/>
  <c r="GZ185" i="2"/>
  <c r="GZ72" i="2"/>
  <c r="GZ57" i="2"/>
  <c r="GZ148" i="2"/>
  <c r="GZ75" i="2"/>
  <c r="GZ20" i="2"/>
  <c r="GZ119" i="2"/>
  <c r="GZ136" i="2"/>
  <c r="GZ190" i="2"/>
  <c r="GZ41" i="2"/>
  <c r="GZ98" i="2"/>
  <c r="GZ155" i="2"/>
  <c r="GZ169" i="2"/>
  <c r="GZ61" i="2"/>
  <c r="GZ70" i="2"/>
  <c r="GZ193" i="2"/>
  <c r="GZ40" i="2"/>
  <c r="GZ49" i="2"/>
  <c r="GZ156" i="2"/>
  <c r="GZ67" i="2"/>
  <c r="GZ12" i="2"/>
  <c r="GZ127" i="2"/>
  <c r="GZ19" i="2"/>
  <c r="GZ182" i="2"/>
  <c r="GZ106" i="2"/>
  <c r="GZ30" i="2"/>
  <c r="GZ161" i="2"/>
  <c r="GZ69" i="2"/>
  <c r="GZ9" i="2"/>
  <c r="GZ124" i="2"/>
  <c r="GZ48" i="2"/>
  <c r="GZ99" i="2"/>
  <c r="GZ95" i="2"/>
  <c r="GZ131" i="2"/>
  <c r="GZ89" i="2"/>
  <c r="GZ74" i="2"/>
  <c r="GZ189" i="2"/>
  <c r="GZ52" i="2"/>
  <c r="GZ37" i="2"/>
  <c r="GZ168" i="2"/>
  <c r="GZ23" i="2"/>
  <c r="GZ16" i="2"/>
  <c r="GZ171" i="2"/>
  <c r="GZ132" i="2"/>
  <c r="GZ186" i="2"/>
  <c r="GZ102" i="2"/>
  <c r="GZ103" i="2"/>
  <c r="GZ149" i="2"/>
  <c r="GZ123" i="2"/>
  <c r="GZ82" i="2"/>
  <c r="GZ128" i="2"/>
  <c r="GZ158" i="2"/>
  <c r="GZ110" i="2"/>
  <c r="GZ91" i="2"/>
  <c r="GZ137" i="2"/>
  <c r="GZ24" i="2"/>
  <c r="GZ62" i="2"/>
  <c r="GZ100" i="2"/>
  <c r="GZ194" i="2"/>
  <c r="GZ71" i="2"/>
  <c r="GZ157" i="2"/>
  <c r="GZ142" i="2"/>
  <c r="GZ50" i="2"/>
  <c r="GZ203" i="2"/>
  <c r="GZ121" i="2"/>
  <c r="GZ13" i="2"/>
  <c r="GZ22" i="2"/>
  <c r="GZ84" i="2"/>
  <c r="GZ183" i="2"/>
  <c r="GZ200" i="2"/>
  <c r="GZ201" i="2"/>
  <c r="GZ162" i="2"/>
  <c r="GZ59" i="2"/>
  <c r="GZ164" i="2"/>
  <c r="GZ125" i="2"/>
  <c r="GZ134" i="2"/>
  <c r="GZ135" i="2"/>
  <c r="GZ104" i="2"/>
  <c r="GZ113" i="2"/>
  <c r="GZ114" i="2"/>
  <c r="GZ83" i="2"/>
  <c r="GZ76" i="2"/>
  <c r="GZ77" i="2"/>
  <c r="GZ38" i="2"/>
  <c r="GZ47" i="2"/>
  <c r="GZ56" i="2"/>
  <c r="GZ17" i="2"/>
  <c r="GZ26" i="2"/>
  <c r="GZ195" i="2"/>
  <c r="GZ4" i="2"/>
  <c r="GZ188" i="2"/>
  <c r="GZ120" i="2"/>
  <c r="GZ174" i="2"/>
  <c r="GZ159" i="2"/>
  <c r="GZ27" i="2"/>
  <c r="GZ153" i="2"/>
  <c r="GZ138" i="2"/>
  <c r="GZ54" i="2"/>
  <c r="GZ55" i="2"/>
  <c r="GZ101" i="2"/>
  <c r="GZ33" i="2"/>
  <c r="GZ34" i="2"/>
  <c r="GZ80" i="2"/>
  <c r="GZ163" i="2"/>
  <c r="GZ196" i="2"/>
  <c r="GZ139" i="2"/>
  <c r="GZ166" i="2"/>
  <c r="GZ167" i="2"/>
  <c r="GZ145" i="2"/>
  <c r="GZ146" i="2"/>
  <c r="GZ192" i="2"/>
  <c r="GZ108" i="2"/>
  <c r="GZ109" i="2"/>
  <c r="GZ43" i="2"/>
  <c r="GZ79" i="2"/>
  <c r="GZ88" i="2"/>
  <c r="GZ107" i="2"/>
  <c r="GZ58" i="2"/>
  <c r="GZ45" i="2"/>
  <c r="GZ150" i="2"/>
  <c r="GZ21" i="2"/>
  <c r="GZ152" i="2"/>
  <c r="GZ129" i="2"/>
  <c r="GZ191" i="2"/>
  <c r="GZ115" i="2"/>
  <c r="GZ92" i="2"/>
  <c r="GZ170" i="2"/>
  <c r="GZ86" i="2"/>
  <c r="GZ87" i="2"/>
  <c r="GZ133" i="2"/>
  <c r="GZ65" i="2"/>
  <c r="GZ66" i="2"/>
  <c r="GZ3" i="2"/>
  <c r="C15" i="4" s="1"/>
  <c r="E15" i="4" s="1"/>
  <c r="F15" i="4" s="1"/>
  <c r="G15" i="4" s="1"/>
  <c r="L15" i="4" s="1"/>
  <c r="CY20" i="2"/>
  <c r="CY43" i="2"/>
  <c r="CY24" i="2"/>
  <c r="CY21" i="2"/>
  <c r="CY153" i="2"/>
  <c r="CY45" i="2"/>
  <c r="CY83" i="2"/>
  <c r="CY39" i="2"/>
  <c r="CY71" i="2"/>
  <c r="CY141" i="2"/>
  <c r="CY193" i="2"/>
  <c r="CY72" i="2"/>
  <c r="CY19" i="2"/>
  <c r="CY172" i="2"/>
  <c r="CY59" i="2"/>
  <c r="CY77" i="2"/>
  <c r="CY94" i="2"/>
  <c r="CY17" i="2"/>
  <c r="CY146" i="2"/>
  <c r="CY65" i="2"/>
  <c r="CY87" i="2"/>
  <c r="CY23" i="2"/>
  <c r="CY40" i="2"/>
  <c r="CY63" i="2"/>
  <c r="CY150" i="2"/>
  <c r="CY156" i="2"/>
  <c r="CY12" i="2"/>
  <c r="CY198" i="2"/>
  <c r="CY203" i="2"/>
  <c r="CY179" i="2"/>
  <c r="CY143" i="2"/>
  <c r="CY189" i="2"/>
  <c r="CY171" i="2"/>
  <c r="CY26" i="2"/>
  <c r="CY97" i="2"/>
  <c r="CY164" i="2"/>
  <c r="CY78" i="2"/>
  <c r="CY47" i="2"/>
  <c r="CY42" i="2"/>
  <c r="CY145" i="2"/>
  <c r="CY85" i="2"/>
  <c r="CY88" i="2"/>
  <c r="CY5" i="2"/>
  <c r="CY144" i="2"/>
  <c r="CY98" i="2"/>
  <c r="CY51" i="2"/>
  <c r="CY6" i="2"/>
  <c r="CY66" i="2"/>
  <c r="CY60" i="2"/>
  <c r="CY157" i="2"/>
  <c r="CY99" i="2"/>
  <c r="CY190" i="2"/>
  <c r="CY133" i="2"/>
  <c r="CY33" i="2"/>
  <c r="CY188" i="2"/>
  <c r="CY70" i="2"/>
  <c r="CY166" i="2"/>
  <c r="CY149" i="2"/>
  <c r="CY58" i="2"/>
  <c r="CY132" i="2"/>
  <c r="CY184" i="2"/>
  <c r="CY16" i="2"/>
  <c r="CY44" i="2"/>
  <c r="CY82" i="2"/>
  <c r="CY191" i="2"/>
  <c r="CY167" i="2"/>
  <c r="CY195" i="2"/>
  <c r="CY112" i="2"/>
  <c r="CY11" i="2"/>
  <c r="CY117" i="2"/>
  <c r="CY22" i="2"/>
  <c r="CY103" i="2"/>
  <c r="CY32" i="2"/>
  <c r="CY170" i="2"/>
  <c r="CY7" i="2"/>
  <c r="CY50" i="2"/>
  <c r="CY163" i="2"/>
  <c r="CY116" i="2"/>
  <c r="CY139" i="2"/>
  <c r="CY123" i="2"/>
  <c r="CY126" i="2"/>
  <c r="CY106" i="2"/>
  <c r="CY131" i="2"/>
  <c r="CY31" i="2"/>
  <c r="CY124" i="2"/>
  <c r="CY9" i="2"/>
  <c r="CY201" i="2"/>
  <c r="CY192" i="2"/>
  <c r="CY80" i="2"/>
  <c r="CY154" i="2"/>
  <c r="CY152" i="2"/>
  <c r="CY177" i="2"/>
  <c r="CY199" i="2"/>
  <c r="CY125" i="2"/>
  <c r="CY127" i="2"/>
  <c r="CY119" i="2"/>
  <c r="CY181" i="2"/>
  <c r="CY62" i="2"/>
  <c r="CY95" i="2"/>
  <c r="CY49" i="2"/>
  <c r="CY130" i="2"/>
  <c r="CY54" i="2"/>
  <c r="CY53" i="2"/>
  <c r="CY64" i="2"/>
  <c r="CY183" i="2"/>
  <c r="CY134" i="2"/>
  <c r="CY160" i="2"/>
  <c r="CY67" i="2"/>
  <c r="CY121" i="2"/>
  <c r="CY81" i="2"/>
  <c r="CY111" i="2"/>
  <c r="CY38" i="2"/>
  <c r="CY165" i="2"/>
  <c r="CY69" i="2"/>
  <c r="CY173" i="2"/>
  <c r="CY122" i="2"/>
  <c r="CY102" i="2"/>
  <c r="CY56" i="2"/>
  <c r="CY108" i="2"/>
  <c r="CY10" i="2"/>
  <c r="CY96" i="2"/>
  <c r="CY168" i="2"/>
  <c r="CY76" i="2"/>
  <c r="CY194" i="2"/>
  <c r="CY15" i="2"/>
  <c r="CY73" i="2"/>
  <c r="CY8" i="2"/>
  <c r="CY28" i="2"/>
  <c r="CY113" i="2"/>
  <c r="CY36" i="2"/>
  <c r="CY57" i="2"/>
  <c r="CY180" i="2"/>
  <c r="CY55" i="2"/>
  <c r="CY109" i="2"/>
  <c r="CY176" i="2"/>
  <c r="CY120" i="2"/>
  <c r="CY147" i="2"/>
  <c r="CY107" i="2"/>
  <c r="CY104" i="2"/>
  <c r="CY142" i="2"/>
  <c r="CY138" i="2"/>
  <c r="CY187" i="2"/>
  <c r="CY68" i="2"/>
  <c r="CY91" i="2"/>
  <c r="CY159" i="2"/>
  <c r="CY115" i="2"/>
  <c r="CY89" i="2"/>
  <c r="CY140" i="2"/>
  <c r="CY52" i="2"/>
  <c r="CY128" i="2"/>
  <c r="CY79" i="2"/>
  <c r="CY84" i="2"/>
  <c r="CY25" i="2"/>
  <c r="CY182" i="2"/>
  <c r="CY35" i="2"/>
  <c r="CY148" i="2"/>
  <c r="CY155" i="2"/>
  <c r="CY3" i="2"/>
  <c r="C10" i="4" s="1"/>
  <c r="E10" i="4" s="1"/>
  <c r="F10" i="4" s="1"/>
  <c r="G10" i="4" s="1"/>
  <c r="L10" i="4" s="1"/>
  <c r="CY162" i="2"/>
  <c r="CY169" i="2"/>
  <c r="CY74" i="2"/>
  <c r="CY129" i="2"/>
  <c r="CY178" i="2"/>
  <c r="CY110" i="2"/>
  <c r="CY29" i="2"/>
  <c r="CY48" i="2"/>
  <c r="CY46" i="2"/>
  <c r="CY14" i="2"/>
  <c r="CY105" i="2"/>
  <c r="CY137" i="2"/>
  <c r="CY18" i="2"/>
  <c r="CY114" i="2"/>
  <c r="CY100" i="2"/>
  <c r="CY135" i="2"/>
  <c r="CY37" i="2"/>
  <c r="CY185" i="2"/>
  <c r="CY13" i="2"/>
  <c r="CY186" i="2"/>
  <c r="CY136" i="2"/>
  <c r="CY61" i="2"/>
  <c r="CY101" i="2"/>
  <c r="CY197" i="2"/>
  <c r="CY92" i="2"/>
  <c r="CY158" i="2"/>
  <c r="CY30" i="2"/>
  <c r="CY175" i="2"/>
  <c r="CY27" i="2"/>
  <c r="CY41" i="2"/>
  <c r="CY90" i="2"/>
  <c r="CY93" i="2"/>
  <c r="CY118" i="2"/>
  <c r="CY34" i="2"/>
  <c r="CY86" i="2"/>
  <c r="CY161" i="2"/>
  <c r="CY200" i="2"/>
  <c r="CY174" i="2"/>
  <c r="CY196" i="2"/>
  <c r="CY202" i="2"/>
  <c r="CY4" i="2"/>
  <c r="CY75" i="2"/>
  <c r="CY151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60" i="2"/>
  <c r="BI150" i="2"/>
  <c r="BI155" i="2"/>
  <c r="BI78" i="2"/>
  <c r="BI127" i="2"/>
  <c r="BI85" i="2"/>
  <c r="BI163" i="2"/>
  <c r="BI133" i="2"/>
  <c r="BI104" i="2"/>
  <c r="BI168" i="2"/>
  <c r="BI77" i="2"/>
  <c r="BI109" i="2"/>
  <c r="BI119" i="2"/>
  <c r="BI51" i="2"/>
  <c r="BI165" i="2"/>
  <c r="BI199" i="2"/>
  <c r="BI148" i="2"/>
  <c r="BI176" i="2"/>
  <c r="BI196" i="2"/>
  <c r="BI68" i="2"/>
  <c r="BI80" i="2"/>
  <c r="BI144" i="2"/>
  <c r="BI158" i="2"/>
  <c r="BI101" i="2"/>
  <c r="BI145" i="2"/>
  <c r="BI166" i="2"/>
  <c r="BI34" i="2"/>
  <c r="BI30" i="2"/>
  <c r="BI202" i="2"/>
  <c r="BI124" i="2"/>
  <c r="BI96" i="2"/>
  <c r="BI161" i="2"/>
  <c r="BI36" i="2"/>
  <c r="BI115" i="2"/>
  <c r="BI37" i="2"/>
  <c r="BI187" i="2"/>
  <c r="BI159" i="2"/>
  <c r="BI201" i="2"/>
  <c r="BI103" i="2"/>
  <c r="BI42" i="2"/>
  <c r="BI191" i="2"/>
  <c r="BI21" i="2"/>
  <c r="BI67" i="2"/>
  <c r="BI9" i="2"/>
  <c r="BI134" i="2"/>
  <c r="BI6" i="2"/>
  <c r="BI169" i="2"/>
  <c r="BI106" i="2"/>
  <c r="BI46" i="2"/>
  <c r="BI183" i="2"/>
  <c r="BI121" i="2"/>
  <c r="BI44" i="2"/>
  <c r="BI178" i="2"/>
  <c r="BI41" i="2"/>
  <c r="BI22" i="2"/>
  <c r="BI79" i="2"/>
  <c r="BI186" i="2"/>
  <c r="BI162" i="2"/>
  <c r="BI76" i="2"/>
  <c r="BI86" i="2"/>
  <c r="BI20" i="2"/>
  <c r="BI179" i="2"/>
  <c r="BI50" i="2"/>
  <c r="BI100" i="2"/>
  <c r="BI142" i="2"/>
  <c r="BI89" i="2"/>
  <c r="BI117" i="2"/>
  <c r="BI194" i="2"/>
  <c r="BI140" i="2"/>
  <c r="BI143" i="2"/>
  <c r="BI175" i="2"/>
  <c r="BI102" i="2"/>
  <c r="BI123" i="2"/>
  <c r="BI48" i="2"/>
  <c r="BI136" i="2"/>
  <c r="BI118" i="2"/>
  <c r="BI24" i="2"/>
  <c r="BI132" i="2"/>
  <c r="BI53" i="2"/>
  <c r="BI84" i="2"/>
  <c r="BI157" i="2"/>
  <c r="BI184" i="2"/>
  <c r="BI7" i="2"/>
  <c r="BI14" i="2"/>
  <c r="BI107" i="2"/>
  <c r="BI147" i="2"/>
  <c r="BI188" i="2"/>
  <c r="BI56" i="2"/>
  <c r="BI3" i="2"/>
  <c r="C8" i="4" s="1"/>
  <c r="E8" i="4" s="1"/>
  <c r="F8" i="4" s="1"/>
  <c r="G8" i="4" s="1"/>
  <c r="L8" i="4" s="1"/>
  <c r="BI8" i="2"/>
  <c r="BI40" i="2"/>
  <c r="BI74" i="2"/>
  <c r="BI64" i="2"/>
  <c r="BI62" i="2"/>
  <c r="BI112" i="2"/>
  <c r="BI193" i="2"/>
  <c r="BI75" i="2"/>
  <c r="BI126" i="2"/>
  <c r="BI154" i="2"/>
  <c r="BI95" i="2"/>
  <c r="BI18" i="2"/>
  <c r="BI116" i="2"/>
  <c r="BI149" i="2"/>
  <c r="BI135" i="2"/>
  <c r="BI87" i="2"/>
  <c r="BI182" i="2"/>
  <c r="BI55" i="2"/>
  <c r="BI83" i="2"/>
  <c r="BI17" i="2"/>
  <c r="BI19" i="2"/>
  <c r="BI4" i="2"/>
  <c r="BI10" i="2"/>
  <c r="BI151" i="2"/>
  <c r="BI66" i="2"/>
  <c r="BI128" i="2"/>
  <c r="BI181" i="2"/>
  <c r="BI192" i="2"/>
  <c r="BI105" i="2"/>
  <c r="BI73" i="2"/>
  <c r="BI58" i="2"/>
  <c r="BI13" i="2"/>
  <c r="BI57" i="2"/>
  <c r="BI65" i="2"/>
  <c r="BI122" i="2"/>
  <c r="BI200" i="2"/>
  <c r="BI25" i="2"/>
  <c r="BI190" i="2"/>
  <c r="BI170" i="2"/>
  <c r="BI43" i="2"/>
  <c r="BI11" i="2"/>
  <c r="BI129" i="2"/>
  <c r="BI173" i="2"/>
  <c r="BI38" i="2"/>
  <c r="BI180" i="2"/>
  <c r="BI82" i="2"/>
  <c r="BI152" i="2"/>
  <c r="BI63" i="2"/>
  <c r="BI114" i="2"/>
  <c r="BI91" i="2"/>
  <c r="BI59" i="2"/>
  <c r="BI137" i="2"/>
  <c r="BI49" i="2"/>
  <c r="BI92" i="2"/>
  <c r="BI54" i="2"/>
  <c r="BI111" i="2"/>
  <c r="BI16" i="2"/>
  <c r="BI156" i="2"/>
  <c r="BI12" i="2"/>
  <c r="BI52" i="2"/>
  <c r="BI33" i="2"/>
  <c r="BI189" i="2"/>
  <c r="BI108" i="2"/>
  <c r="BI69" i="2"/>
  <c r="BI99" i="2"/>
  <c r="BI120" i="2"/>
  <c r="BI27" i="2"/>
  <c r="BI5" i="2"/>
  <c r="BI61" i="2"/>
  <c r="BI113" i="2"/>
  <c r="BI39" i="2"/>
  <c r="BI185" i="2"/>
  <c r="BI172" i="2"/>
  <c r="BI26" i="2"/>
  <c r="BI32" i="2"/>
  <c r="BI35" i="2"/>
  <c r="BI72" i="2"/>
  <c r="BI90" i="2"/>
  <c r="BI15" i="2"/>
  <c r="BI139" i="2"/>
  <c r="BI23" i="2"/>
  <c r="BI60" i="2"/>
  <c r="BI71" i="2"/>
  <c r="BI45" i="2"/>
  <c r="BI171" i="2"/>
  <c r="BI131" i="2"/>
  <c r="BI203" i="2"/>
  <c r="BI93" i="2"/>
  <c r="BI177" i="2"/>
  <c r="BI153" i="2"/>
  <c r="BI31" i="2"/>
  <c r="BI130" i="2"/>
  <c r="BI197" i="2"/>
  <c r="BI146" i="2"/>
  <c r="BI164" i="2"/>
  <c r="BI167" i="2"/>
  <c r="BI94" i="2"/>
  <c r="BI138" i="2"/>
  <c r="BI174" i="2"/>
  <c r="BI70" i="2"/>
  <c r="BI195" i="2"/>
  <c r="BI28" i="2"/>
  <c r="BI141" i="2"/>
  <c r="BI81" i="2"/>
  <c r="BI98" i="2"/>
  <c r="BI198" i="2"/>
  <c r="BI125" i="2"/>
  <c r="BI110" i="2"/>
  <c r="BI88" i="2"/>
  <c r="BI97" i="2"/>
  <c r="BI29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<sst xmlns="http://schemas.openxmlformats.org/spreadsheetml/2006/main" count="1160" uniqueCount="324">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</sst>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1" xfId="0" quotePrefix="1" applyFill="1" applyBorder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1.8723031649007107</c:v>
                </c:pt>
                <c:pt idx="2">
                  <c:v>2.4119576082137919</c:v>
                </c:pt>
                <c:pt idx="3">
                  <c:v>3.1077875147547922</c:v>
                </c:pt>
                <c:pt idx="4">
                  <c:v>4.0051622306374703</c:v>
                </c:pt>
                <c:pt idx="5">
                  <c:v>5.1626778961505897</c:v>
                </c:pt>
                <c:pt idx="6">
                  <c:v>6.6560262423418139</c:v>
                </c:pt>
                <c:pt idx="7">
                  <c:v>8.5829984321267663</c:v>
                </c:pt>
                <c:pt idx="8">
                  <c:v>11.069957874647789</c:v>
                </c:pt>
                <c:pt idx="9">
                  <c:v>14.280214431149867</c:v>
                </c:pt>
                <c:pt idx="10">
                  <c:v>18.424860035282308</c:v>
                </c:pt>
                <c:pt idx="11">
                  <c:v>23.776791095098442</c:v>
                </c:pt>
                <c:pt idx="12">
                  <c:v>30.688857312292658</c:v>
                </c:pt>
                <c:pt idx="13">
                  <c:v>39.617354250979595</c:v>
                </c:pt>
                <c:pt idx="14">
                  <c:v>51.152436925971216</c:v>
                </c:pt>
                <c:pt idx="15">
                  <c:v>66.057498260618672</c:v>
                </c:pt>
                <c:pt idx="16">
                  <c:v>85.320161140728672</c:v>
                </c:pt>
                <c:pt idx="17">
                  <c:v>110.21831702865047</c:v>
                </c:pt>
                <c:pt idx="18">
                  <c:v>142.40566097813468</c:v>
                </c:pt>
                <c:pt idx="19">
                  <c:v>184.02249153410344</c:v>
                </c:pt>
                <c:pt idx="20">
                  <c:v>203.3007266873141</c:v>
                </c:pt>
                <c:pt idx="21">
                  <c:v>222.53665149290285</c:v>
                </c:pt>
                <c:pt idx="22">
                  <c:v>168.7566706161912</c:v>
                </c:pt>
                <c:pt idx="23">
                  <c:v>188.97408626306844</c:v>
                </c:pt>
                <c:pt idx="24">
                  <c:v>209.14106954499582</c:v>
                </c:pt>
                <c:pt idx="25">
                  <c:v>229.2631686584871</c:v>
                </c:pt>
                <c:pt idx="26">
                  <c:v>249.34487716008644</c:v>
                </c:pt>
                <c:pt idx="27">
                  <c:v>269.38990512338609</c:v>
                </c:pt>
                <c:pt idx="28">
                  <c:v>289.40136514946488</c:v>
                </c:pt>
                <c:pt idx="29">
                  <c:v>242.80327727023806</c:v>
                </c:pt>
                <c:pt idx="30">
                  <c:v>264.55540625187342</c:v>
                </c:pt>
                <c:pt idx="31">
                  <c:v>286.26720910143649</c:v>
                </c:pt>
                <c:pt idx="32">
                  <c:v>307.94217323717999</c:v>
                </c:pt>
                <c:pt idx="33">
                  <c:v>329.58325501039627</c:v>
                </c:pt>
                <c:pt idx="34">
                  <c:v>351.19299087374634</c:v>
                </c:pt>
                <c:pt idx="35">
                  <c:v>372.77357972834852</c:v>
                </c:pt>
                <c:pt idx="36">
                  <c:v>310.37056459620067</c:v>
                </c:pt>
                <c:pt idx="37">
                  <c:v>332.16291001549854</c:v>
                </c:pt>
                <c:pt idx="38">
                  <c:v>353.92374107920119</c:v>
                </c:pt>
                <c:pt idx="39">
                  <c:v>375.65526675033772</c:v>
                </c:pt>
                <c:pt idx="40">
                  <c:v>397.35941965516298</c:v>
                </c:pt>
                <c:pt idx="41">
                  <c:v>419.03790416885482</c:v>
                </c:pt>
                <c:pt idx="42">
                  <c:v>440.69223402870375</c:v>
                </c:pt>
                <c:pt idx="43">
                  <c:v>365.57312204300916</c:v>
                </c:pt>
                <c:pt idx="44">
                  <c:v>386.44458202636088</c:v>
                </c:pt>
                <c:pt idx="45">
                  <c:v>407.29156713376295</c:v>
                </c:pt>
                <c:pt idx="46">
                  <c:v>428.11550550227406</c:v>
                </c:pt>
                <c:pt idx="47">
                  <c:v>448.91767507952318</c:v>
                </c:pt>
                <c:pt idx="48">
                  <c:v>469.69922578809798</c:v>
                </c:pt>
                <c:pt idx="49">
                  <c:v>490.46119756343563</c:v>
                </c:pt>
                <c:pt idx="50">
                  <c:v>402.3588366856095</c:v>
                </c:pt>
                <c:pt idx="51">
                  <c:v>421.65245364552828</c:v>
                </c:pt>
                <c:pt idx="52">
                  <c:v>440.92706835035841</c:v>
                </c:pt>
                <c:pt idx="53">
                  <c:v>460.18362785912103</c:v>
                </c:pt>
                <c:pt idx="54">
                  <c:v>479.42299355003178</c:v>
                </c:pt>
                <c:pt idx="55">
                  <c:v>498.64595206966368</c:v>
                </c:pt>
                <c:pt idx="56">
                  <c:v>517.85322450630554</c:v>
                </c:pt>
                <c:pt idx="57">
                  <c:v>445.53319473983174</c:v>
                </c:pt>
                <c:pt idx="58">
                  <c:v>463.13961636412461</c:v>
                </c:pt>
                <c:pt idx="59">
                  <c:v>480.73176524290039</c:v>
                </c:pt>
                <c:pt idx="60">
                  <c:v>498.31023693169209</c:v>
                </c:pt>
                <c:pt idx="61">
                  <c:v>515.87558156393777</c:v>
                </c:pt>
                <c:pt idx="62">
                  <c:v>533.42830877562324</c:v>
                </c:pt>
                <c:pt idx="63">
                  <c:v>550.96889194826019</c:v>
                </c:pt>
                <c:pt idx="64">
                  <c:v>472.44484575319535</c:v>
                </c:pt>
                <c:pt idx="65">
                  <c:v>488.29251559091125</c:v>
                </c:pt>
                <c:pt idx="66">
                  <c:v>504.12927484272382</c:v>
                </c:pt>
                <c:pt idx="67">
                  <c:v>519.95551437581287</c:v>
                </c:pt>
                <c:pt idx="68">
                  <c:v>535.7715993334549</c:v>
                </c:pt>
                <c:pt idx="69">
                  <c:v>551.57787155305971</c:v>
                </c:pt>
                <c:pt idx="70">
                  <c:v>566.74332225455612</c:v>
                </c:pt>
                <c:pt idx="71">
                  <c:v>3.4554122145673649E-12</c:v>
                </c:pt>
                <c:pt idx="72">
                  <c:v>3.4554122145673649E-12</c:v>
                </c:pt>
                <c:pt idx="73">
                  <c:v>3.4554122145673649E-12</c:v>
                </c:pt>
                <c:pt idx="74">
                  <c:v>3.4554122145673649E-12</c:v>
                </c:pt>
                <c:pt idx="75">
                  <c:v>3.4554122145673649E-12</c:v>
                </c:pt>
                <c:pt idx="76">
                  <c:v>3.4554122145673649E-12</c:v>
                </c:pt>
                <c:pt idx="77">
                  <c:v>3.4554122145673649E-12</c:v>
                </c:pt>
                <c:pt idx="78">
                  <c:v>3.4554122145673649E-12</c:v>
                </c:pt>
                <c:pt idx="79">
                  <c:v>3.4554122145673649E-12</c:v>
                </c:pt>
                <c:pt idx="80">
                  <c:v>3.4554122145673649E-12</c:v>
                </c:pt>
                <c:pt idx="81">
                  <c:v>3.4554122145673649E-12</c:v>
                </c:pt>
                <c:pt idx="82">
                  <c:v>3.4554122145673649E-12</c:v>
                </c:pt>
                <c:pt idx="83">
                  <c:v>3.4554122145673649E-12</c:v>
                </c:pt>
                <c:pt idx="84">
                  <c:v>3.4554122145673649E-12</c:v>
                </c:pt>
                <c:pt idx="85">
                  <c:v>3.4554122145673649E-12</c:v>
                </c:pt>
                <c:pt idx="86">
                  <c:v>3.4554122145673649E-12</c:v>
                </c:pt>
                <c:pt idx="87">
                  <c:v>3.4554122145673649E-12</c:v>
                </c:pt>
                <c:pt idx="88">
                  <c:v>3.4554122145673649E-12</c:v>
                </c:pt>
                <c:pt idx="89">
                  <c:v>3.4554122145673649E-12</c:v>
                </c:pt>
                <c:pt idx="90">
                  <c:v>3.4554122145673649E-12</c:v>
                </c:pt>
                <c:pt idx="91">
                  <c:v>3.4554122145673649E-12</c:v>
                </c:pt>
                <c:pt idx="92">
                  <c:v>3.4554122145673649E-12</c:v>
                </c:pt>
                <c:pt idx="93">
                  <c:v>3.4554122145673649E-12</c:v>
                </c:pt>
                <c:pt idx="94">
                  <c:v>3.4554122145673649E-12</c:v>
                </c:pt>
                <c:pt idx="95">
                  <c:v>3.4554122145673649E-12</c:v>
                </c:pt>
                <c:pt idx="96">
                  <c:v>3.4554122145673649E-12</c:v>
                </c:pt>
                <c:pt idx="97">
                  <c:v>3.4554122145673649E-12</c:v>
                </c:pt>
                <c:pt idx="98">
                  <c:v>3.4554122145673649E-12</c:v>
                </c:pt>
                <c:pt idx="99">
                  <c:v>3.4554122145673649E-12</c:v>
                </c:pt>
                <c:pt idx="100">
                  <c:v>3.4554122145673649E-12</c:v>
                </c:pt>
                <c:pt idx="101">
                  <c:v>3.4554122145673649E-12</c:v>
                </c:pt>
                <c:pt idx="102">
                  <c:v>3.4554122145673649E-12</c:v>
                </c:pt>
                <c:pt idx="103">
                  <c:v>3.4554122145673649E-12</c:v>
                </c:pt>
                <c:pt idx="104">
                  <c:v>3.4554122145673649E-12</c:v>
                </c:pt>
                <c:pt idx="105">
                  <c:v>3.4554122145673649E-12</c:v>
                </c:pt>
                <c:pt idx="106">
                  <c:v>3.4554122145673649E-12</c:v>
                </c:pt>
                <c:pt idx="107">
                  <c:v>3.4554122145673649E-12</c:v>
                </c:pt>
                <c:pt idx="108">
                  <c:v>3.4554122145673649E-12</c:v>
                </c:pt>
                <c:pt idx="109">
                  <c:v>3.4554122145673649E-12</c:v>
                </c:pt>
                <c:pt idx="110">
                  <c:v>3.4554122145673649E-12</c:v>
                </c:pt>
                <c:pt idx="111">
                  <c:v>3.4554122145673649E-12</c:v>
                </c:pt>
                <c:pt idx="112">
                  <c:v>3.4554122145673649E-12</c:v>
                </c:pt>
                <c:pt idx="113">
                  <c:v>3.4554122145673649E-12</c:v>
                </c:pt>
                <c:pt idx="114">
                  <c:v>3.4554122145673649E-12</c:v>
                </c:pt>
                <c:pt idx="115">
                  <c:v>3.4554122145673649E-12</c:v>
                </c:pt>
                <c:pt idx="116">
                  <c:v>3.4554122145673649E-12</c:v>
                </c:pt>
                <c:pt idx="117">
                  <c:v>3.4554122145673649E-12</c:v>
                </c:pt>
                <c:pt idx="118">
                  <c:v>3.4554122145673649E-12</c:v>
                </c:pt>
                <c:pt idx="119">
                  <c:v>3.4554122145673649E-12</c:v>
                </c:pt>
                <c:pt idx="120">
                  <c:v>3.4554122145673649E-12</c:v>
                </c:pt>
                <c:pt idx="121">
                  <c:v>3.4554122145673649E-12</c:v>
                </c:pt>
                <c:pt idx="122">
                  <c:v>3.4554122145673649E-12</c:v>
                </c:pt>
                <c:pt idx="123">
                  <c:v>3.4554122145673649E-12</c:v>
                </c:pt>
                <c:pt idx="124">
                  <c:v>3.4554122145673649E-12</c:v>
                </c:pt>
                <c:pt idx="125">
                  <c:v>3.4554122145673649E-12</c:v>
                </c:pt>
                <c:pt idx="126">
                  <c:v>3.4554122145673649E-12</c:v>
                </c:pt>
                <c:pt idx="127">
                  <c:v>3.4554122145673649E-12</c:v>
                </c:pt>
                <c:pt idx="128">
                  <c:v>3.4554122145673649E-12</c:v>
                </c:pt>
                <c:pt idx="129">
                  <c:v>3.4554122145673649E-12</c:v>
                </c:pt>
                <c:pt idx="130">
                  <c:v>3.4554122145673649E-12</c:v>
                </c:pt>
                <c:pt idx="131">
                  <c:v>3.4554122145673649E-12</c:v>
                </c:pt>
                <c:pt idx="132">
                  <c:v>3.4554122145673649E-12</c:v>
                </c:pt>
                <c:pt idx="133">
                  <c:v>3.4554122145673649E-12</c:v>
                </c:pt>
                <c:pt idx="134">
                  <c:v>3.4554122145673649E-12</c:v>
                </c:pt>
                <c:pt idx="135">
                  <c:v>3.4554122145673649E-12</c:v>
                </c:pt>
                <c:pt idx="136">
                  <c:v>3.4554122145673649E-12</c:v>
                </c:pt>
                <c:pt idx="137">
                  <c:v>3.4554122145673649E-12</c:v>
                </c:pt>
                <c:pt idx="138">
                  <c:v>3.4554122145673649E-12</c:v>
                </c:pt>
                <c:pt idx="139">
                  <c:v>3.4554122145673649E-12</c:v>
                </c:pt>
                <c:pt idx="140">
                  <c:v>3.4554122145673649E-12</c:v>
                </c:pt>
                <c:pt idx="141">
                  <c:v>3.4554122145673649E-12</c:v>
                </c:pt>
                <c:pt idx="142">
                  <c:v>3.4554122145673649E-12</c:v>
                </c:pt>
                <c:pt idx="143">
                  <c:v>3.4554122145673649E-12</c:v>
                </c:pt>
                <c:pt idx="144">
                  <c:v>3.4554122145673649E-12</c:v>
                </c:pt>
                <c:pt idx="145">
                  <c:v>3.4554122145673649E-12</c:v>
                </c:pt>
                <c:pt idx="146">
                  <c:v>3.4554122145673649E-12</c:v>
                </c:pt>
                <c:pt idx="147">
                  <c:v>3.4554122145673649E-12</c:v>
                </c:pt>
                <c:pt idx="148">
                  <c:v>3.4554122145673649E-12</c:v>
                </c:pt>
                <c:pt idx="149">
                  <c:v>3.4554122145673649E-12</c:v>
                </c:pt>
                <c:pt idx="150">
                  <c:v>3.4554122145673649E-12</c:v>
                </c:pt>
                <c:pt idx="151">
                  <c:v>3.4554122145673649E-12</c:v>
                </c:pt>
                <c:pt idx="152">
                  <c:v>3.4554122145673649E-12</c:v>
                </c:pt>
                <c:pt idx="153">
                  <c:v>3.4554122145673649E-12</c:v>
                </c:pt>
                <c:pt idx="154">
                  <c:v>3.4554122145673649E-12</c:v>
                </c:pt>
                <c:pt idx="155">
                  <c:v>3.4554122145673649E-12</c:v>
                </c:pt>
                <c:pt idx="156">
                  <c:v>3.4554122145673649E-12</c:v>
                </c:pt>
                <c:pt idx="157">
                  <c:v>3.4554122145673649E-12</c:v>
                </c:pt>
                <c:pt idx="158">
                  <c:v>3.4554122145673649E-12</c:v>
                </c:pt>
                <c:pt idx="159">
                  <c:v>3.4554122145673649E-12</c:v>
                </c:pt>
                <c:pt idx="160">
                  <c:v>3.4554122145673649E-12</c:v>
                </c:pt>
                <c:pt idx="161">
                  <c:v>3.4554122145673649E-12</c:v>
                </c:pt>
                <c:pt idx="162">
                  <c:v>3.4554122145673649E-12</c:v>
                </c:pt>
                <c:pt idx="163">
                  <c:v>3.4554122145673649E-12</c:v>
                </c:pt>
                <c:pt idx="164">
                  <c:v>3.4554122145673649E-12</c:v>
                </c:pt>
                <c:pt idx="165">
                  <c:v>3.4554122145673649E-12</c:v>
                </c:pt>
                <c:pt idx="166">
                  <c:v>3.4554122145673649E-12</c:v>
                </c:pt>
                <c:pt idx="167">
                  <c:v>3.4554122145673649E-12</c:v>
                </c:pt>
                <c:pt idx="168">
                  <c:v>3.4554122145673649E-12</c:v>
                </c:pt>
                <c:pt idx="169">
                  <c:v>3.4554122145673649E-12</c:v>
                </c:pt>
                <c:pt idx="170">
                  <c:v>3.4554122145673649E-12</c:v>
                </c:pt>
                <c:pt idx="171">
                  <c:v>3.4554122145673649E-12</c:v>
                </c:pt>
                <c:pt idx="172">
                  <c:v>3.4554122145673649E-12</c:v>
                </c:pt>
                <c:pt idx="173">
                  <c:v>3.4554122145673649E-12</c:v>
                </c:pt>
                <c:pt idx="174">
                  <c:v>3.4554122145673649E-12</c:v>
                </c:pt>
                <c:pt idx="175">
                  <c:v>3.4554122145673649E-12</c:v>
                </c:pt>
                <c:pt idx="176">
                  <c:v>3.4554122145673649E-12</c:v>
                </c:pt>
                <c:pt idx="177">
                  <c:v>3.4554122145673649E-12</c:v>
                </c:pt>
                <c:pt idx="178">
                  <c:v>3.4554122145673649E-12</c:v>
                </c:pt>
                <c:pt idx="179">
                  <c:v>3.4554122145673649E-12</c:v>
                </c:pt>
                <c:pt idx="180">
                  <c:v>3.4554122145673649E-12</c:v>
                </c:pt>
                <c:pt idx="181">
                  <c:v>3.4554122145673649E-12</c:v>
                </c:pt>
                <c:pt idx="182">
                  <c:v>3.4554122145673649E-12</c:v>
                </c:pt>
                <c:pt idx="183">
                  <c:v>3.4554122145673649E-12</c:v>
                </c:pt>
                <c:pt idx="184">
                  <c:v>3.4554122145673649E-12</c:v>
                </c:pt>
                <c:pt idx="185">
                  <c:v>3.4554122145673649E-12</c:v>
                </c:pt>
                <c:pt idx="186">
                  <c:v>3.4554122145673649E-12</c:v>
                </c:pt>
                <c:pt idx="187">
                  <c:v>3.4554122145673649E-12</c:v>
                </c:pt>
                <c:pt idx="188">
                  <c:v>3.4554122145673649E-12</c:v>
                </c:pt>
                <c:pt idx="189">
                  <c:v>3.4554122145673649E-12</c:v>
                </c:pt>
                <c:pt idx="190">
                  <c:v>3.4554122145673649E-12</c:v>
                </c:pt>
                <c:pt idx="191">
                  <c:v>3.4554122145673649E-12</c:v>
                </c:pt>
                <c:pt idx="192">
                  <c:v>3.4554122145673649E-12</c:v>
                </c:pt>
                <c:pt idx="193">
                  <c:v>3.4554122145673649E-12</c:v>
                </c:pt>
                <c:pt idx="194">
                  <c:v>3.4554122145673649E-12</c:v>
                </c:pt>
                <c:pt idx="195">
                  <c:v>3.4554122145673649E-12</c:v>
                </c:pt>
                <c:pt idx="196">
                  <c:v>3.4554122145673649E-12</c:v>
                </c:pt>
                <c:pt idx="197">
                  <c:v>3.4554122145673649E-12</c:v>
                </c:pt>
                <c:pt idx="198">
                  <c:v>3.4554122145673649E-12</c:v>
                </c:pt>
                <c:pt idx="199">
                  <c:v>3.4554122145673649E-12</c:v>
                </c:pt>
                <c:pt idx="200">
                  <c:v>3.4554122145673649E-12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8222848"/>
        <c:axId val="1598217952"/>
      </c:scatterChart>
      <c:valAx>
        <c:axId val="15982228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98217952"/>
        <c:crosses val="autoZero"/>
        <c:crossBetween val="midCat"/>
      </c:valAx>
      <c:valAx>
        <c:axId val="159821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98222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7881184"/>
        <c:axId val="1374692624"/>
      </c:scatterChart>
      <c:valAx>
        <c:axId val="15478811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4692624"/>
        <c:crosses val="autoZero"/>
        <c:crossBetween val="midCat"/>
      </c:valAx>
      <c:valAx>
        <c:axId val="1374692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47881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2.7937677090506927</c:v>
                </c:pt>
                <c:pt idx="2">
                  <c:v>3.494630676602434</c:v>
                </c:pt>
                <c:pt idx="3">
                  <c:v>4.3719965840625639</c:v>
                </c:pt>
                <c:pt idx="4">
                  <c:v>5.4704766677833838</c:v>
                </c:pt>
                <c:pt idx="5">
                  <c:v>6.8459958247924684</c:v>
                </c:pt>
                <c:pt idx="6">
                  <c:v>8.5686708048285141</c:v>
                </c:pt>
                <c:pt idx="7">
                  <c:v>10.726422722638716</c:v>
                </c:pt>
                <c:pt idx="8">
                  <c:v>13.429511733043208</c:v>
                </c:pt>
                <c:pt idx="9">
                  <c:v>16.81622987742189</c:v>
                </c:pt>
                <c:pt idx="10">
                  <c:v>21.060048653888444</c:v>
                </c:pt>
                <c:pt idx="11">
                  <c:v>26.378593971397137</c:v>
                </c:pt>
                <c:pt idx="12">
                  <c:v>33.044916829290678</c:v>
                </c:pt>
                <c:pt idx="13">
                  <c:v>41.401648361600742</c:v>
                </c:pt>
                <c:pt idx="14">
                  <c:v>51.87877914465313</c:v>
                </c:pt>
                <c:pt idx="15">
                  <c:v>65.015992870184718</c:v>
                </c:pt>
                <c:pt idx="16">
                  <c:v>81.490723678847203</c:v>
                </c:pt>
                <c:pt idx="17">
                  <c:v>102.15340727004774</c:v>
                </c:pt>
                <c:pt idx="18">
                  <c:v>128.07177425900235</c:v>
                </c:pt>
                <c:pt idx="19">
                  <c:v>160.58651015726517</c:v>
                </c:pt>
                <c:pt idx="20">
                  <c:v>201.38120500067484</c:v>
                </c:pt>
                <c:pt idx="21">
                  <c:v>160.8744598001081</c:v>
                </c:pt>
                <c:pt idx="22">
                  <c:v>180.96513721023075</c:v>
                </c:pt>
                <c:pt idx="23">
                  <c:v>201.00358266422018</c:v>
                </c:pt>
                <c:pt idx="24">
                  <c:v>220.99573745004466</c:v>
                </c:pt>
                <c:pt idx="25">
                  <c:v>240.94637860003544</c:v>
                </c:pt>
                <c:pt idx="26">
                  <c:v>259.73321764902869</c:v>
                </c:pt>
                <c:pt idx="27">
                  <c:v>278.48936400091264</c:v>
                </c:pt>
                <c:pt idx="28">
                  <c:v>297.21717518827546</c:v>
                </c:pt>
                <c:pt idx="29">
                  <c:v>315.91868734548365</c:v>
                </c:pt>
                <c:pt idx="30">
                  <c:v>334.59567585759874</c:v>
                </c:pt>
                <c:pt idx="31">
                  <c:v>235.6801991417741</c:v>
                </c:pt>
                <c:pt idx="32">
                  <c:v>252.97362594481319</c:v>
                </c:pt>
                <c:pt idx="33">
                  <c:v>270.24028170556272</c:v>
                </c:pt>
                <c:pt idx="34">
                  <c:v>287.48211750444796</c:v>
                </c:pt>
                <c:pt idx="35">
                  <c:v>304.70083122716056</c:v>
                </c:pt>
                <c:pt idx="36">
                  <c:v>320.02967142824986</c:v>
                </c:pt>
                <c:pt idx="37">
                  <c:v>335.34226803283224</c:v>
                </c:pt>
                <c:pt idx="38">
                  <c:v>350.63946715468182</c:v>
                </c:pt>
                <c:pt idx="39">
                  <c:v>365.9220350559176</c:v>
                </c:pt>
                <c:pt idx="40">
                  <c:v>381.19066877305664</c:v>
                </c:pt>
                <c:pt idx="41">
                  <c:v>287.107546598586</c:v>
                </c:pt>
                <c:pt idx="42">
                  <c:v>301.33369868276117</c:v>
                </c:pt>
                <c:pt idx="43">
                  <c:v>315.5449029690518</c:v>
                </c:pt>
                <c:pt idx="44">
                  <c:v>329.74192753151533</c:v>
                </c:pt>
                <c:pt idx="45">
                  <c:v>343.92546889640693</c:v>
                </c:pt>
                <c:pt idx="46">
                  <c:v>356.23230957994434</c:v>
                </c:pt>
                <c:pt idx="47">
                  <c:v>368.52984306951635</c:v>
                </c:pt>
                <c:pt idx="48">
                  <c:v>380.81842375711966</c:v>
                </c:pt>
                <c:pt idx="49">
                  <c:v>393.09838129270582</c:v>
                </c:pt>
                <c:pt idx="50">
                  <c:v>405.37002304691208</c:v>
                </c:pt>
                <c:pt idx="51">
                  <c:v>323.76591506204585</c:v>
                </c:pt>
                <c:pt idx="52">
                  <c:v>335.34226803283201</c:v>
                </c:pt>
                <c:pt idx="53">
                  <c:v>346.90982014061501</c:v>
                </c:pt>
                <c:pt idx="54">
                  <c:v>358.46890629665069</c:v>
                </c:pt>
                <c:pt idx="55">
                  <c:v>370.01983804377818</c:v>
                </c:pt>
                <c:pt idx="56">
                  <c:v>379.70164117358536</c:v>
                </c:pt>
                <c:pt idx="57">
                  <c:v>389.37807388667028</c:v>
                </c:pt>
                <c:pt idx="58">
                  <c:v>399.04928851891071</c:v>
                </c:pt>
                <c:pt idx="59">
                  <c:v>408.71542941668787</c:v>
                </c:pt>
                <c:pt idx="60">
                  <c:v>418.37663353903184</c:v>
                </c:pt>
                <c:pt idx="61">
                  <c:v>352.50396372745234</c:v>
                </c:pt>
                <c:pt idx="62">
                  <c:v>361.07788328211944</c:v>
                </c:pt>
                <c:pt idx="63">
                  <c:v>369.64735159591118</c:v>
                </c:pt>
                <c:pt idx="64">
                  <c:v>378.21248648031298</c:v>
                </c:pt>
                <c:pt idx="65">
                  <c:v>386.77339997206644</c:v>
                </c:pt>
                <c:pt idx="66">
                  <c:v>394.21432426135385</c:v>
                </c:pt>
                <c:pt idx="67">
                  <c:v>401.6522043571631</c:v>
                </c:pt>
                <c:pt idx="68">
                  <c:v>409.08710462349262</c:v>
                </c:pt>
                <c:pt idx="69">
                  <c:v>416.51908689232079</c:v>
                </c:pt>
                <c:pt idx="70">
                  <c:v>423.94821060760819</c:v>
                </c:pt>
                <c:pt idx="71">
                  <c:v>371.13724833655573</c:v>
                </c:pt>
                <c:pt idx="72">
                  <c:v>377.84017788163356</c:v>
                </c:pt>
                <c:pt idx="73">
                  <c:v>384.54051911648162</c:v>
                </c:pt>
                <c:pt idx="74">
                  <c:v>391.23832354179768</c:v>
                </c:pt>
                <c:pt idx="75">
                  <c:v>397.9336407495843</c:v>
                </c:pt>
                <c:pt idx="76">
                  <c:v>403.51120632532252</c:v>
                </c:pt>
                <c:pt idx="77">
                  <c:v>409.08710462349262</c:v>
                </c:pt>
                <c:pt idx="78">
                  <c:v>414.6613615970162</c:v>
                </c:pt>
                <c:pt idx="79">
                  <c:v>420.23400244347607</c:v>
                </c:pt>
                <c:pt idx="80">
                  <c:v>425.80505163704839</c:v>
                </c:pt>
                <c:pt idx="81">
                  <c:v>386.02913755516988</c:v>
                </c:pt>
                <c:pt idx="82">
                  <c:v>390.86628899650458</c:v>
                </c:pt>
                <c:pt idx="83">
                  <c:v>395.7021417186657</c:v>
                </c:pt>
                <c:pt idx="84">
                  <c:v>400.53671385046977</c:v>
                </c:pt>
                <c:pt idx="85">
                  <c:v>405.37002304691168</c:v>
                </c:pt>
                <c:pt idx="86">
                  <c:v>409.8304331611767</c:v>
                </c:pt>
                <c:pt idx="87">
                  <c:v>414.28979501974908</c:v>
                </c:pt>
                <c:pt idx="88">
                  <c:v>418.7481215104529</c:v>
                </c:pt>
                <c:pt idx="89">
                  <c:v>423.20542522399933</c:v>
                </c:pt>
                <c:pt idx="90">
                  <c:v>427.66171846396406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8219584"/>
        <c:axId val="1598208704"/>
      </c:scatterChart>
      <c:valAx>
        <c:axId val="15982195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98208704"/>
        <c:crosses val="autoZero"/>
        <c:crossBetween val="midCat"/>
      </c:valAx>
      <c:valAx>
        <c:axId val="159820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98219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2.5758310508760247</c:v>
                </c:pt>
                <c:pt idx="2">
                  <c:v>3.2506177981838085</c:v>
                </c:pt>
                <c:pt idx="3">
                  <c:v>4.1028694549974993</c:v>
                </c:pt>
                <c:pt idx="4">
                  <c:v>5.1794297849161515</c:v>
                </c:pt>
                <c:pt idx="5">
                  <c:v>6.5395498248636885</c:v>
                </c:pt>
                <c:pt idx="6">
                  <c:v>8.2581845593100685</c:v>
                </c:pt>
                <c:pt idx="7">
                  <c:v>10.430168092530124</c:v>
                </c:pt>
                <c:pt idx="8">
                  <c:v>13.175502045684366</c:v>
                </c:pt>
                <c:pt idx="9">
                  <c:v>16.646054774598436</c:v>
                </c:pt>
                <c:pt idx="10">
                  <c:v>21.03404874902699</c:v>
                </c:pt>
                <c:pt idx="11">
                  <c:v>26.582814593823006</c:v>
                </c:pt>
                <c:pt idx="12">
                  <c:v>33.600418628656548</c:v>
                </c:pt>
                <c:pt idx="13">
                  <c:v>42.47693357058472</c:v>
                </c:pt>
                <c:pt idx="14">
                  <c:v>53.706328669924602</c:v>
                </c:pt>
                <c:pt idx="15">
                  <c:v>67.91421772633808</c:v>
                </c:pt>
                <c:pt idx="16">
                  <c:v>88.220699423350183</c:v>
                </c:pt>
                <c:pt idx="17">
                  <c:v>108.40917771920219</c:v>
                </c:pt>
                <c:pt idx="18">
                  <c:v>128.50485533746698</c:v>
                </c:pt>
                <c:pt idx="19">
                  <c:v>148.52433471994019</c:v>
                </c:pt>
                <c:pt idx="20">
                  <c:v>168.47935065397499</c:v>
                </c:pt>
                <c:pt idx="21">
                  <c:v>115.41913240124948</c:v>
                </c:pt>
                <c:pt idx="22">
                  <c:v>137.15268457380026</c:v>
                </c:pt>
                <c:pt idx="23">
                  <c:v>158.80325266334467</c:v>
                </c:pt>
                <c:pt idx="24">
                  <c:v>180.38376185573739</c:v>
                </c:pt>
                <c:pt idx="25">
                  <c:v>201.90378027857048</c:v>
                </c:pt>
                <c:pt idx="26">
                  <c:v>222.51293238584552</c:v>
                </c:pt>
                <c:pt idx="27">
                  <c:v>243.07829800614925</c:v>
                </c:pt>
                <c:pt idx="28">
                  <c:v>263.6041022697712</c:v>
                </c:pt>
                <c:pt idx="29">
                  <c:v>284.09385819771518</c:v>
                </c:pt>
                <c:pt idx="30">
                  <c:v>304.55053053479526</c:v>
                </c:pt>
                <c:pt idx="31">
                  <c:v>227.28097133258856</c:v>
                </c:pt>
                <c:pt idx="32">
                  <c:v>245.74880864653403</c:v>
                </c:pt>
                <c:pt idx="33">
                  <c:v>264.18512643427306</c:v>
                </c:pt>
                <c:pt idx="34">
                  <c:v>282.59243347925718</c:v>
                </c:pt>
                <c:pt idx="35">
                  <c:v>300.97288496089783</c:v>
                </c:pt>
                <c:pt idx="36">
                  <c:v>317.04799064259174</c:v>
                </c:pt>
                <c:pt idx="37">
                  <c:v>333.10504799226425</c:v>
                </c:pt>
                <c:pt idx="38">
                  <c:v>349.14504937992336</c:v>
                </c:pt>
                <c:pt idx="39">
                  <c:v>365.16888855697044</c:v>
                </c:pt>
                <c:pt idx="40">
                  <c:v>381.17737444442338</c:v>
                </c:pt>
                <c:pt idx="41">
                  <c:v>299.9505270524981</c:v>
                </c:pt>
                <c:pt idx="42">
                  <c:v>313.91615631143912</c:v>
                </c:pt>
                <c:pt idx="43">
                  <c:v>327.86801351508461</c:v>
                </c:pt>
                <c:pt idx="44">
                  <c:v>341.80676730382885</c:v>
                </c:pt>
                <c:pt idx="45">
                  <c:v>355.73302732578992</c:v>
                </c:pt>
                <c:pt idx="46">
                  <c:v>367.81539708823902</c:v>
                </c:pt>
                <c:pt idx="47">
                  <c:v>379.88910609362978</c:v>
                </c:pt>
                <c:pt idx="48">
                  <c:v>391.95446843800681</c:v>
                </c:pt>
                <c:pt idx="49">
                  <c:v>404.01177729891145</c:v>
                </c:pt>
                <c:pt idx="50">
                  <c:v>416.06130692450489</c:v>
                </c:pt>
                <c:pt idx="51">
                  <c:v>361.53773919326767</c:v>
                </c:pt>
                <c:pt idx="52">
                  <c:v>371.92005693853349</c:v>
                </c:pt>
                <c:pt idx="53">
                  <c:v>382.29605694916751</c:v>
                </c:pt>
                <c:pt idx="54">
                  <c:v>392.66593493295318</c:v>
                </c:pt>
                <c:pt idx="55">
                  <c:v>403.02987541370499</c:v>
                </c:pt>
                <c:pt idx="56">
                  <c:v>411.76361484520572</c:v>
                </c:pt>
                <c:pt idx="57">
                  <c:v>420.49335665189238</c:v>
                </c:pt>
                <c:pt idx="58">
                  <c:v>429.219195569997</c:v>
                </c:pt>
                <c:pt idx="59">
                  <c:v>437.94122216787235</c:v>
                </c:pt>
                <c:pt idx="60">
                  <c:v>446.65952311051416</c:v>
                </c:pt>
                <c:pt idx="61">
                  <c:v>411.39132838467918</c:v>
                </c:pt>
                <c:pt idx="62">
                  <c:v>418.73419083974755</c:v>
                </c:pt>
                <c:pt idx="63">
                  <c:v>426.07427910479754</c:v>
                </c:pt>
                <c:pt idx="64">
                  <c:v>433.4116477428741</c:v>
                </c:pt>
                <c:pt idx="65">
                  <c:v>440.7463493177375</c:v>
                </c:pt>
                <c:pt idx="66">
                  <c:v>447.09872026748832</c:v>
                </c:pt>
                <c:pt idx="67">
                  <c:v>453.44915929344944</c:v>
                </c:pt>
                <c:pt idx="68">
                  <c:v>459.79769728676183</c:v>
                </c:pt>
                <c:pt idx="69">
                  <c:v>466.14436421537175</c:v>
                </c:pt>
                <c:pt idx="70">
                  <c:v>472.48918916409275</c:v>
                </c:pt>
                <c:pt idx="71">
                  <c:v>442.94286825616172</c:v>
                </c:pt>
                <c:pt idx="72">
                  <c:v>448.68650991898113</c:v>
                </c:pt>
                <c:pt idx="73">
                  <c:v>454.42857829007625</c:v>
                </c:pt>
                <c:pt idx="74">
                  <c:v>460.16909606887612</c:v>
                </c:pt>
                <c:pt idx="75">
                  <c:v>465.90808534184816</c:v>
                </c:pt>
                <c:pt idx="76">
                  <c:v>470.93690066518553</c:v>
                </c:pt>
                <c:pt idx="77">
                  <c:v>475.96457242812079</c:v>
                </c:pt>
                <c:pt idx="78">
                  <c:v>480.99111442385987</c:v>
                </c:pt>
                <c:pt idx="79">
                  <c:v>486.01654013358376</c:v>
                </c:pt>
                <c:pt idx="80">
                  <c:v>491.0408627367317</c:v>
                </c:pt>
                <c:pt idx="81">
                  <c:v>6.7935256943361388E-12</c:v>
                </c:pt>
                <c:pt idx="82">
                  <c:v>6.7935256943361388E-12</c:v>
                </c:pt>
                <c:pt idx="83">
                  <c:v>6.7935256943361388E-12</c:v>
                </c:pt>
                <c:pt idx="84">
                  <c:v>6.7935256943361388E-12</c:v>
                </c:pt>
                <c:pt idx="85">
                  <c:v>6.7935256943361388E-12</c:v>
                </c:pt>
                <c:pt idx="86">
                  <c:v>6.7935256943361388E-12</c:v>
                </c:pt>
                <c:pt idx="87">
                  <c:v>6.7935256943361388E-12</c:v>
                </c:pt>
                <c:pt idx="88">
                  <c:v>6.7935256943361388E-12</c:v>
                </c:pt>
                <c:pt idx="89">
                  <c:v>6.7935256943361388E-12</c:v>
                </c:pt>
                <c:pt idx="90">
                  <c:v>6.7935256943361388E-12</c:v>
                </c:pt>
                <c:pt idx="91">
                  <c:v>6.7935256943361388E-12</c:v>
                </c:pt>
                <c:pt idx="92">
                  <c:v>6.7935256943361388E-12</c:v>
                </c:pt>
                <c:pt idx="93">
                  <c:v>6.7935256943361388E-12</c:v>
                </c:pt>
                <c:pt idx="94">
                  <c:v>6.7935256943361388E-12</c:v>
                </c:pt>
                <c:pt idx="95">
                  <c:v>6.7935256943361388E-12</c:v>
                </c:pt>
                <c:pt idx="96">
                  <c:v>6.7935256943361388E-12</c:v>
                </c:pt>
                <c:pt idx="97">
                  <c:v>6.7935256943361388E-12</c:v>
                </c:pt>
                <c:pt idx="98">
                  <c:v>6.7935256943361388E-12</c:v>
                </c:pt>
                <c:pt idx="99">
                  <c:v>6.7935256943361388E-12</c:v>
                </c:pt>
                <c:pt idx="100">
                  <c:v>6.7935256943361388E-12</c:v>
                </c:pt>
                <c:pt idx="101">
                  <c:v>6.7935256943361388E-12</c:v>
                </c:pt>
                <c:pt idx="102">
                  <c:v>6.7935256943361388E-12</c:v>
                </c:pt>
                <c:pt idx="103">
                  <c:v>6.7935256943361388E-12</c:v>
                </c:pt>
                <c:pt idx="104">
                  <c:v>6.7935256943361388E-12</c:v>
                </c:pt>
                <c:pt idx="105">
                  <c:v>6.7935256943361388E-12</c:v>
                </c:pt>
                <c:pt idx="106">
                  <c:v>6.7935256943361388E-12</c:v>
                </c:pt>
                <c:pt idx="107">
                  <c:v>6.7935256943361388E-12</c:v>
                </c:pt>
                <c:pt idx="108">
                  <c:v>6.7935256943361388E-12</c:v>
                </c:pt>
                <c:pt idx="109">
                  <c:v>6.7935256943361388E-12</c:v>
                </c:pt>
                <c:pt idx="110">
                  <c:v>6.7935256943361388E-12</c:v>
                </c:pt>
                <c:pt idx="111">
                  <c:v>6.7935256943361388E-12</c:v>
                </c:pt>
                <c:pt idx="112">
                  <c:v>6.7935256943361388E-12</c:v>
                </c:pt>
                <c:pt idx="113">
                  <c:v>6.7935256943361388E-12</c:v>
                </c:pt>
                <c:pt idx="114">
                  <c:v>6.7935256943361388E-12</c:v>
                </c:pt>
                <c:pt idx="115">
                  <c:v>6.7935256943361388E-12</c:v>
                </c:pt>
                <c:pt idx="116">
                  <c:v>6.7935256943361388E-12</c:v>
                </c:pt>
                <c:pt idx="117">
                  <c:v>6.7935256943361388E-12</c:v>
                </c:pt>
                <c:pt idx="118">
                  <c:v>6.7935256943361388E-12</c:v>
                </c:pt>
                <c:pt idx="119">
                  <c:v>6.7935256943361388E-12</c:v>
                </c:pt>
                <c:pt idx="120">
                  <c:v>6.7935256943361388E-12</c:v>
                </c:pt>
                <c:pt idx="121">
                  <c:v>6.7935256943361388E-12</c:v>
                </c:pt>
                <c:pt idx="122">
                  <c:v>6.7935256943361388E-12</c:v>
                </c:pt>
                <c:pt idx="123">
                  <c:v>6.7935256943361388E-12</c:v>
                </c:pt>
                <c:pt idx="124">
                  <c:v>6.7935256943361388E-12</c:v>
                </c:pt>
                <c:pt idx="125">
                  <c:v>6.7935256943361388E-12</c:v>
                </c:pt>
                <c:pt idx="126">
                  <c:v>6.7935256943361388E-12</c:v>
                </c:pt>
                <c:pt idx="127">
                  <c:v>6.7935256943361388E-12</c:v>
                </c:pt>
                <c:pt idx="128">
                  <c:v>6.7935256943361388E-12</c:v>
                </c:pt>
                <c:pt idx="129">
                  <c:v>6.7935256943361388E-12</c:v>
                </c:pt>
                <c:pt idx="130">
                  <c:v>6.7935256943361388E-12</c:v>
                </c:pt>
                <c:pt idx="131">
                  <c:v>6.7935256943361388E-12</c:v>
                </c:pt>
                <c:pt idx="132">
                  <c:v>6.7935256943361388E-12</c:v>
                </c:pt>
                <c:pt idx="133">
                  <c:v>6.7935256943361388E-12</c:v>
                </c:pt>
                <c:pt idx="134">
                  <c:v>6.7935256943361388E-12</c:v>
                </c:pt>
                <c:pt idx="135">
                  <c:v>6.7935256943361388E-12</c:v>
                </c:pt>
                <c:pt idx="136">
                  <c:v>6.7935256943361388E-12</c:v>
                </c:pt>
                <c:pt idx="137">
                  <c:v>6.7935256943361388E-12</c:v>
                </c:pt>
                <c:pt idx="138">
                  <c:v>6.7935256943361388E-12</c:v>
                </c:pt>
                <c:pt idx="139">
                  <c:v>6.7935256943361388E-12</c:v>
                </c:pt>
                <c:pt idx="140">
                  <c:v>6.7935256943361388E-12</c:v>
                </c:pt>
                <c:pt idx="141">
                  <c:v>6.7935256943361388E-12</c:v>
                </c:pt>
                <c:pt idx="142">
                  <c:v>6.7935256943361388E-12</c:v>
                </c:pt>
                <c:pt idx="143">
                  <c:v>6.7935256943361388E-12</c:v>
                </c:pt>
                <c:pt idx="144">
                  <c:v>6.7935256943361388E-12</c:v>
                </c:pt>
                <c:pt idx="145">
                  <c:v>6.7935256943361388E-12</c:v>
                </c:pt>
                <c:pt idx="146">
                  <c:v>6.7935256943361388E-12</c:v>
                </c:pt>
                <c:pt idx="147">
                  <c:v>6.7935256943361388E-12</c:v>
                </c:pt>
                <c:pt idx="148">
                  <c:v>6.7935256943361388E-12</c:v>
                </c:pt>
                <c:pt idx="149">
                  <c:v>6.7935256943361388E-12</c:v>
                </c:pt>
                <c:pt idx="150">
                  <c:v>6.7935256943361388E-12</c:v>
                </c:pt>
                <c:pt idx="151">
                  <c:v>6.7935256943361388E-12</c:v>
                </c:pt>
                <c:pt idx="152">
                  <c:v>6.7935256943361388E-12</c:v>
                </c:pt>
                <c:pt idx="153">
                  <c:v>6.7935256943361388E-12</c:v>
                </c:pt>
                <c:pt idx="154">
                  <c:v>6.7935256943361388E-12</c:v>
                </c:pt>
                <c:pt idx="155">
                  <c:v>6.7935256943361388E-12</c:v>
                </c:pt>
                <c:pt idx="156">
                  <c:v>6.7935256943361388E-12</c:v>
                </c:pt>
                <c:pt idx="157">
                  <c:v>6.7935256943361388E-12</c:v>
                </c:pt>
                <c:pt idx="158">
                  <c:v>6.7935256943361388E-12</c:v>
                </c:pt>
                <c:pt idx="159">
                  <c:v>6.7935256943361388E-12</c:v>
                </c:pt>
                <c:pt idx="160">
                  <c:v>6.7935256943361388E-12</c:v>
                </c:pt>
                <c:pt idx="161">
                  <c:v>6.7935256943361388E-12</c:v>
                </c:pt>
                <c:pt idx="162">
                  <c:v>6.7935256943361388E-12</c:v>
                </c:pt>
                <c:pt idx="163">
                  <c:v>6.7935256943361388E-12</c:v>
                </c:pt>
                <c:pt idx="164">
                  <c:v>6.7935256943361388E-12</c:v>
                </c:pt>
                <c:pt idx="165">
                  <c:v>6.7935256943361388E-12</c:v>
                </c:pt>
                <c:pt idx="166">
                  <c:v>6.7935256943361388E-12</c:v>
                </c:pt>
                <c:pt idx="167">
                  <c:v>6.7935256943361388E-12</c:v>
                </c:pt>
                <c:pt idx="168">
                  <c:v>6.7935256943361388E-12</c:v>
                </c:pt>
                <c:pt idx="169">
                  <c:v>6.7935256943361388E-12</c:v>
                </c:pt>
                <c:pt idx="170">
                  <c:v>6.7935256943361388E-12</c:v>
                </c:pt>
                <c:pt idx="171">
                  <c:v>6.7935256943361388E-12</c:v>
                </c:pt>
                <c:pt idx="172">
                  <c:v>6.7935256943361388E-12</c:v>
                </c:pt>
                <c:pt idx="173">
                  <c:v>6.7935256943361388E-12</c:v>
                </c:pt>
                <c:pt idx="174">
                  <c:v>6.7935256943361388E-12</c:v>
                </c:pt>
                <c:pt idx="175">
                  <c:v>6.7935256943361388E-12</c:v>
                </c:pt>
                <c:pt idx="176">
                  <c:v>6.7935256943361388E-12</c:v>
                </c:pt>
                <c:pt idx="177">
                  <c:v>6.7935256943361388E-12</c:v>
                </c:pt>
                <c:pt idx="178">
                  <c:v>6.7935256943361388E-12</c:v>
                </c:pt>
                <c:pt idx="179">
                  <c:v>6.7935256943361388E-12</c:v>
                </c:pt>
                <c:pt idx="180">
                  <c:v>6.7935256943361388E-12</c:v>
                </c:pt>
                <c:pt idx="181">
                  <c:v>6.7935256943361388E-12</c:v>
                </c:pt>
                <c:pt idx="182">
                  <c:v>6.7935256943361388E-12</c:v>
                </c:pt>
                <c:pt idx="183">
                  <c:v>6.7935256943361388E-12</c:v>
                </c:pt>
                <c:pt idx="184">
                  <c:v>6.7935256943361388E-12</c:v>
                </c:pt>
                <c:pt idx="185">
                  <c:v>6.7935256943361388E-12</c:v>
                </c:pt>
                <c:pt idx="186">
                  <c:v>6.7935256943361388E-12</c:v>
                </c:pt>
                <c:pt idx="187">
                  <c:v>6.7935256943361388E-12</c:v>
                </c:pt>
                <c:pt idx="188">
                  <c:v>6.7935256943361388E-12</c:v>
                </c:pt>
                <c:pt idx="189">
                  <c:v>6.7935256943361388E-12</c:v>
                </c:pt>
                <c:pt idx="190">
                  <c:v>6.7935256943361388E-12</c:v>
                </c:pt>
                <c:pt idx="191">
                  <c:v>6.7935256943361388E-12</c:v>
                </c:pt>
                <c:pt idx="192">
                  <c:v>6.7935256943361388E-12</c:v>
                </c:pt>
                <c:pt idx="193">
                  <c:v>6.7935256943361388E-12</c:v>
                </c:pt>
                <c:pt idx="194">
                  <c:v>6.7935256943361388E-12</c:v>
                </c:pt>
                <c:pt idx="195">
                  <c:v>6.7935256943361388E-12</c:v>
                </c:pt>
                <c:pt idx="196">
                  <c:v>6.7935256943361388E-12</c:v>
                </c:pt>
                <c:pt idx="197">
                  <c:v>6.7935256943361388E-12</c:v>
                </c:pt>
                <c:pt idx="198">
                  <c:v>6.7935256943361388E-12</c:v>
                </c:pt>
                <c:pt idx="199">
                  <c:v>6.7935256943361388E-12</c:v>
                </c:pt>
                <c:pt idx="200">
                  <c:v>6.7935256943361388E-12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3196352"/>
        <c:axId val="1373194176"/>
      </c:scatterChart>
      <c:valAx>
        <c:axId val="13731963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3194176"/>
        <c:crosses val="autoZero"/>
        <c:crossBetween val="midCat"/>
      </c:valAx>
      <c:valAx>
        <c:axId val="137319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3196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3194720"/>
        <c:axId val="1373200160"/>
      </c:scatterChart>
      <c:valAx>
        <c:axId val="1373194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3200160"/>
        <c:crosses val="autoZero"/>
        <c:crossBetween val="midCat"/>
      </c:valAx>
      <c:valAx>
        <c:axId val="1373200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3194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3196896"/>
        <c:axId val="1373197984"/>
      </c:scatterChart>
      <c:valAx>
        <c:axId val="13731968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3197984"/>
        <c:crosses val="autoZero"/>
        <c:crossBetween val="midCat"/>
      </c:valAx>
      <c:valAx>
        <c:axId val="1373197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3196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3195264"/>
        <c:axId val="1373198528"/>
      </c:scatterChart>
      <c:valAx>
        <c:axId val="13731952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3198528"/>
        <c:crosses val="autoZero"/>
        <c:crossBetween val="midCat"/>
      </c:valAx>
      <c:valAx>
        <c:axId val="1373198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31952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7870304"/>
        <c:axId val="1547875744"/>
      </c:scatterChart>
      <c:valAx>
        <c:axId val="1547870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47875744"/>
        <c:crosses val="autoZero"/>
        <c:crossBetween val="midCat"/>
      </c:valAx>
      <c:valAx>
        <c:axId val="1547875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47870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7876288"/>
        <c:axId val="1547876832"/>
      </c:scatterChart>
      <c:valAx>
        <c:axId val="15478762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47876832"/>
        <c:crosses val="autoZero"/>
        <c:crossBetween val="midCat"/>
      </c:valAx>
      <c:valAx>
        <c:axId val="154787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47876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7877920"/>
        <c:axId val="1547878464"/>
      </c:scatterChart>
      <c:valAx>
        <c:axId val="15478779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47878464"/>
        <c:crosses val="autoZero"/>
        <c:crossBetween val="midCat"/>
      </c:valAx>
      <c:valAx>
        <c:axId val="15478784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478779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3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3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3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3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3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3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3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3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3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3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3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3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3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3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3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3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3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3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5" zoomScaleNormal="85" workbookViewId="0">
      <selection activeCell="C5" sqref="C5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1" t="s">
        <v>190</v>
      </c>
      <c r="D1" s="291"/>
      <c r="E1" s="29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5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6" t="s">
        <v>192</v>
      </c>
      <c r="C3" s="297"/>
      <c r="D3" s="297"/>
      <c r="E3" s="297"/>
      <c r="F3" s="298"/>
      <c r="G3" s="92"/>
      <c r="I3" s="225" t="s">
        <v>304</v>
      </c>
      <c r="J3" s="93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4"/>
      <c r="B4" s="94"/>
      <c r="C4" s="94"/>
      <c r="D4" s="94"/>
      <c r="E4" s="94"/>
      <c r="F4" s="94"/>
      <c r="G4" s="235"/>
      <c r="I4" s="225" t="s">
        <v>305</v>
      </c>
      <c r="J4" s="9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2" t="s">
        <v>231</v>
      </c>
      <c r="B5" s="302"/>
      <c r="C5" s="26">
        <v>1.6</v>
      </c>
      <c r="D5" s="303" t="s">
        <v>229</v>
      </c>
      <c r="E5" s="304"/>
      <c r="F5" s="94"/>
      <c r="G5" s="235"/>
      <c r="H5" s="236"/>
      <c r="I5" s="236"/>
      <c r="J5" s="244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5"/>
      <c r="B6" s="95"/>
      <c r="C6" s="96"/>
      <c r="D6" s="90"/>
      <c r="E6" s="90"/>
      <c r="F6" s="29"/>
      <c r="G6" s="237"/>
      <c r="H6" s="238"/>
      <c r="I6" s="238"/>
      <c r="J6" s="245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</row>
    <row r="7" spans="1:38" ht="25.8" x14ac:dyDescent="0.3">
      <c r="A7" s="300" t="s">
        <v>226</v>
      </c>
      <c r="B7" s="300"/>
      <c r="C7" s="94"/>
      <c r="D7" s="94"/>
      <c r="E7" s="5"/>
      <c r="F7" s="94"/>
      <c r="G7" s="235"/>
      <c r="H7" s="236"/>
      <c r="I7" s="236"/>
      <c r="J7" s="244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0"/>
      <c r="J8" s="244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18</v>
      </c>
      <c r="C9" s="35">
        <v>0.6</v>
      </c>
      <c r="D9" s="36">
        <f t="shared" ref="D9:D18" si="0">C9*$C$5</f>
        <v>0.96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5" t="s">
        <v>306</v>
      </c>
      <c r="I9" s="251"/>
      <c r="J9" s="244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13</v>
      </c>
      <c r="C10" s="35">
        <v>0.2</v>
      </c>
      <c r="D10" s="36">
        <f t="shared" si="0"/>
        <v>0.32000000000000006</v>
      </c>
      <c r="E10" s="37">
        <v>90</v>
      </c>
      <c r="F10" s="38" t="str">
        <f t="array" ref="F10">IF(E10="","",IF(INDEX(A:A,MAX(IF(ISNUMBER($A$62:$A$81),ROW($A$62:$A$81),"")))&lt;&gt;E10,"Corrigez : révolution incorrecte","OK"))</f>
        <v>OK</v>
      </c>
      <c r="I10" s="251"/>
      <c r="J10" s="244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23</v>
      </c>
      <c r="C11" s="35">
        <v>0.2</v>
      </c>
      <c r="D11" s="36">
        <f t="shared" si="0"/>
        <v>0.32000000000000006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28"/>
      <c r="I11" s="251"/>
      <c r="J11" s="244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28"/>
      <c r="I12" s="251"/>
      <c r="J12" s="244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28"/>
      <c r="I13" s="251"/>
      <c r="J13" s="244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28"/>
      <c r="I14" s="251"/>
      <c r="J14" s="244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8"/>
      <c r="I15" s="251"/>
      <c r="J15" s="244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8"/>
      <c r="I16" s="251"/>
      <c r="J16" s="244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8"/>
      <c r="I17" s="251"/>
      <c r="J17" s="244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8"/>
      <c r="I18" s="251"/>
      <c r="J18" s="244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7"/>
      <c r="B19" s="39" t="s">
        <v>175</v>
      </c>
      <c r="C19" s="40">
        <f>SUM(C9:C18)</f>
        <v>1</v>
      </c>
      <c r="D19" s="41">
        <f>SUM(D9:D18)</f>
        <v>1.6</v>
      </c>
      <c r="E19" s="5"/>
      <c r="F19" s="98"/>
      <c r="G19" s="239"/>
      <c r="H19" s="240"/>
      <c r="I19" s="239"/>
      <c r="J19" s="24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7"/>
      <c r="B20" s="42" t="s">
        <v>230</v>
      </c>
      <c r="C20" s="43" t="str">
        <f>IF(C19&gt;100%,"Erreur : corrigez","OK")</f>
        <v>OK</v>
      </c>
      <c r="D20" s="246"/>
      <c r="F20" s="238"/>
      <c r="G20" s="238"/>
      <c r="H20" s="240"/>
      <c r="I20" s="239"/>
      <c r="J20" s="24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1"/>
      <c r="I21" s="252"/>
      <c r="J21" s="244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9" t="s">
        <v>232</v>
      </c>
      <c r="B22" s="299"/>
      <c r="C22" s="96"/>
      <c r="H22" s="227"/>
      <c r="I22" s="245"/>
      <c r="J22" s="245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</row>
    <row r="23" spans="1:45" x14ac:dyDescent="0.3">
      <c r="A23" s="5"/>
      <c r="B23" s="5"/>
      <c r="C23" s="5"/>
      <c r="H23" s="218"/>
      <c r="I23" s="244"/>
      <c r="J23" s="24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99"/>
      <c r="F24" s="99"/>
      <c r="G24" s="242"/>
      <c r="H24" s="228"/>
      <c r="I24" s="242"/>
      <c r="J24" s="243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0"/>
      <c r="E25" s="5"/>
      <c r="F25" s="100"/>
      <c r="G25" s="243"/>
      <c r="H25" s="228"/>
      <c r="I25" s="243"/>
      <c r="J25" s="243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99"/>
      <c r="F26" s="99"/>
      <c r="G26" s="242"/>
      <c r="I26" s="242"/>
      <c r="J26" s="242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99"/>
      <c r="F27" s="99"/>
      <c r="G27" s="242"/>
      <c r="I27" s="242"/>
      <c r="J27" s="242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4"/>
      <c r="I28" s="244"/>
      <c r="J28" s="244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4"/>
      <c r="I29" s="244"/>
      <c r="J29" s="24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1" t="s">
        <v>227</v>
      </c>
      <c r="B30" s="301"/>
      <c r="D30" s="247"/>
      <c r="H30" s="245"/>
      <c r="I30" s="245"/>
      <c r="J30" s="245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</row>
    <row r="31" spans="1:45" x14ac:dyDescent="0.3">
      <c r="A31" s="5"/>
      <c r="B31" s="5"/>
      <c r="H31" s="244"/>
      <c r="I31" s="244"/>
      <c r="J31" s="244"/>
      <c r="K31" s="247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Douglas</v>
      </c>
      <c r="D32" s="256" t="s">
        <v>307</v>
      </c>
      <c r="K32" s="247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7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9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1"/>
      <c r="J34" s="248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9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19</v>
      </c>
      <c r="B36" s="61">
        <f>192.63/1.3</f>
        <v>148.17692307692306</v>
      </c>
      <c r="C36" s="61"/>
      <c r="D36" s="61"/>
      <c r="E36" s="54"/>
      <c r="F36" s="54"/>
      <c r="G36" s="54"/>
      <c r="H36" s="54"/>
      <c r="I36" s="52">
        <f>IFERROR(B36/A36,"")</f>
        <v>7.7987854251012134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21</v>
      </c>
      <c r="B37" s="61">
        <f>234.08/1.3</f>
        <v>180.06153846153848</v>
      </c>
      <c r="C37" s="61">
        <v>1</v>
      </c>
      <c r="D37" s="61">
        <f>79.52/1.3</f>
        <v>61.169230769230765</v>
      </c>
      <c r="E37" s="54"/>
      <c r="F37" s="54"/>
      <c r="G37" s="54">
        <v>1</v>
      </c>
      <c r="H37" s="54"/>
      <c r="I37" s="56">
        <f t="shared" ref="I37:I55" si="1">IF(A37&lt;&gt;0,(B37-(B36-D36))/(A37-A36),"")</f>
        <v>15.942307692307708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28</v>
      </c>
      <c r="B38" s="61">
        <f>306.42/1.3</f>
        <v>235.7076923076923</v>
      </c>
      <c r="C38" s="61">
        <v>2</v>
      </c>
      <c r="D38" s="61">
        <f>73.99/1.3</f>
        <v>56.91538461538461</v>
      </c>
      <c r="E38" s="54"/>
      <c r="F38" s="54">
        <v>0.2</v>
      </c>
      <c r="G38" s="54">
        <v>0.8</v>
      </c>
      <c r="H38" s="54"/>
      <c r="I38" s="56">
        <f t="shared" si="1"/>
        <v>16.687912087912085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1">
        <f>279.49/1.3</f>
        <v>214.99230769230769</v>
      </c>
      <c r="C39" s="61"/>
      <c r="D39" s="61"/>
      <c r="E39" s="54"/>
      <c r="F39" s="54"/>
      <c r="G39" s="54"/>
      <c r="H39" s="54"/>
      <c r="I39" s="52">
        <f t="shared" si="1"/>
        <v>18.099999999999994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35</v>
      </c>
      <c r="B40" s="61">
        <f>397.14/1.3</f>
        <v>305.49230769230769</v>
      </c>
      <c r="C40" s="61">
        <v>3</v>
      </c>
      <c r="D40" s="61">
        <f>91.65/1.3</f>
        <v>70.5</v>
      </c>
      <c r="E40" s="54"/>
      <c r="F40" s="54"/>
      <c r="G40" s="54"/>
      <c r="H40" s="54"/>
      <c r="I40" s="52">
        <f t="shared" si="1"/>
        <v>18.100000000000001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42</v>
      </c>
      <c r="B41" s="61">
        <f>471.38/1.3</f>
        <v>362.59999999999997</v>
      </c>
      <c r="C41" s="61">
        <v>4</v>
      </c>
      <c r="D41" s="61">
        <f>104.87/1.3</f>
        <v>80.669230769230765</v>
      </c>
      <c r="E41" s="54"/>
      <c r="F41" s="54"/>
      <c r="G41" s="54"/>
      <c r="H41" s="54"/>
      <c r="I41" s="56">
        <f t="shared" si="1"/>
        <v>18.229670329670324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49</v>
      </c>
      <c r="B42" s="61">
        <f>525.94/1.3</f>
        <v>404.56923076923078</v>
      </c>
      <c r="C42" s="61">
        <v>5</v>
      </c>
      <c r="D42" s="61">
        <f>117.59/1.3</f>
        <v>90.453846153846158</v>
      </c>
      <c r="E42" s="54"/>
      <c r="F42" s="54"/>
      <c r="G42" s="54"/>
      <c r="H42" s="54"/>
      <c r="I42" s="56">
        <f t="shared" si="1"/>
        <v>17.519780219780223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0">
        <v>56</v>
      </c>
      <c r="B43" s="61">
        <f>556.02/1.3</f>
        <v>427.7076923076923</v>
      </c>
      <c r="C43" s="61">
        <v>6</v>
      </c>
      <c r="D43" s="61">
        <f>98.63/1.3</f>
        <v>75.869230769230768</v>
      </c>
      <c r="E43" s="54"/>
      <c r="F43" s="54"/>
      <c r="G43" s="54"/>
      <c r="H43" s="54"/>
      <c r="I43" s="52">
        <f t="shared" si="1"/>
        <v>16.227472527472521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0">
        <v>63</v>
      </c>
      <c r="B44" s="61">
        <f>592.43/1.3</f>
        <v>455.71538461538455</v>
      </c>
      <c r="C44" s="61">
        <v>7</v>
      </c>
      <c r="D44" s="61">
        <f>103.64/1.3</f>
        <v>79.723076923076917</v>
      </c>
      <c r="E44" s="54"/>
      <c r="F44" s="54"/>
      <c r="G44" s="54"/>
      <c r="H44" s="54"/>
      <c r="I44" s="52">
        <f t="shared" si="1"/>
        <v>14.839560439560435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0">
        <v>69</v>
      </c>
      <c r="B45" s="61">
        <f>593.1/1.3</f>
        <v>456.23076923076923</v>
      </c>
      <c r="C45" s="61"/>
      <c r="D45" s="61"/>
      <c r="E45" s="54"/>
      <c r="F45" s="54"/>
      <c r="G45" s="54"/>
      <c r="H45" s="54"/>
      <c r="I45" s="52">
        <f t="shared" si="1"/>
        <v>13.373076923076932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0">
        <v>70</v>
      </c>
      <c r="B46" s="61">
        <f>609.79/1.3</f>
        <v>469.06923076923073</v>
      </c>
      <c r="C46" s="61">
        <v>8</v>
      </c>
      <c r="D46" s="61">
        <f>B46</f>
        <v>469.06923076923073</v>
      </c>
      <c r="E46" s="54"/>
      <c r="F46" s="54"/>
      <c r="G46" s="54"/>
      <c r="H46" s="54"/>
      <c r="I46" s="52">
        <f t="shared" si="1"/>
        <v>12.838461538461502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0"/>
      <c r="B47" s="61"/>
      <c r="C47" s="61"/>
      <c r="D47" s="61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0"/>
      <c r="B48" s="61"/>
      <c r="C48" s="61"/>
      <c r="D48" s="61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0"/>
      <c r="B49" s="61"/>
      <c r="C49" s="61"/>
      <c r="D49" s="61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0"/>
      <c r="B50" s="61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0"/>
      <c r="B51" s="61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0"/>
      <c r="B52" s="61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0"/>
      <c r="B53" s="61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0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0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rouge d'Amérique</v>
      </c>
      <c r="D58" s="256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2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9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1"/>
      <c r="J60" s="248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9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1">
        <v>104</v>
      </c>
      <c r="C62" s="61">
        <v>1</v>
      </c>
      <c r="D62" s="61">
        <v>32</v>
      </c>
      <c r="E62" s="54"/>
      <c r="F62" s="54"/>
      <c r="G62" s="54"/>
      <c r="H62" s="54">
        <v>1</v>
      </c>
      <c r="I62" s="56">
        <f>IFERROR(B62/A62,"")</f>
        <v>5.2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1">
        <v>125</v>
      </c>
      <c r="C63" s="61"/>
      <c r="D63" s="61"/>
      <c r="E63" s="54"/>
      <c r="F63" s="54"/>
      <c r="G63" s="54"/>
      <c r="H63" s="54"/>
      <c r="I63" s="52">
        <f>IF(A63&lt;&gt;0,(B63-(B62-D62))/(A63-A62),"")</f>
        <v>10.6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1">
        <f>144+31</f>
        <v>175</v>
      </c>
      <c r="C64" s="61">
        <v>2</v>
      </c>
      <c r="D64" s="61">
        <f>31+31</f>
        <v>62</v>
      </c>
      <c r="E64" s="54"/>
      <c r="F64" s="54"/>
      <c r="G64" s="54"/>
      <c r="H64" s="54">
        <v>1</v>
      </c>
      <c r="I64" s="52">
        <f>IF(A64&lt;&gt;0,(B64-(B63-D63))/(A64-A63),"")</f>
        <v>10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1">
        <v>159</v>
      </c>
      <c r="C65" s="61"/>
      <c r="D65" s="61"/>
      <c r="E65" s="54"/>
      <c r="F65" s="54"/>
      <c r="G65" s="54"/>
      <c r="H65" s="54"/>
      <c r="I65" s="52">
        <f>IF(A65&lt;&gt;0,(B65-(B64-D64))/(A65-A64),"")</f>
        <v>9.1999999999999993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1">
        <f>170+30</f>
        <v>200</v>
      </c>
      <c r="C66" s="61">
        <v>3</v>
      </c>
      <c r="D66" s="61">
        <f>28+30</f>
        <v>58</v>
      </c>
      <c r="E66" s="54"/>
      <c r="F66" s="54"/>
      <c r="G66" s="54"/>
      <c r="H66" s="54"/>
      <c r="I66" s="52">
        <f t="shared" ref="I66:I81" si="2">IF(A66&lt;&gt;0,(B66-(B65-D65))/(A66-A65),"")</f>
        <v>8.1999999999999993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1">
        <v>180</v>
      </c>
      <c r="C67" s="61"/>
      <c r="D67" s="61"/>
      <c r="E67" s="54"/>
      <c r="F67" s="54"/>
      <c r="G67" s="54"/>
      <c r="H67" s="54"/>
      <c r="I67" s="52">
        <f t="shared" si="2"/>
        <v>7.6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1">
        <f>187+26</f>
        <v>213</v>
      </c>
      <c r="C68" s="61">
        <v>4</v>
      </c>
      <c r="D68" s="61">
        <f>24+26</f>
        <v>50</v>
      </c>
      <c r="E68" s="54"/>
      <c r="F68" s="54"/>
      <c r="G68" s="54"/>
      <c r="H68" s="54"/>
      <c r="I68" s="52">
        <f t="shared" si="2"/>
        <v>6.6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280">
        <v>55</v>
      </c>
      <c r="B69" s="61">
        <v>194</v>
      </c>
      <c r="C69" s="61"/>
      <c r="D69" s="61"/>
      <c r="E69" s="54"/>
      <c r="F69" s="54"/>
      <c r="G69" s="54"/>
      <c r="H69" s="54"/>
      <c r="I69" s="52">
        <f t="shared" si="2"/>
        <v>6.2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280">
        <v>60</v>
      </c>
      <c r="B70" s="61">
        <f>199+21</f>
        <v>220</v>
      </c>
      <c r="C70" s="61">
        <v>5</v>
      </c>
      <c r="D70" s="61">
        <f>19+21</f>
        <v>40</v>
      </c>
      <c r="E70" s="54"/>
      <c r="F70" s="54"/>
      <c r="G70" s="54"/>
      <c r="H70" s="54"/>
      <c r="I70" s="52">
        <f t="shared" si="2"/>
        <v>5.2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280">
        <v>65</v>
      </c>
      <c r="B71" s="61">
        <v>203</v>
      </c>
      <c r="C71" s="61"/>
      <c r="D71" s="61"/>
      <c r="E71" s="54"/>
      <c r="F71" s="54"/>
      <c r="G71" s="54"/>
      <c r="H71" s="54"/>
      <c r="I71" s="52">
        <f t="shared" si="2"/>
        <v>4.5999999999999996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280">
        <v>70</v>
      </c>
      <c r="B72" s="61">
        <f>206+17</f>
        <v>223</v>
      </c>
      <c r="C72" s="61">
        <v>6</v>
      </c>
      <c r="D72" s="61">
        <f>15+17</f>
        <v>32</v>
      </c>
      <c r="E72" s="54"/>
      <c r="F72" s="54"/>
      <c r="G72" s="54"/>
      <c r="H72" s="54"/>
      <c r="I72" s="52">
        <f t="shared" si="2"/>
        <v>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280">
        <v>75</v>
      </c>
      <c r="B73" s="61">
        <v>209</v>
      </c>
      <c r="C73" s="61"/>
      <c r="D73" s="61"/>
      <c r="E73" s="54"/>
      <c r="F73" s="54"/>
      <c r="G73" s="54"/>
      <c r="H73" s="54"/>
      <c r="I73" s="52">
        <f t="shared" si="2"/>
        <v>3.6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280">
        <v>80</v>
      </c>
      <c r="B74" s="61">
        <f>211+13</f>
        <v>224</v>
      </c>
      <c r="C74" s="61">
        <v>7</v>
      </c>
      <c r="D74" s="61">
        <f>11+13</f>
        <v>24</v>
      </c>
      <c r="E74" s="54"/>
      <c r="F74" s="54"/>
      <c r="G74" s="54"/>
      <c r="H74" s="54"/>
      <c r="I74" s="52">
        <f t="shared" si="2"/>
        <v>3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280">
        <v>85</v>
      </c>
      <c r="B75" s="61">
        <v>213</v>
      </c>
      <c r="C75" s="61"/>
      <c r="D75" s="61"/>
      <c r="E75" s="54"/>
      <c r="F75" s="54"/>
      <c r="G75" s="54"/>
      <c r="H75" s="54"/>
      <c r="I75" s="52">
        <f t="shared" si="2"/>
        <v>2.6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61">
        <v>90</v>
      </c>
      <c r="B76" s="61">
        <f>215+10</f>
        <v>225</v>
      </c>
      <c r="C76" s="61">
        <v>8</v>
      </c>
      <c r="D76" s="61">
        <f>B76</f>
        <v>225</v>
      </c>
      <c r="E76" s="57"/>
      <c r="F76" s="57"/>
      <c r="G76" s="57"/>
      <c r="H76" s="57"/>
      <c r="I76" s="52">
        <f t="shared" si="2"/>
        <v>2.4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Erable sycomore</v>
      </c>
      <c r="D84" s="256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2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9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1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1">
        <f>22.3+15.1</f>
        <v>37.4</v>
      </c>
      <c r="C88" s="61"/>
      <c r="D88" s="61"/>
      <c r="E88" s="54"/>
      <c r="F88" s="54"/>
      <c r="G88" s="54"/>
      <c r="H88" s="54"/>
      <c r="I88" s="56">
        <f>IFERROR(B88/A88,"")</f>
        <v>2.4933333333333332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1">
        <f>52+15.1+28</f>
        <v>95.1</v>
      </c>
      <c r="C89" s="61">
        <v>1</v>
      </c>
      <c r="D89" s="61">
        <f>15.1+28</f>
        <v>43.1</v>
      </c>
      <c r="E89" s="54"/>
      <c r="F89" s="54"/>
      <c r="G89" s="54"/>
      <c r="H89" s="54">
        <v>1</v>
      </c>
      <c r="I89" s="56">
        <f t="shared" ref="I89:I107" si="3">IF(A89&lt;&gt;0,(B89-(B88-D88))/(A89-A88),"")</f>
        <v>11.54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1">
        <f>86.5+28</f>
        <v>114.5</v>
      </c>
      <c r="C90" s="61"/>
      <c r="D90" s="61"/>
      <c r="E90" s="54"/>
      <c r="F90" s="54"/>
      <c r="G90" s="54"/>
      <c r="H90" s="54"/>
      <c r="I90" s="56">
        <f t="shared" si="3"/>
        <v>12.500000000000002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1">
        <f>118.5+28+28</f>
        <v>174.5</v>
      </c>
      <c r="C91" s="61">
        <v>2</v>
      </c>
      <c r="D91" s="61">
        <f>28+28</f>
        <v>56</v>
      </c>
      <c r="E91" s="54"/>
      <c r="F91" s="54"/>
      <c r="G91" s="54"/>
      <c r="H91" s="54">
        <v>1</v>
      </c>
      <c r="I91" s="56">
        <f t="shared" si="3"/>
        <v>12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61">
        <f>144.4+28</f>
        <v>172.4</v>
      </c>
      <c r="C92" s="61"/>
      <c r="D92" s="61"/>
      <c r="E92" s="54"/>
      <c r="F92" s="54"/>
      <c r="G92" s="54"/>
      <c r="H92" s="54"/>
      <c r="I92" s="56">
        <f t="shared" si="3"/>
        <v>10.780000000000001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61">
        <f>163.6+28+28</f>
        <v>219.6</v>
      </c>
      <c r="C93" s="61">
        <v>3</v>
      </c>
      <c r="D93" s="61">
        <f>28+28</f>
        <v>56</v>
      </c>
      <c r="E93" s="54"/>
      <c r="F93" s="54"/>
      <c r="G93" s="54"/>
      <c r="H93" s="54"/>
      <c r="I93" s="56">
        <f t="shared" si="3"/>
        <v>9.4399999999999977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45</v>
      </c>
      <c r="B94" s="61">
        <f>182.8+21.8</f>
        <v>204.60000000000002</v>
      </c>
      <c r="C94" s="61"/>
      <c r="D94" s="61"/>
      <c r="E94" s="54"/>
      <c r="F94" s="54"/>
      <c r="G94" s="54"/>
      <c r="H94" s="54"/>
      <c r="I94" s="56">
        <f t="shared" si="3"/>
        <v>8.2000000000000064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280">
        <v>50</v>
      </c>
      <c r="B95" s="61">
        <f>201.9+21.8+16.5</f>
        <v>240.20000000000002</v>
      </c>
      <c r="C95" s="61">
        <v>4</v>
      </c>
      <c r="D95" s="61">
        <f>21.8+16.5</f>
        <v>38.299999999999997</v>
      </c>
      <c r="E95" s="54"/>
      <c r="F95" s="54"/>
      <c r="G95" s="54"/>
      <c r="H95" s="54"/>
      <c r="I95" s="56">
        <f t="shared" si="3"/>
        <v>7.1199999999999992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280">
        <v>55</v>
      </c>
      <c r="B96" s="61">
        <f>219.1+13.4</f>
        <v>232.5</v>
      </c>
      <c r="C96" s="61"/>
      <c r="D96" s="61"/>
      <c r="E96" s="54"/>
      <c r="F96" s="54"/>
      <c r="G96" s="54"/>
      <c r="H96" s="54"/>
      <c r="I96" s="56">
        <f t="shared" si="3"/>
        <v>6.119999999999993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280">
        <v>60</v>
      </c>
      <c r="B97" s="61">
        <f>233.1+13.4+11.8</f>
        <v>258.3</v>
      </c>
      <c r="C97" s="61">
        <v>5</v>
      </c>
      <c r="D97" s="61">
        <f>13.4+11.8</f>
        <v>25.200000000000003</v>
      </c>
      <c r="E97" s="54"/>
      <c r="F97" s="54"/>
      <c r="G97" s="54"/>
      <c r="H97" s="54"/>
      <c r="I97" s="56">
        <f t="shared" si="3"/>
        <v>5.1600000000000019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280">
        <v>65</v>
      </c>
      <c r="B98" s="61">
        <f>243.9+10.9</f>
        <v>254.8</v>
      </c>
      <c r="C98" s="61"/>
      <c r="D98" s="61"/>
      <c r="E98" s="54"/>
      <c r="F98" s="54"/>
      <c r="G98" s="54"/>
      <c r="H98" s="54"/>
      <c r="I98" s="56">
        <f t="shared" si="3"/>
        <v>4.3399999999999981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280">
        <v>70</v>
      </c>
      <c r="B99" s="61">
        <f>252.7+10.9+10</f>
        <v>273.59999999999997</v>
      </c>
      <c r="C99" s="61">
        <v>6</v>
      </c>
      <c r="D99" s="61">
        <f>10.9+10</f>
        <v>20.9</v>
      </c>
      <c r="E99" s="54"/>
      <c r="F99" s="54"/>
      <c r="G99" s="54"/>
      <c r="H99" s="54"/>
      <c r="I99" s="56">
        <f t="shared" si="3"/>
        <v>3.7599999999999909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280">
        <v>75</v>
      </c>
      <c r="B100" s="61">
        <f>260.6+9.1</f>
        <v>269.70000000000005</v>
      </c>
      <c r="C100" s="61"/>
      <c r="D100" s="61"/>
      <c r="E100" s="54"/>
      <c r="F100" s="54"/>
      <c r="G100" s="54"/>
      <c r="H100" s="54"/>
      <c r="I100" s="56">
        <f t="shared" si="3"/>
        <v>3.4000000000000172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280">
        <v>80</v>
      </c>
      <c r="B101" s="61">
        <f>267.3+9.1+8.2</f>
        <v>284.60000000000002</v>
      </c>
      <c r="C101" s="61">
        <v>7</v>
      </c>
      <c r="D101" s="61">
        <f>B101</f>
        <v>284.60000000000002</v>
      </c>
      <c r="E101" s="54"/>
      <c r="F101" s="54"/>
      <c r="G101" s="54"/>
      <c r="H101" s="54"/>
      <c r="I101" s="56">
        <f t="shared" si="3"/>
        <v>2.9799999999999955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280"/>
      <c r="B102" s="53"/>
      <c r="C102" s="53"/>
      <c r="D102" s="53"/>
      <c r="E102" s="54"/>
      <c r="F102" s="54"/>
      <c r="G102" s="54"/>
      <c r="H102" s="54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280"/>
      <c r="B103" s="53"/>
      <c r="C103" s="53"/>
      <c r="D103" s="53"/>
      <c r="E103" s="54"/>
      <c r="F103" s="54"/>
      <c r="G103" s="54"/>
      <c r="H103" s="54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280"/>
      <c r="B104" s="53"/>
      <c r="C104" s="53"/>
      <c r="D104" s="53"/>
      <c r="E104" s="54"/>
      <c r="F104" s="54"/>
      <c r="G104" s="54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280"/>
      <c r="B105" s="53"/>
      <c r="C105" s="53"/>
      <c r="D105" s="53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280"/>
      <c r="B106" s="53"/>
      <c r="C106" s="53"/>
      <c r="D106" s="53"/>
      <c r="E106" s="54"/>
      <c r="F106" s="54"/>
      <c r="G106" s="54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280"/>
      <c r="B107" s="53"/>
      <c r="C107" s="53"/>
      <c r="D107" s="53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6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2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9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1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1"/>
      <c r="C114" s="61"/>
      <c r="D114" s="61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1"/>
      <c r="C115" s="61"/>
      <c r="D115" s="61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1"/>
      <c r="C116" s="61"/>
      <c r="D116" s="61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1"/>
      <c r="C117" s="61"/>
      <c r="D117" s="61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1"/>
      <c r="C118" s="61"/>
      <c r="D118" s="61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1"/>
      <c r="C119" s="61"/>
      <c r="D119" s="61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/>
      <c r="B120" s="61"/>
      <c r="C120" s="61"/>
      <c r="D120" s="61"/>
      <c r="E120" s="54"/>
      <c r="F120" s="54"/>
      <c r="G120" s="54"/>
      <c r="H120" s="54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/>
      <c r="B121" s="53"/>
      <c r="C121" s="53"/>
      <c r="D121" s="53"/>
      <c r="E121" s="54"/>
      <c r="F121" s="54"/>
      <c r="G121" s="54"/>
      <c r="H121" s="54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/>
      <c r="B122" s="53"/>
      <c r="C122" s="53"/>
      <c r="D122" s="53"/>
      <c r="E122" s="54"/>
      <c r="F122" s="54"/>
      <c r="G122" s="54"/>
      <c r="H122" s="54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/>
      <c r="B123" s="53"/>
      <c r="C123" s="53"/>
      <c r="D123" s="53"/>
      <c r="E123" s="54"/>
      <c r="F123" s="54"/>
      <c r="G123" s="54"/>
      <c r="H123" s="5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/>
      <c r="B124" s="53"/>
      <c r="C124" s="53"/>
      <c r="D124" s="53"/>
      <c r="E124" s="54"/>
      <c r="F124" s="54"/>
      <c r="G124" s="54"/>
      <c r="H124" s="5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/>
      <c r="B125" s="53"/>
      <c r="C125" s="53"/>
      <c r="D125" s="53"/>
      <c r="E125" s="54"/>
      <c r="F125" s="54"/>
      <c r="G125" s="54"/>
      <c r="H125" s="5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/>
      <c r="B126" s="53"/>
      <c r="C126" s="53"/>
      <c r="D126" s="53"/>
      <c r="E126" s="54"/>
      <c r="F126" s="54"/>
      <c r="G126" s="54"/>
      <c r="H126" s="54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/>
      <c r="B127" s="53"/>
      <c r="C127" s="53"/>
      <c r="D127" s="53"/>
      <c r="E127" s="54"/>
      <c r="F127" s="54"/>
      <c r="G127" s="54"/>
      <c r="H127" s="54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4"/>
      <c r="F128" s="54"/>
      <c r="G128" s="54"/>
      <c r="H128" s="54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4"/>
      <c r="F129" s="54"/>
      <c r="G129" s="54"/>
      <c r="H129" s="54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4"/>
      <c r="F130" s="54"/>
      <c r="G130" s="54"/>
      <c r="H130" s="54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4"/>
      <c r="F131" s="54"/>
      <c r="G131" s="54"/>
      <c r="H131" s="54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4"/>
      <c r="F132" s="54"/>
      <c r="G132" s="54"/>
      <c r="H132" s="54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4"/>
      <c r="F133" s="54"/>
      <c r="G133" s="54"/>
      <c r="H133" s="54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6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2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9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1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1"/>
      <c r="C140" s="61"/>
      <c r="D140" s="61"/>
      <c r="E140" s="54"/>
      <c r="F140" s="54"/>
      <c r="G140" s="54"/>
      <c r="H140" s="54"/>
      <c r="I140" s="59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1"/>
      <c r="C141" s="61"/>
      <c r="D141" s="61"/>
      <c r="E141" s="54"/>
      <c r="F141" s="54"/>
      <c r="G141" s="54"/>
      <c r="H141" s="54"/>
      <c r="I141" s="59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1"/>
      <c r="C142" s="61"/>
      <c r="D142" s="61"/>
      <c r="E142" s="54"/>
      <c r="F142" s="54"/>
      <c r="G142" s="54"/>
      <c r="H142" s="54"/>
      <c r="I142" s="59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1"/>
      <c r="C143" s="61"/>
      <c r="D143" s="61"/>
      <c r="E143" s="54"/>
      <c r="F143" s="54"/>
      <c r="G143" s="54"/>
      <c r="H143" s="54"/>
      <c r="I143" s="59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1"/>
      <c r="C144" s="61"/>
      <c r="D144" s="61"/>
      <c r="E144" s="54"/>
      <c r="F144" s="54"/>
      <c r="G144" s="54"/>
      <c r="H144" s="54"/>
      <c r="I144" s="59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1"/>
      <c r="C145" s="61"/>
      <c r="D145" s="61"/>
      <c r="E145" s="54"/>
      <c r="F145" s="54"/>
      <c r="G145" s="54"/>
      <c r="H145" s="54"/>
      <c r="I145" s="59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1"/>
      <c r="C146" s="61"/>
      <c r="D146" s="61"/>
      <c r="E146" s="54"/>
      <c r="F146" s="54"/>
      <c r="G146" s="54"/>
      <c r="H146" s="54"/>
      <c r="I146" s="59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53"/>
      <c r="C147" s="53"/>
      <c r="D147" s="53"/>
      <c r="E147" s="54"/>
      <c r="F147" s="54"/>
      <c r="G147" s="54"/>
      <c r="H147" s="54"/>
      <c r="I147" s="59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53"/>
      <c r="C148" s="53"/>
      <c r="D148" s="53"/>
      <c r="E148" s="54"/>
      <c r="F148" s="54"/>
      <c r="G148" s="54"/>
      <c r="H148" s="54"/>
      <c r="I148" s="59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53"/>
      <c r="C149" s="53"/>
      <c r="D149" s="53"/>
      <c r="E149" s="54"/>
      <c r="F149" s="54"/>
      <c r="G149" s="54"/>
      <c r="H149" s="54"/>
      <c r="I149" s="59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53"/>
      <c r="C150" s="53"/>
      <c r="D150" s="53"/>
      <c r="E150" s="54"/>
      <c r="F150" s="54"/>
      <c r="G150" s="54"/>
      <c r="H150" s="54"/>
      <c r="I150" s="59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53"/>
      <c r="C151" s="53"/>
      <c r="D151" s="53"/>
      <c r="E151" s="54"/>
      <c r="F151" s="54"/>
      <c r="G151" s="54"/>
      <c r="H151" s="54"/>
      <c r="I151" s="59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53"/>
      <c r="C152" s="53"/>
      <c r="D152" s="53"/>
      <c r="E152" s="54"/>
      <c r="F152" s="54"/>
      <c r="G152" s="54"/>
      <c r="H152" s="54"/>
      <c r="I152" s="59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53"/>
      <c r="C153" s="53"/>
      <c r="D153" s="53"/>
      <c r="E153" s="54"/>
      <c r="F153" s="54"/>
      <c r="G153" s="54"/>
      <c r="H153" s="54"/>
      <c r="I153" s="59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/>
      <c r="B154" s="53"/>
      <c r="C154" s="53"/>
      <c r="D154" s="53"/>
      <c r="E154" s="54"/>
      <c r="F154" s="54"/>
      <c r="G154" s="54"/>
      <c r="H154" s="54"/>
      <c r="I154" s="59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/>
      <c r="B155" s="53"/>
      <c r="C155" s="53"/>
      <c r="D155" s="53"/>
      <c r="E155" s="54"/>
      <c r="F155" s="54"/>
      <c r="G155" s="54"/>
      <c r="H155" s="54"/>
      <c r="I155" s="59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/>
      <c r="B156" s="53"/>
      <c r="C156" s="53"/>
      <c r="D156" s="53"/>
      <c r="E156" s="54"/>
      <c r="F156" s="54"/>
      <c r="G156" s="54"/>
      <c r="H156" s="54"/>
      <c r="I156" s="59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/>
      <c r="B157" s="53"/>
      <c r="C157" s="53"/>
      <c r="D157" s="53"/>
      <c r="E157" s="54"/>
      <c r="F157" s="54"/>
      <c r="G157" s="54"/>
      <c r="H157" s="54"/>
      <c r="I157" s="59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/>
      <c r="B158" s="53"/>
      <c r="C158" s="53"/>
      <c r="D158" s="53"/>
      <c r="E158" s="54"/>
      <c r="F158" s="54"/>
      <c r="G158" s="54"/>
      <c r="H158" s="54"/>
      <c r="I158" s="59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3"/>
      <c r="B159" s="53"/>
      <c r="C159" s="53"/>
      <c r="D159" s="53"/>
      <c r="E159" s="54"/>
      <c r="F159" s="54"/>
      <c r="G159" s="54"/>
      <c r="H159" s="54"/>
      <c r="I159" s="59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6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2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9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1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1"/>
      <c r="C166" s="61"/>
      <c r="D166" s="61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1"/>
      <c r="C167" s="61"/>
      <c r="D167" s="61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1"/>
      <c r="C168" s="61"/>
      <c r="D168" s="61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1"/>
      <c r="C169" s="61"/>
      <c r="D169" s="61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1"/>
      <c r="C170" s="61"/>
      <c r="D170" s="61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1"/>
      <c r="C171" s="61"/>
      <c r="D171" s="61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1"/>
      <c r="C172" s="61"/>
      <c r="D172" s="61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6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2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9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1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1"/>
      <c r="C192" s="53"/>
      <c r="D192" s="61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1"/>
      <c r="C193" s="53"/>
      <c r="D193" s="61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1"/>
      <c r="C194" s="53"/>
      <c r="D194" s="61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1"/>
      <c r="C195" s="53"/>
      <c r="D195" s="61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1"/>
      <c r="C196" s="53"/>
      <c r="D196" s="61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1"/>
      <c r="C197" s="53"/>
      <c r="D197" s="61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1"/>
      <c r="C198" s="53"/>
      <c r="D198" s="61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61"/>
      <c r="C199" s="53"/>
      <c r="D199" s="61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61"/>
      <c r="C200" s="53"/>
      <c r="D200" s="61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61"/>
      <c r="C201" s="53"/>
      <c r="D201" s="61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61"/>
      <c r="C202" s="53"/>
      <c r="D202" s="61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61"/>
      <c r="C203" s="53"/>
      <c r="D203" s="61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61"/>
      <c r="C204" s="53"/>
      <c r="D204" s="61"/>
      <c r="E204" s="57"/>
      <c r="F204" s="57"/>
      <c r="G204" s="57"/>
      <c r="H204" s="57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61"/>
      <c r="B205" s="61"/>
      <c r="C205" s="61"/>
      <c r="D205" s="61"/>
      <c r="E205" s="66"/>
      <c r="F205" s="66"/>
      <c r="G205" s="66"/>
      <c r="H205" s="66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61"/>
      <c r="B206" s="53"/>
      <c r="C206" s="61"/>
      <c r="D206" s="53"/>
      <c r="E206" s="57"/>
      <c r="F206" s="57"/>
      <c r="G206" s="57"/>
      <c r="H206" s="57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6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2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9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1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1"/>
      <c r="C218" s="61"/>
      <c r="D218" s="61"/>
      <c r="E218" s="54"/>
      <c r="F218" s="54"/>
      <c r="G218" s="54"/>
      <c r="H218" s="5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1"/>
      <c r="C219" s="61"/>
      <c r="D219" s="61"/>
      <c r="E219" s="54"/>
      <c r="F219" s="54"/>
      <c r="G219" s="54"/>
      <c r="H219" s="5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1"/>
      <c r="C220" s="61"/>
      <c r="D220" s="61"/>
      <c r="E220" s="54"/>
      <c r="F220" s="54"/>
      <c r="G220" s="54"/>
      <c r="H220" s="5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/>
      <c r="B221" s="61"/>
      <c r="C221" s="61"/>
      <c r="D221" s="61"/>
      <c r="E221" s="54"/>
      <c r="F221" s="54"/>
      <c r="G221" s="54"/>
      <c r="H221" s="5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3"/>
      <c r="B222" s="61"/>
      <c r="C222" s="61"/>
      <c r="D222" s="61"/>
      <c r="E222" s="54"/>
      <c r="F222" s="54"/>
      <c r="G222" s="54"/>
      <c r="H222" s="5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3"/>
      <c r="B223" s="61"/>
      <c r="C223" s="61"/>
      <c r="D223" s="61"/>
      <c r="E223" s="54"/>
      <c r="F223" s="54"/>
      <c r="G223" s="54"/>
      <c r="H223" s="5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3"/>
      <c r="B224" s="61"/>
      <c r="C224" s="61"/>
      <c r="D224" s="61"/>
      <c r="E224" s="54"/>
      <c r="F224" s="54"/>
      <c r="G224" s="54"/>
      <c r="H224" s="5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280"/>
      <c r="B225" s="61"/>
      <c r="C225" s="61"/>
      <c r="D225" s="61"/>
      <c r="E225" s="54"/>
      <c r="F225" s="54"/>
      <c r="G225" s="54"/>
      <c r="H225" s="5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280"/>
      <c r="B226" s="61"/>
      <c r="C226" s="61"/>
      <c r="D226" s="61"/>
      <c r="E226" s="54"/>
      <c r="F226" s="54"/>
      <c r="G226" s="54"/>
      <c r="H226" s="5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280"/>
      <c r="B227" s="61"/>
      <c r="C227" s="61"/>
      <c r="D227" s="61"/>
      <c r="E227" s="54"/>
      <c r="F227" s="54"/>
      <c r="G227" s="54"/>
      <c r="H227" s="5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280"/>
      <c r="B228" s="61"/>
      <c r="C228" s="61"/>
      <c r="D228" s="61"/>
      <c r="E228" s="54"/>
      <c r="F228" s="54"/>
      <c r="G228" s="54"/>
      <c r="H228" s="5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280"/>
      <c r="B229" s="61"/>
      <c r="C229" s="61"/>
      <c r="D229" s="61"/>
      <c r="E229" s="54"/>
      <c r="F229" s="54"/>
      <c r="G229" s="54"/>
      <c r="H229" s="5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280"/>
      <c r="B230" s="61"/>
      <c r="C230" s="61"/>
      <c r="D230" s="61"/>
      <c r="E230" s="54"/>
      <c r="F230" s="54"/>
      <c r="G230" s="54"/>
      <c r="H230" s="54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280"/>
      <c r="B231" s="61"/>
      <c r="C231" s="61"/>
      <c r="D231" s="61"/>
      <c r="E231" s="54"/>
      <c r="F231" s="54"/>
      <c r="G231" s="54"/>
      <c r="H231" s="54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280"/>
      <c r="B232" s="53"/>
      <c r="C232" s="53"/>
      <c r="D232" s="53"/>
      <c r="E232" s="54"/>
      <c r="F232" s="54"/>
      <c r="G232" s="54"/>
      <c r="H232" s="54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280"/>
      <c r="B233" s="53"/>
      <c r="C233" s="53"/>
      <c r="D233" s="53"/>
      <c r="E233" s="54"/>
      <c r="F233" s="54"/>
      <c r="G233" s="54"/>
      <c r="H233" s="54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280"/>
      <c r="B234" s="53"/>
      <c r="C234" s="53"/>
      <c r="D234" s="53"/>
      <c r="E234" s="54"/>
      <c r="F234" s="54"/>
      <c r="G234" s="54"/>
      <c r="H234" s="54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280"/>
      <c r="B235" s="53"/>
      <c r="C235" s="53"/>
      <c r="D235" s="53"/>
      <c r="E235" s="54"/>
      <c r="F235" s="54"/>
      <c r="G235" s="54"/>
      <c r="H235" s="54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280"/>
      <c r="B236" s="53"/>
      <c r="C236" s="53"/>
      <c r="D236" s="53"/>
      <c r="E236" s="54"/>
      <c r="F236" s="54"/>
      <c r="G236" s="54"/>
      <c r="H236" s="54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280"/>
      <c r="B237" s="53"/>
      <c r="C237" s="53"/>
      <c r="D237" s="53"/>
      <c r="E237" s="54"/>
      <c r="F237" s="54"/>
      <c r="G237" s="54"/>
      <c r="H237" s="54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6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2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9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1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1"/>
      <c r="C244" s="61"/>
      <c r="D244" s="61"/>
      <c r="E244" s="54"/>
      <c r="F244" s="54"/>
      <c r="G244" s="54"/>
      <c r="H244" s="5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1"/>
      <c r="C245" s="61"/>
      <c r="D245" s="61"/>
      <c r="E245" s="54"/>
      <c r="F245" s="54"/>
      <c r="G245" s="54"/>
      <c r="H245" s="5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1"/>
      <c r="C246" s="61"/>
      <c r="D246" s="61"/>
      <c r="E246" s="54"/>
      <c r="F246" s="54"/>
      <c r="G246" s="54"/>
      <c r="H246" s="5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1"/>
      <c r="C247" s="61"/>
      <c r="D247" s="61"/>
      <c r="E247" s="54"/>
      <c r="F247" s="54"/>
      <c r="G247" s="54"/>
      <c r="H247" s="5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1"/>
      <c r="C248" s="61"/>
      <c r="D248" s="61"/>
      <c r="E248" s="54"/>
      <c r="F248" s="54"/>
      <c r="G248" s="54"/>
      <c r="H248" s="5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1"/>
      <c r="C249" s="61"/>
      <c r="D249" s="61"/>
      <c r="E249" s="54"/>
      <c r="F249" s="54"/>
      <c r="G249" s="54"/>
      <c r="H249" s="5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1"/>
      <c r="C250" s="61"/>
      <c r="D250" s="61"/>
      <c r="E250" s="54"/>
      <c r="F250" s="54"/>
      <c r="G250" s="54"/>
      <c r="H250" s="5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3"/>
      <c r="B251" s="53"/>
      <c r="C251" s="53"/>
      <c r="D251" s="53"/>
      <c r="E251" s="54"/>
      <c r="F251" s="54"/>
      <c r="G251" s="54"/>
      <c r="H251" s="5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3"/>
      <c r="B252" s="53"/>
      <c r="C252" s="53"/>
      <c r="D252" s="53"/>
      <c r="E252" s="54"/>
      <c r="F252" s="54"/>
      <c r="G252" s="54"/>
      <c r="H252" s="5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1"/>
      <c r="B257" s="61"/>
      <c r="C257" s="91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6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2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9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1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1"/>
      <c r="C270" s="61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1"/>
      <c r="C271" s="61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1"/>
      <c r="C272" s="61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1"/>
      <c r="C273" s="61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1"/>
      <c r="C274" s="61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1"/>
      <c r="C275" s="61"/>
      <c r="D275" s="61"/>
      <c r="E275" s="54"/>
      <c r="F275" s="54"/>
      <c r="G275" s="54"/>
      <c r="H275" s="5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1"/>
      <c r="C276" s="61"/>
      <c r="D276" s="61"/>
      <c r="E276" s="54"/>
      <c r="F276" s="54"/>
      <c r="G276" s="54"/>
      <c r="H276" s="5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280"/>
      <c r="B277" s="61"/>
      <c r="C277" s="61"/>
      <c r="D277" s="61"/>
      <c r="E277" s="54"/>
      <c r="F277" s="54"/>
      <c r="G277" s="54"/>
      <c r="H277" s="5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280"/>
      <c r="B278" s="61"/>
      <c r="C278" s="61"/>
      <c r="D278" s="61"/>
      <c r="E278" s="54"/>
      <c r="F278" s="54"/>
      <c r="G278" s="54"/>
      <c r="H278" s="5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280"/>
      <c r="B279" s="61"/>
      <c r="C279" s="61"/>
      <c r="D279" s="61"/>
      <c r="E279" s="54"/>
      <c r="F279" s="54"/>
      <c r="G279" s="54"/>
      <c r="H279" s="5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280"/>
      <c r="B280" s="61"/>
      <c r="C280" s="61"/>
      <c r="D280" s="61"/>
      <c r="E280" s="54"/>
      <c r="F280" s="54"/>
      <c r="G280" s="54"/>
      <c r="H280" s="5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280"/>
      <c r="B281" s="61"/>
      <c r="C281" s="61"/>
      <c r="D281" s="61"/>
      <c r="E281" s="54"/>
      <c r="F281" s="54"/>
      <c r="G281" s="54"/>
      <c r="H281" s="5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280"/>
      <c r="B282" s="61"/>
      <c r="C282" s="61"/>
      <c r="D282" s="61"/>
      <c r="E282" s="54"/>
      <c r="F282" s="54"/>
      <c r="G282" s="54"/>
      <c r="H282" s="54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280"/>
      <c r="B283" s="61"/>
      <c r="C283" s="61"/>
      <c r="D283" s="61"/>
      <c r="E283" s="54"/>
      <c r="F283" s="54"/>
      <c r="G283" s="54"/>
      <c r="H283" s="54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280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280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280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280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280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280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3"/>
      <c r="K1" s="103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4" t="s">
        <v>296</v>
      </c>
      <c r="C5" s="104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4"/>
      <c r="C6" s="234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5"/>
      <c r="B7" s="29" t="s">
        <v>295</v>
      </c>
      <c r="C7" s="106" t="s">
        <v>214</v>
      </c>
      <c r="D7" s="232"/>
      <c r="E7" s="107"/>
      <c r="F7" s="29" t="s">
        <v>295</v>
      </c>
      <c r="G7" s="106" t="s">
        <v>215</v>
      </c>
      <c r="H7" s="233"/>
      <c r="I7" s="233"/>
      <c r="J7" s="233"/>
      <c r="K7" s="233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</row>
    <row r="8" spans="1:38" ht="17.25" customHeight="1" x14ac:dyDescent="0.3">
      <c r="A8" s="111">
        <v>1</v>
      </c>
      <c r="B8" s="62">
        <v>0</v>
      </c>
      <c r="C8" s="52" t="s">
        <v>177</v>
      </c>
      <c r="D8" s="25"/>
      <c r="E8" s="111">
        <v>4</v>
      </c>
      <c r="F8" s="62">
        <v>1</v>
      </c>
      <c r="G8" s="108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1">
        <v>2</v>
      </c>
      <c r="B9" s="62">
        <v>0</v>
      </c>
      <c r="C9" s="114" t="s">
        <v>216</v>
      </c>
      <c r="D9" s="25"/>
      <c r="E9" s="111">
        <v>5</v>
      </c>
      <c r="F9" s="62">
        <v>0</v>
      </c>
      <c r="G9" s="109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1">
        <v>3</v>
      </c>
      <c r="B10" s="62">
        <v>0</v>
      </c>
      <c r="C10" s="115" t="s">
        <v>217</v>
      </c>
      <c r="D10" s="25"/>
      <c r="E10" s="5"/>
      <c r="F10" s="112">
        <f>SUM(F7:F9)</f>
        <v>1</v>
      </c>
      <c r="G10" s="110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2">
        <v>0</v>
      </c>
      <c r="C11" s="110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3"/>
      <c r="B13" s="113"/>
      <c r="C13" s="104" t="s">
        <v>273</v>
      </c>
      <c r="D13" s="233"/>
      <c r="E13" s="105"/>
      <c r="F13" s="113"/>
      <c r="G13" s="104" t="s">
        <v>301</v>
      </c>
      <c r="H13" s="233"/>
      <c r="I13" s="233"/>
      <c r="J13" s="233"/>
      <c r="K13" s="233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</row>
    <row r="14" spans="1:38" s="4" customFormat="1" ht="21" customHeight="1" x14ac:dyDescent="0.3">
      <c r="A14" s="233"/>
      <c r="B14" s="113"/>
      <c r="C14" s="104" t="s">
        <v>309</v>
      </c>
      <c r="D14" s="233"/>
      <c r="E14" s="105"/>
      <c r="F14" s="113"/>
      <c r="G14" s="104" t="s">
        <v>294</v>
      </c>
      <c r="H14" s="233"/>
      <c r="I14" s="233"/>
      <c r="J14" s="233"/>
      <c r="K14" s="233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0</v>
      </c>
      <c r="C16" s="116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0</v>
      </c>
      <c r="C17" s="116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6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2">
        <f>SUM(B16:B18)</f>
        <v>0</v>
      </c>
      <c r="C19" s="110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6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6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9" bestFit="1" customWidth="1"/>
    <col min="2" max="4" width="11.44140625" style="69"/>
    <col min="5" max="5" width="9.5546875" style="69" customWidth="1"/>
    <col min="6" max="7" width="11.44140625" style="69"/>
    <col min="8" max="8" width="10.6640625" style="69" customWidth="1"/>
    <col min="9" max="9" width="9.44140625" style="69" customWidth="1"/>
    <col min="10" max="11" width="10.5546875" style="69" bestFit="1" customWidth="1"/>
    <col min="12" max="12" width="14" style="69" bestFit="1" customWidth="1"/>
    <col min="13" max="13" width="14" style="69" customWidth="1"/>
    <col min="14" max="23" width="11.44140625" style="69"/>
    <col min="24" max="24" width="11.6640625" style="69" bestFit="1" customWidth="1"/>
    <col min="25" max="25" width="14.5546875" style="69" bestFit="1" customWidth="1"/>
    <col min="26" max="26" width="12.44140625" style="69" bestFit="1" customWidth="1"/>
    <col min="27" max="27" width="9.6640625" style="69" bestFit="1" customWidth="1"/>
    <col min="28" max="28" width="11" style="69" bestFit="1" customWidth="1"/>
    <col min="29" max="29" width="9.44140625" style="69" bestFit="1" customWidth="1"/>
    <col min="30" max="31" width="9.44140625" style="69" customWidth="1"/>
    <col min="32" max="32" width="11.44140625" style="69"/>
    <col min="33" max="34" width="14" style="69" bestFit="1" customWidth="1"/>
    <col min="35" max="35" width="10.5546875" style="69" bestFit="1" customWidth="1"/>
    <col min="36" max="36" width="9.44140625" style="69" bestFit="1" customWidth="1"/>
    <col min="37" max="38" width="10.5546875" style="69" bestFit="1" customWidth="1"/>
    <col min="39" max="41" width="10.5546875" style="69" customWidth="1"/>
    <col min="42" max="42" width="9" style="69" bestFit="1" customWidth="1"/>
    <col min="43" max="43" width="10.5546875" style="69" bestFit="1" customWidth="1"/>
    <col min="44" max="44" width="9.33203125" style="69" bestFit="1" customWidth="1"/>
    <col min="45" max="45" width="11.6640625" style="69" bestFit="1" customWidth="1"/>
    <col min="46" max="46" width="8.44140625" style="69" bestFit="1" customWidth="1"/>
    <col min="47" max="47" width="9.44140625" style="69" bestFit="1" customWidth="1"/>
    <col min="48" max="48" width="9.6640625" style="69" bestFit="1" customWidth="1"/>
    <col min="49" max="49" width="11" style="69" bestFit="1" customWidth="1"/>
    <col min="50" max="50" width="9.44140625" style="69" bestFit="1" customWidth="1"/>
    <col min="51" max="52" width="9.44140625" style="69" customWidth="1"/>
    <col min="53" max="53" width="10.5546875" style="69" bestFit="1" customWidth="1"/>
    <col min="54" max="54" width="14.33203125" style="69" customWidth="1"/>
    <col min="55" max="55" width="14" style="69" customWidth="1"/>
    <col min="56" max="56" width="10.5546875" style="69" bestFit="1" customWidth="1"/>
    <col min="57" max="57" width="9.44140625" style="69" bestFit="1" customWidth="1"/>
    <col min="58" max="59" width="10.5546875" style="69" bestFit="1" customWidth="1"/>
    <col min="60" max="62" width="10.5546875" style="69" customWidth="1"/>
    <col min="63" max="63" width="9" style="69" bestFit="1" customWidth="1"/>
    <col min="64" max="64" width="10.5546875" style="69" bestFit="1" customWidth="1"/>
    <col min="65" max="65" width="9.33203125" style="69" bestFit="1" customWidth="1"/>
    <col min="66" max="66" width="11.6640625" style="69" bestFit="1" customWidth="1"/>
    <col min="67" max="67" width="8.44140625" style="69" bestFit="1" customWidth="1"/>
    <col min="68" max="68" width="9.44140625" style="69" bestFit="1" customWidth="1"/>
    <col min="69" max="69" width="9.6640625" style="69" bestFit="1" customWidth="1"/>
    <col min="70" max="70" width="11" style="69" bestFit="1" customWidth="1"/>
    <col min="71" max="71" width="9.44140625" style="69" bestFit="1" customWidth="1"/>
    <col min="72" max="73" width="9.44140625" style="69" customWidth="1"/>
    <col min="74" max="74" width="10.5546875" style="69" bestFit="1" customWidth="1"/>
    <col min="75" max="75" width="14" style="69" bestFit="1" customWidth="1"/>
    <col min="76" max="76" width="13.88671875" style="69" customWidth="1"/>
    <col min="77" max="77" width="10.5546875" style="69" bestFit="1" customWidth="1"/>
    <col min="78" max="78" width="9.44140625" style="69" bestFit="1" customWidth="1"/>
    <col min="79" max="80" width="10.5546875" style="69" bestFit="1" customWidth="1"/>
    <col min="81" max="83" width="10.5546875" style="69" customWidth="1"/>
    <col min="84" max="84" width="11.44140625" style="69"/>
    <col min="85" max="85" width="10.5546875" style="69" bestFit="1" customWidth="1"/>
    <col min="86" max="86" width="9.33203125" style="69" bestFit="1" customWidth="1"/>
    <col min="87" max="87" width="11.6640625" style="69" bestFit="1" customWidth="1"/>
    <col min="88" max="88" width="8.44140625" style="69" bestFit="1" customWidth="1"/>
    <col min="89" max="89" width="9.44140625" style="69" bestFit="1" customWidth="1"/>
    <col min="90" max="90" width="9.6640625" style="69" bestFit="1" customWidth="1"/>
    <col min="91" max="91" width="11" style="69" bestFit="1" customWidth="1"/>
    <col min="92" max="92" width="9.44140625" style="69" bestFit="1" customWidth="1"/>
    <col min="93" max="94" width="9.44140625" style="69" customWidth="1"/>
    <col min="95" max="95" width="11.44140625" style="69"/>
    <col min="96" max="97" width="14" style="69" customWidth="1"/>
    <col min="98" max="98" width="10.5546875" style="69" bestFit="1" customWidth="1"/>
    <col min="99" max="99" width="9.44140625" style="69" bestFit="1" customWidth="1"/>
    <col min="100" max="101" width="10.5546875" style="69" bestFit="1" customWidth="1"/>
    <col min="102" max="104" width="10.5546875" style="69" customWidth="1"/>
    <col min="105" max="105" width="9" style="69" bestFit="1" customWidth="1"/>
    <col min="106" max="106" width="10.5546875" style="69" bestFit="1" customWidth="1"/>
    <col min="107" max="107" width="9.33203125" style="69" bestFit="1" customWidth="1"/>
    <col min="108" max="108" width="11.6640625" style="69" bestFit="1" customWidth="1"/>
    <col min="109" max="109" width="8.44140625" style="69" bestFit="1" customWidth="1"/>
    <col min="110" max="110" width="9.44140625" style="69" bestFit="1" customWidth="1"/>
    <col min="111" max="111" width="9.6640625" style="69" bestFit="1" customWidth="1"/>
    <col min="112" max="112" width="11" style="69" bestFit="1" customWidth="1"/>
    <col min="113" max="113" width="9.44140625" style="69" bestFit="1" customWidth="1"/>
    <col min="114" max="115" width="9.44140625" style="69" customWidth="1"/>
    <col min="116" max="116" width="10.5546875" style="69" bestFit="1" customWidth="1"/>
    <col min="117" max="117" width="14.33203125" style="69" customWidth="1"/>
    <col min="118" max="118" width="14" style="69" bestFit="1" customWidth="1"/>
    <col min="119" max="119" width="10.5546875" style="69" bestFit="1" customWidth="1"/>
    <col min="120" max="120" width="9.44140625" style="69" bestFit="1" customWidth="1"/>
    <col min="121" max="122" width="10.5546875" style="69" bestFit="1" customWidth="1"/>
    <col min="123" max="125" width="10.5546875" style="69" customWidth="1"/>
    <col min="126" max="126" width="9" style="69" bestFit="1" customWidth="1"/>
    <col min="127" max="127" width="10.5546875" style="69" bestFit="1" customWidth="1"/>
    <col min="128" max="128" width="9.33203125" style="69" bestFit="1" customWidth="1"/>
    <col min="129" max="129" width="11.6640625" style="69" bestFit="1" customWidth="1"/>
    <col min="130" max="130" width="8.44140625" style="69" bestFit="1" customWidth="1"/>
    <col min="131" max="131" width="9.44140625" style="69" bestFit="1" customWidth="1"/>
    <col min="132" max="132" width="9.6640625" style="69" bestFit="1" customWidth="1"/>
    <col min="133" max="133" width="11" style="69" bestFit="1" customWidth="1"/>
    <col min="134" max="134" width="9.44140625" style="69" bestFit="1" customWidth="1"/>
    <col min="135" max="136" width="9.44140625" style="69" customWidth="1"/>
    <col min="137" max="137" width="10.5546875" style="69" bestFit="1" customWidth="1"/>
    <col min="138" max="139" width="14" style="69" customWidth="1"/>
    <col min="140" max="140" width="10.5546875" style="69" bestFit="1" customWidth="1"/>
    <col min="141" max="141" width="9.44140625" style="69" bestFit="1" customWidth="1"/>
    <col min="142" max="143" width="10.5546875" style="69" bestFit="1" customWidth="1"/>
    <col min="144" max="146" width="10.5546875" style="69" customWidth="1"/>
    <col min="147" max="147" width="9" style="69" bestFit="1" customWidth="1"/>
    <col min="148" max="148" width="10.5546875" style="69" bestFit="1" customWidth="1"/>
    <col min="149" max="149" width="9.33203125" style="69" bestFit="1" customWidth="1"/>
    <col min="150" max="150" width="11.6640625" style="69" bestFit="1" customWidth="1"/>
    <col min="151" max="151" width="8.44140625" style="69" bestFit="1" customWidth="1"/>
    <col min="152" max="152" width="9.44140625" style="69" bestFit="1" customWidth="1"/>
    <col min="153" max="153" width="9.6640625" style="69" bestFit="1" customWidth="1"/>
    <col min="154" max="154" width="11" style="69" bestFit="1" customWidth="1"/>
    <col min="155" max="155" width="9.44140625" style="69" bestFit="1" customWidth="1"/>
    <col min="156" max="157" width="9.44140625" style="69" customWidth="1"/>
    <col min="158" max="158" width="11.44140625" style="69"/>
    <col min="159" max="160" width="14" style="69" bestFit="1" customWidth="1"/>
    <col min="161" max="161" width="10.5546875" style="69" bestFit="1" customWidth="1"/>
    <col min="162" max="162" width="9.44140625" style="69" bestFit="1" customWidth="1"/>
    <col min="163" max="164" width="10.5546875" style="69" bestFit="1" customWidth="1"/>
    <col min="165" max="167" width="10.5546875" style="69" customWidth="1"/>
    <col min="168" max="168" width="9" style="69" bestFit="1" customWidth="1"/>
    <col min="169" max="169" width="10.5546875" style="69" bestFit="1" customWidth="1"/>
    <col min="170" max="170" width="9.33203125" style="69" bestFit="1" customWidth="1"/>
    <col min="171" max="171" width="11.6640625" style="69" bestFit="1" customWidth="1"/>
    <col min="172" max="172" width="8.109375" style="69" bestFit="1" customWidth="1"/>
    <col min="173" max="173" width="9.44140625" style="69" bestFit="1" customWidth="1"/>
    <col min="174" max="174" width="9.6640625" style="69" bestFit="1" customWidth="1"/>
    <col min="175" max="175" width="11" style="69" bestFit="1" customWidth="1"/>
    <col min="176" max="176" width="9.44140625" style="69" bestFit="1" customWidth="1"/>
    <col min="177" max="178" width="9.44140625" style="69" customWidth="1"/>
    <col min="179" max="179" width="10.5546875" style="69" bestFit="1" customWidth="1"/>
    <col min="180" max="181" width="14" style="69" bestFit="1" customWidth="1"/>
    <col min="182" max="182" width="10.5546875" style="69" bestFit="1" customWidth="1"/>
    <col min="183" max="183" width="9.44140625" style="69" bestFit="1" customWidth="1"/>
    <col min="184" max="185" width="10.5546875" style="69" bestFit="1" customWidth="1"/>
    <col min="186" max="188" width="10.5546875" style="69" customWidth="1"/>
    <col min="189" max="189" width="9" style="69" bestFit="1" customWidth="1"/>
    <col min="190" max="190" width="10.5546875" style="69" bestFit="1" customWidth="1"/>
    <col min="191" max="191" width="9.33203125" style="69" bestFit="1" customWidth="1"/>
    <col min="192" max="192" width="11.44140625" style="69"/>
    <col min="193" max="193" width="8.44140625" style="69" bestFit="1" customWidth="1"/>
    <col min="194" max="194" width="9.44140625" style="69" bestFit="1" customWidth="1"/>
    <col min="195" max="195" width="9.6640625" style="69" bestFit="1" customWidth="1"/>
    <col min="196" max="196" width="11" style="69" bestFit="1" customWidth="1"/>
    <col min="197" max="197" width="9.44140625" style="69" bestFit="1" customWidth="1"/>
    <col min="198" max="199" width="9.44140625" style="69" customWidth="1"/>
    <col min="200" max="200" width="10.5546875" style="69" bestFit="1" customWidth="1"/>
    <col min="201" max="201" width="14" style="69" customWidth="1"/>
    <col min="202" max="202" width="14.33203125" style="69" customWidth="1"/>
    <col min="203" max="203" width="10.5546875" style="69" bestFit="1" customWidth="1"/>
    <col min="204" max="204" width="9.44140625" style="69" bestFit="1" customWidth="1"/>
    <col min="205" max="206" width="10.5546875" style="69" bestFit="1" customWidth="1"/>
    <col min="207" max="209" width="10.5546875" style="69" customWidth="1"/>
    <col min="210" max="210" width="9" style="69" bestFit="1" customWidth="1"/>
    <col min="211" max="211" width="10.5546875" style="69" bestFit="1" customWidth="1"/>
    <col min="212" max="212" width="9.33203125" style="69" bestFit="1" customWidth="1"/>
    <col min="213" max="213" width="11.6640625" style="69" bestFit="1" customWidth="1"/>
    <col min="214" max="214" width="8.44140625" style="69" bestFit="1" customWidth="1"/>
    <col min="215" max="215" width="9.44140625" style="69" bestFit="1" customWidth="1"/>
    <col min="216" max="216" width="9.6640625" style="69" bestFit="1" customWidth="1"/>
    <col min="217" max="217" width="11" style="69" bestFit="1" customWidth="1"/>
    <col min="218" max="218" width="9.44140625" style="69" bestFit="1" customWidth="1"/>
    <col min="219" max="16384" width="11.44140625" style="69"/>
  </cols>
  <sheetData>
    <row r="1" spans="1:218" s="5" customFormat="1" ht="26.4" thickBot="1" x14ac:dyDescent="0.55000000000000004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Douglas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Chêne rouge d'Amérique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Erable sycomore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/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/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/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/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/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/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/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58.2" thickBot="1" x14ac:dyDescent="0.35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293.33333333333331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293.33333333333331</v>
      </c>
      <c r="S3" s="60">
        <f ca="1">AVERAGE(OFFSET($R$3,0,0,'Données projet'!$E$9+1,1))-AVERAGE(OFFSET($H$3,0,0,'Données projet'!$E$9+1,1))</f>
        <v>256.47911362806866</v>
      </c>
      <c r="T3" s="60">
        <f>IF('Données projet'!E9&gt;30,$R$33-$H$33,LOOKUP('Données projet'!$E$9,$A$3:$A$203,R3:R203)-LOOKUP('Données projet'!$E$9,$A$3:$A$203,$H$3:$H$203))</f>
        <v>230.93438491511529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293.33333333333331</v>
      </c>
      <c r="AN3" s="60">
        <f ca="1">AVERAGE(OFFSET($AM$3,0,0,'Données projet'!$E$10+1,1))-AVERAGE(OFFSET($H$3,0,0,'Données projet'!$E$10+1,1))</f>
        <v>233.41481265653817</v>
      </c>
      <c r="AO3" s="60">
        <f>IF('Données projet'!E10&gt;30,$AM$33-$H$33,LOOKUP('Données projet'!$E$10,$A$3:$A$203,AM3:AM203)-LOOKUP('Données projet'!$E$10,$A$3:$A$203,$H$3:$H$203))</f>
        <v>300.97465452084055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293.33333333333331</v>
      </c>
      <c r="BI3" s="60">
        <f ca="1">AVERAGE(OFFSET($BH$3,0,0,'Données projet'!$E$11+1,1))-AVERAGE(OFFSET($H$3,0,0,'Données projet'!$E$11+1,1))</f>
        <v>238.47463071449789</v>
      </c>
      <c r="BJ3" s="60">
        <f>IF('Données projet'!E11&gt;30,$BH$33-$H$33,LOOKUP('Données projet'!$E$11,$A$3:$A$203,BH3:BH203)-LOOKUP('Données projet'!$E$11,$A$3:$A$203,$H$3:$H$203))</f>
        <v>270.92950919803718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0" t="e">
        <f>CB3+(BT3+BU3)*44/12</f>
        <v>#N/A</v>
      </c>
      <c r="CD3" s="60" t="e">
        <f ca="1">AVERAGE(OFFSET($CC$3,0,0,'Données projet'!$E$12+1,1))-AVERAGE(OFFSET($H$3,0,0,'Données projet'!$E$12+1,1))</f>
        <v>#N/A</v>
      </c>
      <c r="CE3" s="60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0" t="e">
        <f>CW3+(CO3+CP3)*44/12</f>
        <v>#N/A</v>
      </c>
      <c r="CY3" s="60" t="e">
        <f ca="1">AVERAGE(OFFSET($CX$3,0,0,'Données projet'!$E$13+1,1))-AVERAGE(OFFSET($H$3,0,0,'Données projet'!$E$13+1,1))</f>
        <v>#N/A</v>
      </c>
      <c r="CZ3" s="60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0" t="e">
        <f>DR3+(DJ3+DK3)*44/12</f>
        <v>#N/A</v>
      </c>
      <c r="DT3" s="60" t="e">
        <f ca="1">AVERAGE(OFFSET($DS$3,0,0,'Données projet'!$E$14+1,1))-AVERAGE(OFFSET($H$3,0,0,'Données projet'!$E$14+1,1))</f>
        <v>#N/A</v>
      </c>
      <c r="DU3" s="60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0" t="e">
        <f>EM3+(EE3+EF3)*44/12</f>
        <v>#N/A</v>
      </c>
      <c r="EO3" s="60" t="e">
        <f ca="1">AVERAGE(OFFSET($EN$3,0,0,'Données projet'!$E$15+1,1))-AVERAGE(OFFSET($H$3,0,0,'Données projet'!$E$15+1,1))</f>
        <v>#N/A</v>
      </c>
      <c r="EP3" s="60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8">
        <f t="shared" ref="H4:H67" si="1">(B4+E4+F4)*44/12+(C4+D4)*0.475*44/12</f>
        <v>294.5914728578652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7.7987854251012134</v>
      </c>
      <c r="N4" s="14">
        <f>IF('Données projet'!$A$36&gt;35,N3+M4-V3,IF(A4&lt;'Données projet'!$A$36,$K$205^A4,IF(A4='Données projet'!$A$36,'Données projet'!$B$36,N3+M4-V3)))</f>
        <v>1.3009230512021859</v>
      </c>
      <c r="O4" s="14">
        <f>N4*VLOOKUP('Données projet'!$B$9,Paramètres!$A$1:$I$89,3,0)*VLOOKUP('Données projet'!$B$9,Paramètres!$A$1:$I$89,5,0)</f>
        <v>0.72721598562202194</v>
      </c>
      <c r="P4" s="14">
        <f>EXP(-1.0587+0.8836*LN(O4)+0.284)</f>
        <v>0.3477906162348457</v>
      </c>
      <c r="Q4" s="22">
        <f t="shared" ref="Q4:Q34" si="2">(O4+P4)*0.475*44/12</f>
        <v>1.8723031649007107</v>
      </c>
      <c r="R4" s="60">
        <f t="shared" si="0"/>
        <v>295.20563649823401</v>
      </c>
      <c r="S4" s="60">
        <f ca="1">AVERAGE(OFFSET($R$3,0,0,'Données projet'!$E$9+1,1))-AVERAGE(OFFSET($H$3,0,0,'Données projet'!$E$9+1,1))</f>
        <v>256.47911362806866</v>
      </c>
      <c r="T4" s="60">
        <f>$T$3</f>
        <v>230.93438491511529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5.2</v>
      </c>
      <c r="AI4" s="14">
        <f>IF('Données projet'!$A$62&gt;35,AI3+AH4-AQ3,IF(A4&lt;'Données projet'!$A$62,$AF$205^A4,IF(A4='Données projet'!$A$62,'Données projet'!$B$62,AI3+AH4-AQ3)))</f>
        <v>1.2613966317002558</v>
      </c>
      <c r="AJ4" s="14">
        <f>AI4*VLOOKUP('Données projet'!$B$10,Paramètres!$A$1:$I$89,3,0)*VLOOKUP('Données projet'!$B$10,Paramètres!$A$1:$I$89,5,0)</f>
        <v>1.1019560974533436</v>
      </c>
      <c r="AK4" s="14">
        <f>EXP(-1.0587+0.8836*LN(AJ4)+0.284)</f>
        <v>0.5021210560685857</v>
      </c>
      <c r="AL4" s="22">
        <f t="shared" ref="AL4:AL67" si="4">(AJ4+AK4)*0.475*44/12</f>
        <v>2.7937677090506927</v>
      </c>
      <c r="AM4" s="60">
        <f t="shared" ref="AM4:AM67" si="5">AL4+(AD4+AE4)*44/12</f>
        <v>296.12710104238403</v>
      </c>
      <c r="AN4" s="60">
        <f ca="1">AVERAGE(OFFSET($AM$3,0,0,'Données projet'!$E$10+1,1))-AVERAGE(OFFSET($H$3,0,0,'Données projet'!$E$10+1,1))</f>
        <v>233.41481265653817</v>
      </c>
      <c r="AO4" s="60">
        <f>$AO$3</f>
        <v>300.97465452084055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2.4933333333333332</v>
      </c>
      <c r="BD4" s="13">
        <f>IF('Données projet'!$A$88&gt;35,BD3+BC4-BL3,IF(A4&lt;'Données projet'!$A$88,$BA$205^A4,IF(A4='Données projet'!$A$88,'Données projet'!$B$88,BD3+BC4-BL3)))</f>
        <v>1.2730870686066207</v>
      </c>
      <c r="BE4" s="14">
        <f>BD4*VLOOKUP('Données projet'!$B$11,Paramètres!$A$1:$I$89,3,0)*VLOOKUP('Données projet'!$B$11,Paramètres!$A$1:$I$89,5,0)</f>
        <v>1.0128680717834275</v>
      </c>
      <c r="BF4" s="14">
        <f>EXP(-1.0587+0.8836*LN(BE4)+0.284)</f>
        <v>0.46607798613582108</v>
      </c>
      <c r="BG4" s="22">
        <f t="shared" ref="BG4:BG67" si="7">(BE4+BF4)*0.475*44/12</f>
        <v>2.5758310508760247</v>
      </c>
      <c r="BH4" s="60">
        <f t="shared" ref="BH4:BH67" si="8">BG4+(AY4+AZ4)*44/12</f>
        <v>295.90916438420936</v>
      </c>
      <c r="BI4" s="60">
        <f ca="1">AVERAGE(OFFSET($BH$3,0,0,'Données projet'!$E$11+1,1))-AVERAGE(OFFSET($H$3,0,0,'Données projet'!$E$11+1,1))</f>
        <v>238.47463071449789</v>
      </c>
      <c r="BJ4" s="60">
        <f>$BJ$3</f>
        <v>270.92950919803718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0" t="e">
        <f t="shared" ref="CC4:CC67" si="11">CB4+(BT4+BU4)*44/12</f>
        <v>#N/A</v>
      </c>
      <c r="CD4" s="60" t="e">
        <f ca="1">AVERAGE(OFFSET($CC$3,0,0,'Données projet'!$E$12+1,1))-AVERAGE(OFFSET($H$3,0,0,'Données projet'!$E$12+1,1))</f>
        <v>#N/A</v>
      </c>
      <c r="CE4" s="60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0" t="e">
        <f t="shared" ref="CX4:CX67" si="14">CW4+(CO4+CP4)*44/12</f>
        <v>#N/A</v>
      </c>
      <c r="CY4" s="60" t="e">
        <f ca="1">AVERAGE(OFFSET($CX$3,0,0,'Données projet'!$E$13+1,1))-AVERAGE(OFFSET($H$3,0,0,'Données projet'!$E$13+1,1))</f>
        <v>#N/A</v>
      </c>
      <c r="CZ4" s="60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0" t="e">
        <f t="shared" ref="DS4:DS67" si="17">DR4+(DJ4+DK4)*44/12</f>
        <v>#N/A</v>
      </c>
      <c r="DT4" s="60" t="e">
        <f ca="1">AVERAGE(OFFSET($DS$3,0,0,'Données projet'!$E$14+1,1))-AVERAGE(OFFSET($H$3,0,0,'Données projet'!$E$14+1,1))</f>
        <v>#N/A</v>
      </c>
      <c r="DU4" s="60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0" t="e">
        <f t="shared" ref="EN4:EN67" si="20">EM4+(EE4+EF4)*44/12</f>
        <v>#N/A</v>
      </c>
      <c r="EO4" s="60" t="e">
        <f ca="1">AVERAGE(OFFSET($EN$3,0,0,'Données projet'!$E$15+1,1))-AVERAGE(OFFSET($H$3,0,0,'Données projet'!$E$15+1,1))</f>
        <v>#N/A</v>
      </c>
      <c r="EP4" s="60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8">
        <f t="shared" si="1"/>
        <v>295.78443952307919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7.7987854251012134</v>
      </c>
      <c r="N5" s="14">
        <f>IF('Données projet'!$A$36&gt;35,N4+M5-V4,IF(A5&lt;'Données projet'!$A$36,$K$205^A5,IF(A5='Données projet'!$A$36,'Données projet'!$B$36,N4+M5-V4)))</f>
        <v>1.6924007851492051</v>
      </c>
      <c r="O5" s="14">
        <f>N5*VLOOKUP('Données projet'!$B$9,Paramètres!$A$1:$I$89,3,0)*VLOOKUP('Données projet'!$B$9,Paramètres!$A$1:$I$89,5,0)</f>
        <v>0.94605203889840572</v>
      </c>
      <c r="P5" s="14">
        <f t="shared" ref="P5:P68" si="33">EXP(-1.0587+0.8836*LN(O5)+0.284)</f>
        <v>0.43880400409515918</v>
      </c>
      <c r="Q5" s="22">
        <f t="shared" si="2"/>
        <v>2.4119576082137919</v>
      </c>
      <c r="R5" s="60">
        <f t="shared" si="0"/>
        <v>295.74529094154713</v>
      </c>
      <c r="S5" s="60">
        <f ca="1">AVERAGE(OFFSET($R$3,0,0,'Données projet'!$E$9+1,1))-AVERAGE(OFFSET($H$3,0,0,'Données projet'!$E$9+1,1))</f>
        <v>256.47911362806866</v>
      </c>
      <c r="T5" s="60">
        <f t="shared" ref="T5:T68" si="34">$T$3</f>
        <v>230.93438491511529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5.2</v>
      </c>
      <c r="AI5" s="14">
        <f>IF('Données projet'!$A$62&gt;35,AI4+AH5-AQ4,IF(A5&lt;'Données projet'!$A$62,$AF$205^A5,IF(A5='Données projet'!$A$62,'Données projet'!$B$62,AI4+AH5-AQ4)))</f>
        <v>1.5911214624647509</v>
      </c>
      <c r="AJ5" s="14">
        <f>AI5*VLOOKUP('Données projet'!$B$10,Paramètres!$A$1:$I$89,3,0)*VLOOKUP('Données projet'!$B$10,Paramètres!$A$1:$I$89,5,0)</f>
        <v>1.3900037096092066</v>
      </c>
      <c r="AK5" s="14">
        <f t="shared" ref="AK5:AK68" si="35">EXP(-1.0587+0.8836*LN(AJ5)+0.284)</f>
        <v>0.61648280327257376</v>
      </c>
      <c r="AL5" s="22">
        <f t="shared" si="4"/>
        <v>3.494630676602434</v>
      </c>
      <c r="AM5" s="60">
        <f t="shared" si="5"/>
        <v>296.82796400993573</v>
      </c>
      <c r="AN5" s="60">
        <f ca="1">AVERAGE(OFFSET($AM$3,0,0,'Données projet'!$E$10+1,1))-AVERAGE(OFFSET($H$3,0,0,'Données projet'!$E$10+1,1))</f>
        <v>233.41481265653817</v>
      </c>
      <c r="AO5" s="60">
        <f t="shared" ref="AO5:AO68" si="36">$AO$3</f>
        <v>300.97465452084055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2.4933333333333332</v>
      </c>
      <c r="BD5" s="13">
        <f>IF('Données projet'!$A$88&gt;35,BD4+BC5-BL4,IF(A5&lt;'Données projet'!$A$88,$BA$205^A5,IF(A5='Données projet'!$A$88,'Données projet'!$B$88,BD4+BC5-BL4)))</f>
        <v>1.6207506842533985</v>
      </c>
      <c r="BE5" s="14">
        <f>BD5*VLOOKUP('Données projet'!$B$11,Paramètres!$A$1:$I$89,3,0)*VLOOKUP('Données projet'!$B$11,Paramètres!$A$1:$I$89,5,0)</f>
        <v>1.2894692443920039</v>
      </c>
      <c r="BF5" s="14">
        <f t="shared" ref="BF5:BF68" si="37">EXP(-1.0587+0.8836*LN(BE5)+0.284)</f>
        <v>0.57691418040252707</v>
      </c>
      <c r="BG5" s="22">
        <f t="shared" si="7"/>
        <v>3.2506177981838085</v>
      </c>
      <c r="BH5" s="60">
        <f t="shared" si="8"/>
        <v>296.5839511315171</v>
      </c>
      <c r="BI5" s="60">
        <f ca="1">AVERAGE(OFFSET($BH$3,0,0,'Données projet'!$E$11+1,1))-AVERAGE(OFFSET($H$3,0,0,'Données projet'!$E$11+1,1))</f>
        <v>238.47463071449789</v>
      </c>
      <c r="BJ5" s="60">
        <f t="shared" ref="BJ5:BJ68" si="38">$BJ$3</f>
        <v>270.92950919803718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0" t="e">
        <f t="shared" si="11"/>
        <v>#N/A</v>
      </c>
      <c r="CD5" s="60" t="e">
        <f ca="1">AVERAGE(OFFSET($CC$3,0,0,'Données projet'!$E$12+1,1))-AVERAGE(OFFSET($H$3,0,0,'Données projet'!$E$12+1,1))</f>
        <v>#N/A</v>
      </c>
      <c r="CE5" s="60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0" t="e">
        <f t="shared" si="14"/>
        <v>#N/A</v>
      </c>
      <c r="CY5" s="60" t="e">
        <f ca="1">AVERAGE(OFFSET($CX$3,0,0,'Données projet'!$E$13+1,1))-AVERAGE(OFFSET($H$3,0,0,'Données projet'!$E$13+1,1))</f>
        <v>#N/A</v>
      </c>
      <c r="CZ5" s="60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0" t="e">
        <f t="shared" si="17"/>
        <v>#N/A</v>
      </c>
      <c r="DT5" s="60" t="e">
        <f ca="1">AVERAGE(OFFSET($DS$3,0,0,'Données projet'!$E$14+1,1))-AVERAGE(OFFSET($H$3,0,0,'Données projet'!$E$14+1,1))</f>
        <v>#N/A</v>
      </c>
      <c r="DU5" s="60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0" t="e">
        <f t="shared" si="20"/>
        <v>#N/A</v>
      </c>
      <c r="EO5" s="60" t="e">
        <f ca="1">AVERAGE(OFFSET($EN$3,0,0,'Données projet'!$E$15+1,1))-AVERAGE(OFFSET($H$3,0,0,'Données projet'!$E$15+1,1))</f>
        <v>#N/A</v>
      </c>
      <c r="EP5" s="60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8">
        <f t="shared" si="1"/>
        <v>296.95635862620634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7.7987854251012134</v>
      </c>
      <c r="N6" s="14">
        <f>IF('Données projet'!$A$36&gt;35,N5+M6-V5,IF(A6&lt;'Données projet'!$A$36,$K$205^A6,IF(A6='Données projet'!$A$36,'Données projet'!$B$36,N5+M6-V5)))</f>
        <v>2.2016831932732788</v>
      </c>
      <c r="O6" s="14">
        <f>N6*VLOOKUP('Données projet'!$B$9,Paramètres!$A$1:$I$89,3,0)*VLOOKUP('Données projet'!$B$9,Paramètres!$A$1:$I$89,5,0)</f>
        <v>1.2307409050397629</v>
      </c>
      <c r="P6" s="14">
        <f t="shared" si="33"/>
        <v>0.55363470151801264</v>
      </c>
      <c r="Q6" s="22">
        <f t="shared" si="2"/>
        <v>3.1077875147547922</v>
      </c>
      <c r="R6" s="60">
        <f t="shared" si="0"/>
        <v>296.44112084808813</v>
      </c>
      <c r="S6" s="60">
        <f ca="1">AVERAGE(OFFSET($R$3,0,0,'Données projet'!$E$9+1,1))-AVERAGE(OFFSET($H$3,0,0,'Données projet'!$E$9+1,1))</f>
        <v>256.47911362806866</v>
      </c>
      <c r="T6" s="60">
        <f t="shared" si="34"/>
        <v>230.93438491511529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5.2</v>
      </c>
      <c r="AI6" s="14">
        <f>IF('Données projet'!$A$62&gt;35,AI5+AH6-AQ5,IF(A6&lt;'Données projet'!$A$62,$AF$205^A6,IF(A6='Données projet'!$A$62,'Données projet'!$B$62,AI5+AH6-AQ5)))</f>
        <v>2.0070352533790219</v>
      </c>
      <c r="AJ6" s="14">
        <f>AI6*VLOOKUP('Données projet'!$B$10,Paramètres!$A$1:$I$89,3,0)*VLOOKUP('Données projet'!$B$10,Paramètres!$A$1:$I$89,5,0)</f>
        <v>1.7533459973519137</v>
      </c>
      <c r="AK6" s="14">
        <f t="shared" si="35"/>
        <v>0.75689127579405635</v>
      </c>
      <c r="AL6" s="22">
        <f t="shared" si="4"/>
        <v>4.3719965840625639</v>
      </c>
      <c r="AM6" s="60">
        <f t="shared" si="5"/>
        <v>297.70532991739589</v>
      </c>
      <c r="AN6" s="60">
        <f ca="1">AVERAGE(OFFSET($AM$3,0,0,'Données projet'!$E$10+1,1))-AVERAGE(OFFSET($H$3,0,0,'Données projet'!$E$10+1,1))</f>
        <v>233.41481265653817</v>
      </c>
      <c r="AO6" s="60">
        <f t="shared" si="36"/>
        <v>300.97465452084055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2.4933333333333332</v>
      </c>
      <c r="BD6" s="13">
        <f>IF('Données projet'!$A$88&gt;35,BD5+BC6-BL5,IF(A6&lt;'Données projet'!$A$88,$BA$205^A6,IF(A6='Données projet'!$A$88,'Données projet'!$B$88,BD5+BC6-BL5)))</f>
        <v>2.0633567375583337</v>
      </c>
      <c r="BE6" s="14">
        <f>BD6*VLOOKUP('Données projet'!$B$11,Paramètres!$A$1:$I$89,3,0)*VLOOKUP('Données projet'!$B$11,Paramètres!$A$1:$I$89,5,0)</f>
        <v>1.6416066204014104</v>
      </c>
      <c r="BF6" s="14">
        <f t="shared" si="37"/>
        <v>0.71410789921437878</v>
      </c>
      <c r="BG6" s="22">
        <f t="shared" si="7"/>
        <v>4.1028694549974993</v>
      </c>
      <c r="BH6" s="60">
        <f t="shared" si="8"/>
        <v>297.43620278833083</v>
      </c>
      <c r="BI6" s="60">
        <f ca="1">AVERAGE(OFFSET($BH$3,0,0,'Données projet'!$E$11+1,1))-AVERAGE(OFFSET($H$3,0,0,'Données projet'!$E$11+1,1))</f>
        <v>238.47463071449789</v>
      </c>
      <c r="BJ6" s="60">
        <f t="shared" si="38"/>
        <v>270.92950919803718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0" t="e">
        <f t="shared" si="11"/>
        <v>#N/A</v>
      </c>
      <c r="CD6" s="60" t="e">
        <f ca="1">AVERAGE(OFFSET($CC$3,0,0,'Données projet'!$E$12+1,1))-AVERAGE(OFFSET($H$3,0,0,'Données projet'!$E$12+1,1))</f>
        <v>#N/A</v>
      </c>
      <c r="CE6" s="60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0" t="e">
        <f t="shared" si="14"/>
        <v>#N/A</v>
      </c>
      <c r="CY6" s="60" t="e">
        <f ca="1">AVERAGE(OFFSET($CX$3,0,0,'Données projet'!$E$13+1,1))-AVERAGE(OFFSET($H$3,0,0,'Données projet'!$E$13+1,1))</f>
        <v>#N/A</v>
      </c>
      <c r="CZ6" s="60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0" t="e">
        <f t="shared" si="17"/>
        <v>#N/A</v>
      </c>
      <c r="DT6" s="60" t="e">
        <f ca="1">AVERAGE(OFFSET($DS$3,0,0,'Données projet'!$E$14+1,1))-AVERAGE(OFFSET($H$3,0,0,'Données projet'!$E$14+1,1))</f>
        <v>#N/A</v>
      </c>
      <c r="DU6" s="60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0" t="e">
        <f t="shared" si="20"/>
        <v>#N/A</v>
      </c>
      <c r="EO6" s="60" t="e">
        <f ca="1">AVERAGE(OFFSET($EN$3,0,0,'Données projet'!$E$15+1,1))-AVERAGE(OFFSET($H$3,0,0,'Données projet'!$E$15+1,1))</f>
        <v>#N/A</v>
      </c>
      <c r="EP6" s="60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8">
        <f t="shared" si="1"/>
        <v>298.11530352234041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7.7987854251012134</v>
      </c>
      <c r="N7" s="14">
        <f>IF('Données projet'!$A$36&gt;35,N6+M7-V6,IF(A7&lt;'Données projet'!$A$36,$K$205^A7,IF(A7='Données projet'!$A$36,'Données projet'!$B$36,N6+M7-V6)))</f>
        <v>2.8642204175736459</v>
      </c>
      <c r="O7" s="14">
        <f>N7*VLOOKUP('Données projet'!$B$9,Paramètres!$A$1:$I$89,3,0)*VLOOKUP('Données projet'!$B$9,Paramètres!$A$1:$I$89,5,0)</f>
        <v>1.6010992134236679</v>
      </c>
      <c r="P7" s="14">
        <f t="shared" si="33"/>
        <v>0.69851546445430523</v>
      </c>
      <c r="Q7" s="22">
        <f t="shared" si="2"/>
        <v>4.0051622306374703</v>
      </c>
      <c r="R7" s="60">
        <f t="shared" si="0"/>
        <v>297.33849556397081</v>
      </c>
      <c r="S7" s="60">
        <f ca="1">AVERAGE(OFFSET($R$3,0,0,'Données projet'!$E$9+1,1))-AVERAGE(OFFSET($H$3,0,0,'Données projet'!$E$9+1,1))</f>
        <v>256.47911362806866</v>
      </c>
      <c r="T7" s="60">
        <f t="shared" si="34"/>
        <v>230.93438491511529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5.2</v>
      </c>
      <c r="AI7" s="14">
        <f>IF('Données projet'!$A$62&gt;35,AI6+AH7-AQ6,IF(A7&lt;'Données projet'!$A$62,$AF$205^A7,IF(A7='Données projet'!$A$62,'Données projet'!$B$62,AI6+AH7-AQ6)))</f>
        <v>2.5316675083159677</v>
      </c>
      <c r="AJ7" s="14">
        <f>AI7*VLOOKUP('Données projet'!$B$10,Paramètres!$A$1:$I$89,3,0)*VLOOKUP('Données projet'!$B$10,Paramètres!$A$1:$I$89,5,0)</f>
        <v>2.2116647352648298</v>
      </c>
      <c r="AK7" s="14">
        <f t="shared" si="35"/>
        <v>0.92927880604620439</v>
      </c>
      <c r="AL7" s="22">
        <f t="shared" si="4"/>
        <v>5.4704766677833838</v>
      </c>
      <c r="AM7" s="60">
        <f t="shared" si="5"/>
        <v>298.80381000111669</v>
      </c>
      <c r="AN7" s="60">
        <f ca="1">AVERAGE(OFFSET($AM$3,0,0,'Données projet'!$E$10+1,1))-AVERAGE(OFFSET($H$3,0,0,'Données projet'!$E$10+1,1))</f>
        <v>233.41481265653817</v>
      </c>
      <c r="AO7" s="60">
        <f t="shared" si="36"/>
        <v>300.97465452084055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2.4933333333333332</v>
      </c>
      <c r="BD7" s="13">
        <f>IF('Données projet'!$A$88&gt;35,BD6+BC7-BL6,IF(A7&lt;'Données projet'!$A$88,$BA$205^A7,IF(A7='Données projet'!$A$88,'Données projet'!$B$88,BD6+BC7-BL6)))</f>
        <v>2.6268327805078595</v>
      </c>
      <c r="BE7" s="14">
        <f>BD7*VLOOKUP('Données projet'!$B$11,Paramètres!$A$1:$I$89,3,0)*VLOOKUP('Données projet'!$B$11,Paramètres!$A$1:$I$89,5,0)</f>
        <v>2.0899081601720533</v>
      </c>
      <c r="BF7" s="14">
        <f t="shared" si="37"/>
        <v>0.88392712303339283</v>
      </c>
      <c r="BG7" s="22">
        <f t="shared" si="7"/>
        <v>5.1794297849161515</v>
      </c>
      <c r="BH7" s="60">
        <f t="shared" si="8"/>
        <v>298.51276311824944</v>
      </c>
      <c r="BI7" s="60">
        <f ca="1">AVERAGE(OFFSET($BH$3,0,0,'Données projet'!$E$11+1,1))-AVERAGE(OFFSET($H$3,0,0,'Données projet'!$E$11+1,1))</f>
        <v>238.47463071449789</v>
      </c>
      <c r="BJ7" s="60">
        <f t="shared" si="38"/>
        <v>270.92950919803718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0" t="e">
        <f t="shared" si="11"/>
        <v>#N/A</v>
      </c>
      <c r="CD7" s="60" t="e">
        <f ca="1">AVERAGE(OFFSET($CC$3,0,0,'Données projet'!$E$12+1,1))-AVERAGE(OFFSET($H$3,0,0,'Données projet'!$E$12+1,1))</f>
        <v>#N/A</v>
      </c>
      <c r="CE7" s="60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0" t="e">
        <f t="shared" si="14"/>
        <v>#N/A</v>
      </c>
      <c r="CY7" s="60" t="e">
        <f ca="1">AVERAGE(OFFSET($CX$3,0,0,'Données projet'!$E$13+1,1))-AVERAGE(OFFSET($H$3,0,0,'Données projet'!$E$13+1,1))</f>
        <v>#N/A</v>
      </c>
      <c r="CZ7" s="60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0" t="e">
        <f t="shared" si="17"/>
        <v>#N/A</v>
      </c>
      <c r="DT7" s="60" t="e">
        <f ca="1">AVERAGE(OFFSET($DS$3,0,0,'Données projet'!$E$14+1,1))-AVERAGE(OFFSET($H$3,0,0,'Données projet'!$E$14+1,1))</f>
        <v>#N/A</v>
      </c>
      <c r="DU7" s="60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0" t="e">
        <f t="shared" si="20"/>
        <v>#N/A</v>
      </c>
      <c r="EO7" s="60" t="e">
        <f ca="1">AVERAGE(OFFSET($EN$3,0,0,'Données projet'!$E$15+1,1))-AVERAGE(OFFSET($H$3,0,0,'Données projet'!$E$15+1,1))</f>
        <v>#N/A</v>
      </c>
      <c r="EP7" s="60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8">
        <f t="shared" si="1"/>
        <v>299.26493332067207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7.7987854251012134</v>
      </c>
      <c r="N8" s="14">
        <f>IF('Données projet'!$A$36&gt;35,N7+M8-V7,IF(A8&lt;'Données projet'!$A$36,$K$205^A8,IF(A8='Données projet'!$A$36,'Données projet'!$B$36,N7+M8-V7)))</f>
        <v>3.7261303649455062</v>
      </c>
      <c r="O8" s="14">
        <f>N8*VLOOKUP('Données projet'!$B$9,Paramètres!$A$1:$I$89,3,0)*VLOOKUP('Données projet'!$B$9,Paramètres!$A$1:$I$89,5,0)</f>
        <v>2.082906874004538</v>
      </c>
      <c r="P8" s="14">
        <f t="shared" si="33"/>
        <v>0.88131009986182929</v>
      </c>
      <c r="Q8" s="22">
        <f t="shared" si="2"/>
        <v>5.1626778961505897</v>
      </c>
      <c r="R8" s="60">
        <f t="shared" si="0"/>
        <v>298.49601122948388</v>
      </c>
      <c r="S8" s="60">
        <f ca="1">AVERAGE(OFFSET($R$3,0,0,'Données projet'!$E$9+1,1))-AVERAGE(OFFSET($H$3,0,0,'Données projet'!$E$9+1,1))</f>
        <v>256.47911362806866</v>
      </c>
      <c r="T8" s="60">
        <f t="shared" si="34"/>
        <v>230.93438491511529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5.2</v>
      </c>
      <c r="AI8" s="14">
        <f>IF('Données projet'!$A$62&gt;35,AI7+AH8-AQ7,IF(A8&lt;'Données projet'!$A$62,$AF$205^A8,IF(A8='Données projet'!$A$62,'Données projet'!$B$62,AI7+AH8-AQ7)))</f>
        <v>3.1934368675747411</v>
      </c>
      <c r="AJ8" s="14">
        <f>AI8*VLOOKUP('Données projet'!$B$10,Paramètres!$A$1:$I$89,3,0)*VLOOKUP('Données projet'!$B$10,Paramètres!$A$1:$I$89,5,0)</f>
        <v>2.7897864475132943</v>
      </c>
      <c r="AK8" s="14">
        <f t="shared" si="35"/>
        <v>1.1409288585876447</v>
      </c>
      <c r="AL8" s="22">
        <f t="shared" si="4"/>
        <v>6.8459958247924684</v>
      </c>
      <c r="AM8" s="60">
        <f t="shared" si="5"/>
        <v>300.17932915812577</v>
      </c>
      <c r="AN8" s="60">
        <f ca="1">AVERAGE(OFFSET($AM$3,0,0,'Données projet'!$E$10+1,1))-AVERAGE(OFFSET($H$3,0,0,'Données projet'!$E$10+1,1))</f>
        <v>233.41481265653817</v>
      </c>
      <c r="AO8" s="60">
        <f t="shared" si="36"/>
        <v>300.97465452084055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2.4933333333333332</v>
      </c>
      <c r="BD8" s="13">
        <f>IF('Données projet'!$A$88&gt;35,BD7+BC8-BL7,IF(A8&lt;'Données projet'!$A$88,$BA$205^A8,IF(A8='Données projet'!$A$88,'Données projet'!$B$88,BD7+BC8-BL7)))</f>
        <v>3.3441868442565297</v>
      </c>
      <c r="BE8" s="14">
        <f>BD8*VLOOKUP('Données projet'!$B$11,Paramètres!$A$1:$I$89,3,0)*VLOOKUP('Données projet'!$B$11,Paramètres!$A$1:$I$89,5,0)</f>
        <v>2.6606350532904952</v>
      </c>
      <c r="BF8" s="14">
        <f t="shared" si="37"/>
        <v>1.0941303963920053</v>
      </c>
      <c r="BG8" s="22">
        <f t="shared" si="7"/>
        <v>6.5395498248636885</v>
      </c>
      <c r="BH8" s="60">
        <f t="shared" si="8"/>
        <v>299.872883158197</v>
      </c>
      <c r="BI8" s="60">
        <f ca="1">AVERAGE(OFFSET($BH$3,0,0,'Données projet'!$E$11+1,1))-AVERAGE(OFFSET($H$3,0,0,'Données projet'!$E$11+1,1))</f>
        <v>238.47463071449789</v>
      </c>
      <c r="BJ8" s="60">
        <f t="shared" si="38"/>
        <v>270.92950919803718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0" t="e">
        <f t="shared" si="11"/>
        <v>#N/A</v>
      </c>
      <c r="CD8" s="60" t="e">
        <f ca="1">AVERAGE(OFFSET($CC$3,0,0,'Données projet'!$E$12+1,1))-AVERAGE(OFFSET($H$3,0,0,'Données projet'!$E$12+1,1))</f>
        <v>#N/A</v>
      </c>
      <c r="CE8" s="60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0" t="e">
        <f t="shared" si="14"/>
        <v>#N/A</v>
      </c>
      <c r="CY8" s="60" t="e">
        <f ca="1">AVERAGE(OFFSET($CX$3,0,0,'Données projet'!$E$13+1,1))-AVERAGE(OFFSET($H$3,0,0,'Données projet'!$E$13+1,1))</f>
        <v>#N/A</v>
      </c>
      <c r="CZ8" s="60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0" t="e">
        <f t="shared" si="17"/>
        <v>#N/A</v>
      </c>
      <c r="DT8" s="60" t="e">
        <f ca="1">AVERAGE(OFFSET($DS$3,0,0,'Données projet'!$E$14+1,1))-AVERAGE(OFFSET($H$3,0,0,'Données projet'!$E$14+1,1))</f>
        <v>#N/A</v>
      </c>
      <c r="DU8" s="60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0" t="e">
        <f t="shared" si="20"/>
        <v>#N/A</v>
      </c>
      <c r="EO8" s="60" t="e">
        <f ca="1">AVERAGE(OFFSET($EN$3,0,0,'Données projet'!$E$15+1,1))-AVERAGE(OFFSET($H$3,0,0,'Données projet'!$E$15+1,1))</f>
        <v>#N/A</v>
      </c>
      <c r="EP8" s="60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8">
        <f t="shared" si="1"/>
        <v>300.40733532985558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7.7987854251012134</v>
      </c>
      <c r="N9" s="14">
        <f>IF('Données projet'!$A$36&gt;35,N8+M9-V8,IF(A9&lt;'Données projet'!$A$36,$K$205^A9,IF(A9='Données projet'!$A$36,'Données projet'!$B$36,N8+M9-V8)))</f>
        <v>4.8474088835420224</v>
      </c>
      <c r="O9" s="14">
        <f>N9*VLOOKUP('Données projet'!$B$9,Paramètres!$A$1:$I$89,3,0)*VLOOKUP('Données projet'!$B$9,Paramètres!$A$1:$I$89,5,0)</f>
        <v>2.7097015658999908</v>
      </c>
      <c r="P9" s="14">
        <f t="shared" si="33"/>
        <v>1.1119402957316735</v>
      </c>
      <c r="Q9" s="22">
        <f t="shared" si="2"/>
        <v>6.6560262423418139</v>
      </c>
      <c r="R9" s="60">
        <f t="shared" si="0"/>
        <v>299.98935957567511</v>
      </c>
      <c r="S9" s="60">
        <f ca="1">AVERAGE(OFFSET($R$3,0,0,'Données projet'!$E$9+1,1))-AVERAGE(OFFSET($H$3,0,0,'Données projet'!$E$9+1,1))</f>
        <v>256.47911362806866</v>
      </c>
      <c r="T9" s="60">
        <f t="shared" si="34"/>
        <v>230.93438491511529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5.2</v>
      </c>
      <c r="AI9" s="14">
        <f>IF('Données projet'!$A$62&gt;35,AI8+AH9-AQ8,IF(A9&lt;'Données projet'!$A$62,$AF$205^A9,IF(A9='Données projet'!$A$62,'Données projet'!$B$62,AI8+AH9-AQ8)))</f>
        <v>4.0281905083061949</v>
      </c>
      <c r="AJ9" s="14">
        <f>AI9*VLOOKUP('Données projet'!$B$10,Paramètres!$A$1:$I$89,3,0)*VLOOKUP('Données projet'!$B$10,Paramètres!$A$1:$I$89,5,0)</f>
        <v>3.5190272280562924</v>
      </c>
      <c r="AK9" s="14">
        <f t="shared" si="35"/>
        <v>1.4007837603619935</v>
      </c>
      <c r="AL9" s="22">
        <f t="shared" si="4"/>
        <v>8.5686708048285141</v>
      </c>
      <c r="AM9" s="60">
        <f t="shared" si="5"/>
        <v>301.90200413816183</v>
      </c>
      <c r="AN9" s="60">
        <f ca="1">AVERAGE(OFFSET($AM$3,0,0,'Données projet'!$E$10+1,1))-AVERAGE(OFFSET($H$3,0,0,'Données projet'!$E$10+1,1))</f>
        <v>233.41481265653817</v>
      </c>
      <c r="AO9" s="60">
        <f t="shared" si="36"/>
        <v>300.97465452084055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2.4933333333333332</v>
      </c>
      <c r="BD9" s="13">
        <f>IF('Données projet'!$A$88&gt;35,BD8+BC9-BL8,IF(A9&lt;'Données projet'!$A$88,$BA$205^A9,IF(A9='Données projet'!$A$88,'Données projet'!$B$88,BD8+BC9-BL8)))</f>
        <v>4.2574410264273705</v>
      </c>
      <c r="BE9" s="14">
        <f>BD9*VLOOKUP('Données projet'!$B$11,Paramètres!$A$1:$I$89,3,0)*VLOOKUP('Données projet'!$B$11,Paramètres!$A$1:$I$89,5,0)</f>
        <v>3.3872200806256161</v>
      </c>
      <c r="BF9" s="14">
        <f t="shared" si="37"/>
        <v>1.3543212931409303</v>
      </c>
      <c r="BG9" s="22">
        <f t="shared" si="7"/>
        <v>8.2581845593100685</v>
      </c>
      <c r="BH9" s="60">
        <f t="shared" si="8"/>
        <v>301.59151789264337</v>
      </c>
      <c r="BI9" s="60">
        <f ca="1">AVERAGE(OFFSET($BH$3,0,0,'Données projet'!$E$11+1,1))-AVERAGE(OFFSET($H$3,0,0,'Données projet'!$E$11+1,1))</f>
        <v>238.47463071449789</v>
      </c>
      <c r="BJ9" s="60">
        <f t="shared" si="38"/>
        <v>270.92950919803718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0" t="e">
        <f t="shared" si="11"/>
        <v>#N/A</v>
      </c>
      <c r="CD9" s="60" t="e">
        <f ca="1">AVERAGE(OFFSET($CC$3,0,0,'Données projet'!$E$12+1,1))-AVERAGE(OFFSET($H$3,0,0,'Données projet'!$E$12+1,1))</f>
        <v>#N/A</v>
      </c>
      <c r="CE9" s="60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0" t="e">
        <f t="shared" si="14"/>
        <v>#N/A</v>
      </c>
      <c r="CY9" s="60" t="e">
        <f ca="1">AVERAGE(OFFSET($CX$3,0,0,'Données projet'!$E$13+1,1))-AVERAGE(OFFSET($H$3,0,0,'Données projet'!$E$13+1,1))</f>
        <v>#N/A</v>
      </c>
      <c r="CZ9" s="60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0" t="e">
        <f t="shared" si="17"/>
        <v>#N/A</v>
      </c>
      <c r="DT9" s="60" t="e">
        <f ca="1">AVERAGE(OFFSET($DS$3,0,0,'Données projet'!$E$14+1,1))-AVERAGE(OFFSET($H$3,0,0,'Données projet'!$E$14+1,1))</f>
        <v>#N/A</v>
      </c>
      <c r="DU9" s="60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0" t="e">
        <f t="shared" si="20"/>
        <v>#N/A</v>
      </c>
      <c r="EO9" s="60" t="e">
        <f ca="1">AVERAGE(OFFSET($EN$3,0,0,'Données projet'!$E$15+1,1))-AVERAGE(OFFSET($H$3,0,0,'Données projet'!$E$15+1,1))</f>
        <v>#N/A</v>
      </c>
      <c r="EP9" s="60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8">
        <f t="shared" si="1"/>
        <v>301.54385515707349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7.7987854251012134</v>
      </c>
      <c r="N10" s="14">
        <f>IF('Données projet'!$A$36&gt;35,N9+M10-V9,IF(A10&lt;'Données projet'!$A$36,$K$205^A10,IF(A10='Données projet'!$A$36,'Données projet'!$B$36,N9+M10-V9)))</f>
        <v>6.3061059552020682</v>
      </c>
      <c r="O10" s="14">
        <f>N10*VLOOKUP('Données projet'!$B$9,Paramètres!$A$1:$I$89,3,0)*VLOOKUP('Données projet'!$B$9,Paramètres!$A$1:$I$89,5,0)</f>
        <v>3.5251132289579559</v>
      </c>
      <c r="P10" s="14">
        <f t="shared" si="33"/>
        <v>1.4029241483397099</v>
      </c>
      <c r="Q10" s="22">
        <f t="shared" si="2"/>
        <v>8.5829984321267663</v>
      </c>
      <c r="R10" s="60">
        <f t="shared" si="0"/>
        <v>301.91633176546009</v>
      </c>
      <c r="S10" s="60">
        <f ca="1">AVERAGE(OFFSET($R$3,0,0,'Données projet'!$E$9+1,1))-AVERAGE(OFFSET($H$3,0,0,'Données projet'!$E$9+1,1))</f>
        <v>256.47911362806866</v>
      </c>
      <c r="T10" s="60">
        <f t="shared" si="34"/>
        <v>230.93438491511529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5.2</v>
      </c>
      <c r="AI10" s="14">
        <f>IF('Données projet'!$A$62&gt;35,AI9+AH10-AQ9,IF(A10&lt;'Données projet'!$A$62,$AF$205^A10,IF(A10='Données projet'!$A$62,'Données projet'!$B$62,AI9+AH10-AQ9)))</f>
        <v>5.0811459390243749</v>
      </c>
      <c r="AJ10" s="14">
        <f>AI10*VLOOKUP('Données projet'!$B$10,Paramètres!$A$1:$I$89,3,0)*VLOOKUP('Données projet'!$B$10,Paramètres!$A$1:$I$89,5,0)</f>
        <v>4.4388890923316948</v>
      </c>
      <c r="AK10" s="14">
        <f t="shared" si="35"/>
        <v>1.7198225187527358</v>
      </c>
      <c r="AL10" s="22">
        <f t="shared" si="4"/>
        <v>10.726422722638716</v>
      </c>
      <c r="AM10" s="60">
        <f t="shared" si="5"/>
        <v>304.059756055972</v>
      </c>
      <c r="AN10" s="60">
        <f ca="1">AVERAGE(OFFSET($AM$3,0,0,'Données projet'!$E$10+1,1))-AVERAGE(OFFSET($H$3,0,0,'Données projet'!$E$10+1,1))</f>
        <v>233.41481265653817</v>
      </c>
      <c r="AO10" s="60">
        <f t="shared" si="36"/>
        <v>300.97465452084055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2.4933333333333332</v>
      </c>
      <c r="BD10" s="13">
        <f>IF('Données projet'!$A$88&gt;35,BD9+BC10-BL9,IF(A10&lt;'Données projet'!$A$88,$BA$205^A10,IF(A10='Données projet'!$A$88,'Données projet'!$B$88,BD9+BC10-BL9)))</f>
        <v>5.4200931160999835</v>
      </c>
      <c r="BE10" s="14">
        <f>BD10*VLOOKUP('Données projet'!$B$11,Paramètres!$A$1:$I$89,3,0)*VLOOKUP('Données projet'!$B$11,Paramètres!$A$1:$I$89,5,0)</f>
        <v>4.312226083169147</v>
      </c>
      <c r="BF10" s="14">
        <f t="shared" si="37"/>
        <v>1.6763871756998234</v>
      </c>
      <c r="BG10" s="22">
        <f t="shared" si="7"/>
        <v>10.430168092530124</v>
      </c>
      <c r="BH10" s="60">
        <f t="shared" si="8"/>
        <v>303.76350142586341</v>
      </c>
      <c r="BI10" s="60">
        <f ca="1">AVERAGE(OFFSET($BH$3,0,0,'Données projet'!$E$11+1,1))-AVERAGE(OFFSET($H$3,0,0,'Données projet'!$E$11+1,1))</f>
        <v>238.47463071449789</v>
      </c>
      <c r="BJ10" s="60">
        <f t="shared" si="38"/>
        <v>270.92950919803718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0" t="e">
        <f t="shared" si="11"/>
        <v>#N/A</v>
      </c>
      <c r="CD10" s="60" t="e">
        <f ca="1">AVERAGE(OFFSET($CC$3,0,0,'Données projet'!$E$12+1,1))-AVERAGE(OFFSET($H$3,0,0,'Données projet'!$E$12+1,1))</f>
        <v>#N/A</v>
      </c>
      <c r="CE10" s="60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0" t="e">
        <f t="shared" si="14"/>
        <v>#N/A</v>
      </c>
      <c r="CY10" s="60" t="e">
        <f ca="1">AVERAGE(OFFSET($CX$3,0,0,'Données projet'!$E$13+1,1))-AVERAGE(OFFSET($H$3,0,0,'Données projet'!$E$13+1,1))</f>
        <v>#N/A</v>
      </c>
      <c r="CZ10" s="60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0" t="e">
        <f t="shared" si="17"/>
        <v>#N/A</v>
      </c>
      <c r="DT10" s="60" t="e">
        <f ca="1">AVERAGE(OFFSET($DS$3,0,0,'Données projet'!$E$14+1,1))-AVERAGE(OFFSET($H$3,0,0,'Données projet'!$E$14+1,1))</f>
        <v>#N/A</v>
      </c>
      <c r="DU10" s="60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0" t="e">
        <f t="shared" si="20"/>
        <v>#N/A</v>
      </c>
      <c r="EO10" s="60" t="e">
        <f ca="1">AVERAGE(OFFSET($EN$3,0,0,'Données projet'!$E$15+1,1))-AVERAGE(OFFSET($H$3,0,0,'Données projet'!$E$15+1,1))</f>
        <v>#N/A</v>
      </c>
      <c r="EP10" s="60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8">
        <f t="shared" si="1"/>
        <v>302.675430070853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7.7987854251012134</v>
      </c>
      <c r="N11" s="14">
        <f>IF('Données projet'!$A$36&gt;35,N10+M11-V10,IF(A11&lt;'Données projet'!$A$36,$K$205^A11,IF(A11='Données projet'!$A$36,'Données projet'!$B$36,N10+M11-V10)))</f>
        <v>8.2037586004457506</v>
      </c>
      <c r="O11" s="14">
        <f>N11*VLOOKUP('Données projet'!$B$9,Paramètres!$A$1:$I$89,3,0)*VLOOKUP('Données projet'!$B$9,Paramètres!$A$1:$I$89,5,0)</f>
        <v>4.5859010576491741</v>
      </c>
      <c r="P11" s="14">
        <f t="shared" si="33"/>
        <v>1.770055616789747</v>
      </c>
      <c r="Q11" s="22">
        <f t="shared" si="2"/>
        <v>11.069957874647789</v>
      </c>
      <c r="R11" s="60">
        <f t="shared" si="0"/>
        <v>304.40329120798111</v>
      </c>
      <c r="S11" s="60">
        <f ca="1">AVERAGE(OFFSET($R$3,0,0,'Données projet'!$E$9+1,1))-AVERAGE(OFFSET($H$3,0,0,'Données projet'!$E$9+1,1))</f>
        <v>256.47911362806866</v>
      </c>
      <c r="T11" s="60">
        <f t="shared" si="34"/>
        <v>230.93438491511529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5.2</v>
      </c>
      <c r="AI11" s="14">
        <f>IF('Données projet'!$A$62&gt;35,AI10+AH11-AQ10,IF(A11&lt;'Données projet'!$A$62,$AF$205^A11,IF(A11='Données projet'!$A$62,'Données projet'!$B$62,AI10+AH11-AQ10)))</f>
        <v>6.40934037266278</v>
      </c>
      <c r="AJ11" s="14">
        <f>AI11*VLOOKUP('Données projet'!$B$10,Paramètres!$A$1:$I$89,3,0)*VLOOKUP('Données projet'!$B$10,Paramètres!$A$1:$I$89,5,0)</f>
        <v>5.5991997495582053</v>
      </c>
      <c r="AK11" s="14">
        <f t="shared" si="35"/>
        <v>2.1115246904666036</v>
      </c>
      <c r="AL11" s="22">
        <f t="shared" si="4"/>
        <v>13.429511733043208</v>
      </c>
      <c r="AM11" s="60">
        <f t="shared" si="5"/>
        <v>306.76284506637654</v>
      </c>
      <c r="AN11" s="60">
        <f ca="1">AVERAGE(OFFSET($AM$3,0,0,'Données projet'!$E$10+1,1))-AVERAGE(OFFSET($H$3,0,0,'Données projet'!$E$10+1,1))</f>
        <v>233.41481265653817</v>
      </c>
      <c r="AO11" s="60">
        <f t="shared" si="36"/>
        <v>300.97465452084055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2.4933333333333332</v>
      </c>
      <c r="BD11" s="13">
        <f>IF('Données projet'!$A$88&gt;35,BD10+BC11-BL10,IF(A11&lt;'Données projet'!$A$88,$BA$205^A11,IF(A11='Données projet'!$A$88,'Données projet'!$B$88,BD10+BC11-BL10)))</f>
        <v>6.9002504567506522</v>
      </c>
      <c r="BE11" s="14">
        <f>BD11*VLOOKUP('Données projet'!$B$11,Paramètres!$A$1:$I$89,3,0)*VLOOKUP('Données projet'!$B$11,Paramètres!$A$1:$I$89,5,0)</f>
        <v>5.4898392633908193</v>
      </c>
      <c r="BF11" s="14">
        <f t="shared" si="37"/>
        <v>2.0750422939399171</v>
      </c>
      <c r="BG11" s="22">
        <f t="shared" si="7"/>
        <v>13.175502045684366</v>
      </c>
      <c r="BH11" s="60">
        <f t="shared" si="8"/>
        <v>306.50883537901768</v>
      </c>
      <c r="BI11" s="60">
        <f ca="1">AVERAGE(OFFSET($BH$3,0,0,'Données projet'!$E$11+1,1))-AVERAGE(OFFSET($H$3,0,0,'Données projet'!$E$11+1,1))</f>
        <v>238.47463071449789</v>
      </c>
      <c r="BJ11" s="60">
        <f t="shared" si="38"/>
        <v>270.92950919803718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0" t="e">
        <f t="shared" si="11"/>
        <v>#N/A</v>
      </c>
      <c r="CD11" s="60" t="e">
        <f ca="1">AVERAGE(OFFSET($CC$3,0,0,'Données projet'!$E$12+1,1))-AVERAGE(OFFSET($H$3,0,0,'Données projet'!$E$12+1,1))</f>
        <v>#N/A</v>
      </c>
      <c r="CE11" s="60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0" t="e">
        <f t="shared" si="14"/>
        <v>#N/A</v>
      </c>
      <c r="CY11" s="60" t="e">
        <f ca="1">AVERAGE(OFFSET($CX$3,0,0,'Données projet'!$E$13+1,1))-AVERAGE(OFFSET($H$3,0,0,'Données projet'!$E$13+1,1))</f>
        <v>#N/A</v>
      </c>
      <c r="CZ11" s="60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0" t="e">
        <f t="shared" si="17"/>
        <v>#N/A</v>
      </c>
      <c r="DT11" s="60" t="e">
        <f ca="1">AVERAGE(OFFSET($DS$3,0,0,'Données projet'!$E$14+1,1))-AVERAGE(OFFSET($H$3,0,0,'Données projet'!$E$14+1,1))</f>
        <v>#N/A</v>
      </c>
      <c r="DU11" s="60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0" t="e">
        <f t="shared" si="20"/>
        <v>#N/A</v>
      </c>
      <c r="EO11" s="60" t="e">
        <f ca="1">AVERAGE(OFFSET($EN$3,0,0,'Données projet'!$E$15+1,1))-AVERAGE(OFFSET($H$3,0,0,'Données projet'!$E$15+1,1))</f>
        <v>#N/A</v>
      </c>
      <c r="EP11" s="60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8">
        <f t="shared" si="1"/>
        <v>303.80274897548452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7.7987854251012134</v>
      </c>
      <c r="N12" s="14">
        <f>IF('Données projet'!$A$36&gt;35,N11+M12-V11,IF(A12&lt;'Données projet'!$A$36,$K$205^A12,IF(A12='Données projet'!$A$36,'Données projet'!$B$36,N11+M12-V11)))</f>
        <v>10.672458669818059</v>
      </c>
      <c r="O12" s="14">
        <f>N12*VLOOKUP('Données projet'!$B$9,Paramètres!$A$1:$I$89,3,0)*VLOOKUP('Données projet'!$B$9,Paramètres!$A$1:$I$89,5,0)</f>
        <v>5.9659043964282947</v>
      </c>
      <c r="P12" s="14">
        <f t="shared" si="33"/>
        <v>2.2332617841362223</v>
      </c>
      <c r="Q12" s="22">
        <f t="shared" si="2"/>
        <v>14.280214431149867</v>
      </c>
      <c r="R12" s="60">
        <f t="shared" si="0"/>
        <v>307.6135477644832</v>
      </c>
      <c r="S12" s="60">
        <f ca="1">AVERAGE(OFFSET($R$3,0,0,'Données projet'!$E$9+1,1))-AVERAGE(OFFSET($H$3,0,0,'Données projet'!$E$9+1,1))</f>
        <v>256.47911362806866</v>
      </c>
      <c r="T12" s="60">
        <f t="shared" si="34"/>
        <v>230.93438491511529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5.2</v>
      </c>
      <c r="AI12" s="14">
        <f>IF('Données projet'!$A$62&gt;35,AI11+AH12-AQ11,IF(A12&lt;'Données projet'!$A$62,$AF$205^A12,IF(A12='Données projet'!$A$62,'Données projet'!$B$62,AI11+AH12-AQ11)))</f>
        <v>8.084720357497293</v>
      </c>
      <c r="AJ12" s="14">
        <f>AI12*VLOOKUP('Données projet'!$B$10,Paramètres!$A$1:$I$89,3,0)*VLOOKUP('Données projet'!$B$10,Paramètres!$A$1:$I$89,5,0)</f>
        <v>7.0628117043096363</v>
      </c>
      <c r="AK12" s="14">
        <f t="shared" si="35"/>
        <v>2.5924398999517377</v>
      </c>
      <c r="AL12" s="22">
        <f t="shared" si="4"/>
        <v>16.81622987742189</v>
      </c>
      <c r="AM12" s="60">
        <f t="shared" si="5"/>
        <v>310.14956321075522</v>
      </c>
      <c r="AN12" s="60">
        <f ca="1">AVERAGE(OFFSET($AM$3,0,0,'Données projet'!$E$10+1,1))-AVERAGE(OFFSET($H$3,0,0,'Données projet'!$E$10+1,1))</f>
        <v>233.41481265653817</v>
      </c>
      <c r="AO12" s="60">
        <f t="shared" si="36"/>
        <v>300.97465452084055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2.4933333333333332</v>
      </c>
      <c r="BD12" s="13">
        <f>IF('Données projet'!$A$88&gt;35,BD11+BC12-BL11,IF(A12&lt;'Données projet'!$A$88,$BA$205^A12,IF(A12='Données projet'!$A$88,'Données projet'!$B$88,BD11+BC12-BL11)))</f>
        <v>8.784619626636184</v>
      </c>
      <c r="BE12" s="14">
        <f>BD12*VLOOKUP('Données projet'!$B$11,Paramètres!$A$1:$I$89,3,0)*VLOOKUP('Données projet'!$B$11,Paramètres!$A$1:$I$89,5,0)</f>
        <v>6.9890433749517484</v>
      </c>
      <c r="BF12" s="14">
        <f t="shared" si="37"/>
        <v>2.5685000363009434</v>
      </c>
      <c r="BG12" s="22">
        <f t="shared" si="7"/>
        <v>16.646054774598436</v>
      </c>
      <c r="BH12" s="60">
        <f t="shared" si="8"/>
        <v>309.97938810793175</v>
      </c>
      <c r="BI12" s="60">
        <f ca="1">AVERAGE(OFFSET($BH$3,0,0,'Données projet'!$E$11+1,1))-AVERAGE(OFFSET($H$3,0,0,'Données projet'!$E$11+1,1))</f>
        <v>238.47463071449789</v>
      </c>
      <c r="BJ12" s="60">
        <f t="shared" si="38"/>
        <v>270.92950919803718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0" t="e">
        <f t="shared" si="11"/>
        <v>#N/A</v>
      </c>
      <c r="CD12" s="60" t="e">
        <f ca="1">AVERAGE(OFFSET($CC$3,0,0,'Données projet'!$E$12+1,1))-AVERAGE(OFFSET($H$3,0,0,'Données projet'!$E$12+1,1))</f>
        <v>#N/A</v>
      </c>
      <c r="CE12" s="60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0" t="e">
        <f t="shared" si="14"/>
        <v>#N/A</v>
      </c>
      <c r="CY12" s="60" t="e">
        <f ca="1">AVERAGE(OFFSET($CX$3,0,0,'Données projet'!$E$13+1,1))-AVERAGE(OFFSET($H$3,0,0,'Données projet'!$E$13+1,1))</f>
        <v>#N/A</v>
      </c>
      <c r="CZ12" s="60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0" t="e">
        <f t="shared" si="17"/>
        <v>#N/A</v>
      </c>
      <c r="DT12" s="60" t="e">
        <f ca="1">AVERAGE(OFFSET($DS$3,0,0,'Données projet'!$E$14+1,1))-AVERAGE(OFFSET($H$3,0,0,'Données projet'!$E$14+1,1))</f>
        <v>#N/A</v>
      </c>
      <c r="DU12" s="60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0" t="e">
        <f t="shared" si="20"/>
        <v>#N/A</v>
      </c>
      <c r="EO12" s="60" t="e">
        <f ca="1">AVERAGE(OFFSET($EN$3,0,0,'Données projet'!$E$15+1,1))-AVERAGE(OFFSET($H$3,0,0,'Données projet'!$E$15+1,1))</f>
        <v>#N/A</v>
      </c>
      <c r="EP12" s="60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8">
        <f t="shared" si="1"/>
        <v>304.92633870438061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7.7987854251012134</v>
      </c>
      <c r="N13" s="14">
        <f>IF('Données projet'!$A$36&gt;35,N12+M13-V12,IF(A13&lt;'Données projet'!$A$36,$K$205^A13,IF(A13='Données projet'!$A$36,'Données projet'!$B$36,N12+M13-V12)))</f>
        <v>13.884047496568932</v>
      </c>
      <c r="O13" s="14">
        <f>N13*VLOOKUP('Données projet'!$B$9,Paramètres!$A$1:$I$89,3,0)*VLOOKUP('Données projet'!$B$9,Paramètres!$A$1:$I$89,5,0)</f>
        <v>7.7611825505820331</v>
      </c>
      <c r="P13" s="14">
        <f t="shared" si="33"/>
        <v>2.8176844553216833</v>
      </c>
      <c r="Q13" s="22">
        <f t="shared" si="2"/>
        <v>18.424860035282308</v>
      </c>
      <c r="R13" s="60">
        <f t="shared" si="0"/>
        <v>311.75819336861559</v>
      </c>
      <c r="S13" s="60">
        <f ca="1">AVERAGE(OFFSET($R$3,0,0,'Données projet'!$E$9+1,1))-AVERAGE(OFFSET($H$3,0,0,'Données projet'!$E$9+1,1))</f>
        <v>256.47911362806866</v>
      </c>
      <c r="T13" s="60">
        <f t="shared" si="34"/>
        <v>230.93438491511529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5.2</v>
      </c>
      <c r="AI13" s="14">
        <f>IF('Données projet'!$A$62&gt;35,AI12+AH13-AQ12,IF(A13&lt;'Données projet'!$A$62,$AF$205^A13,IF(A13='Données projet'!$A$62,'Données projet'!$B$62,AI12+AH13-AQ12)))</f>
        <v>10.198039027185574</v>
      </c>
      <c r="AJ13" s="14">
        <f>AI13*VLOOKUP('Données projet'!$B$10,Paramètres!$A$1:$I$89,3,0)*VLOOKUP('Données projet'!$B$10,Paramètres!$A$1:$I$89,5,0)</f>
        <v>8.9090068941493197</v>
      </c>
      <c r="AK13" s="14">
        <f t="shared" si="35"/>
        <v>3.1828870698057665</v>
      </c>
      <c r="AL13" s="22">
        <f t="shared" si="4"/>
        <v>21.060048653888444</v>
      </c>
      <c r="AM13" s="60">
        <f t="shared" si="5"/>
        <v>314.39338198722174</v>
      </c>
      <c r="AN13" s="60">
        <f ca="1">AVERAGE(OFFSET($AM$3,0,0,'Données projet'!$E$10+1,1))-AVERAGE(OFFSET($H$3,0,0,'Données projet'!$E$10+1,1))</f>
        <v>233.41481265653817</v>
      </c>
      <c r="AO13" s="60">
        <f t="shared" si="36"/>
        <v>300.97465452084055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2.4933333333333332</v>
      </c>
      <c r="BD13" s="13">
        <f>IF('Données projet'!$A$88&gt;35,BD12+BC13-BL12,IF(A13&lt;'Données projet'!$A$88,$BA$205^A13,IF(A13='Données projet'!$A$88,'Données projet'!$B$88,BD12+BC13-BL12)))</f>
        <v>11.183585649298445</v>
      </c>
      <c r="BE13" s="14">
        <f>BD13*VLOOKUP('Données projet'!$B$11,Paramètres!$A$1:$I$89,3,0)*VLOOKUP('Données projet'!$B$11,Paramètres!$A$1:$I$89,5,0)</f>
        <v>8.8976607425818433</v>
      </c>
      <c r="BF13" s="14">
        <f t="shared" si="37"/>
        <v>3.1793050463331762</v>
      </c>
      <c r="BG13" s="22">
        <f t="shared" si="7"/>
        <v>21.03404874902699</v>
      </c>
      <c r="BH13" s="60">
        <f t="shared" si="8"/>
        <v>314.36738208236028</v>
      </c>
      <c r="BI13" s="60">
        <f ca="1">AVERAGE(OFFSET($BH$3,0,0,'Données projet'!$E$11+1,1))-AVERAGE(OFFSET($H$3,0,0,'Données projet'!$E$11+1,1))</f>
        <v>238.47463071449789</v>
      </c>
      <c r="BJ13" s="60">
        <f t="shared" si="38"/>
        <v>270.92950919803718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0" t="e">
        <f t="shared" si="11"/>
        <v>#N/A</v>
      </c>
      <c r="CD13" s="60" t="e">
        <f ca="1">AVERAGE(OFFSET($CC$3,0,0,'Données projet'!$E$12+1,1))-AVERAGE(OFFSET($H$3,0,0,'Données projet'!$E$12+1,1))</f>
        <v>#N/A</v>
      </c>
      <c r="CE13" s="60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0" t="e">
        <f t="shared" si="14"/>
        <v>#N/A</v>
      </c>
      <c r="CY13" s="60" t="e">
        <f ca="1">AVERAGE(OFFSET($CX$3,0,0,'Données projet'!$E$13+1,1))-AVERAGE(OFFSET($H$3,0,0,'Données projet'!$E$13+1,1))</f>
        <v>#N/A</v>
      </c>
      <c r="CZ13" s="60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0" t="e">
        <f t="shared" si="17"/>
        <v>#N/A</v>
      </c>
      <c r="DT13" s="60" t="e">
        <f ca="1">AVERAGE(OFFSET($DS$3,0,0,'Données projet'!$E$14+1,1))-AVERAGE(OFFSET($H$3,0,0,'Données projet'!$E$14+1,1))</f>
        <v>#N/A</v>
      </c>
      <c r="DU13" s="60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0" t="e">
        <f t="shared" si="20"/>
        <v>#N/A</v>
      </c>
      <c r="EO13" s="60" t="e">
        <f ca="1">AVERAGE(OFFSET($EN$3,0,0,'Données projet'!$E$15+1,1))-AVERAGE(OFFSET($H$3,0,0,'Données projet'!$E$15+1,1))</f>
        <v>#N/A</v>
      </c>
      <c r="EP13" s="60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8">
        <f t="shared" si="1"/>
        <v>306.04661462698317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7.7987854251012134</v>
      </c>
      <c r="N14" s="14">
        <f>IF('Données projet'!$A$36&gt;35,N13+M14-V13,IF(A14&lt;'Données projet'!$A$36,$K$205^A14,IF(A14='Données projet'!$A$36,'Données projet'!$B$36,N13+M14-V13)))</f>
        <v>18.062077432272524</v>
      </c>
      <c r="O14" s="14">
        <f>N14*VLOOKUP('Données projet'!$B$9,Paramètres!$A$1:$I$89,3,0)*VLOOKUP('Données projet'!$B$9,Paramètres!$A$1:$I$89,5,0)</f>
        <v>10.096701284640341</v>
      </c>
      <c r="P14" s="14">
        <f t="shared" si="33"/>
        <v>3.5550447986697691</v>
      </c>
      <c r="Q14" s="22">
        <f t="shared" si="2"/>
        <v>23.776791095098442</v>
      </c>
      <c r="R14" s="60">
        <f t="shared" si="0"/>
        <v>317.11012442843173</v>
      </c>
      <c r="S14" s="60">
        <f ca="1">AVERAGE(OFFSET($R$3,0,0,'Données projet'!$E$9+1,1))-AVERAGE(OFFSET($H$3,0,0,'Données projet'!$E$9+1,1))</f>
        <v>256.47911362806866</v>
      </c>
      <c r="T14" s="60">
        <f t="shared" si="34"/>
        <v>230.93438491511529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5.2</v>
      </c>
      <c r="AI14" s="14">
        <f>IF('Données projet'!$A$62&gt;35,AI13+AH14-AQ13,IF(A14&lt;'Données projet'!$A$62,$AF$205^A14,IF(A14='Données projet'!$A$62,'Données projet'!$B$62,AI13+AH14-AQ13)))</f>
        <v>12.863772078839638</v>
      </c>
      <c r="AJ14" s="14">
        <f>AI14*VLOOKUP('Données projet'!$B$10,Paramètres!$A$1:$I$89,3,0)*VLOOKUP('Données projet'!$B$10,Paramètres!$A$1:$I$89,5,0)</f>
        <v>11.237791288074309</v>
      </c>
      <c r="AK14" s="14">
        <f t="shared" si="35"/>
        <v>3.907812906029311</v>
      </c>
      <c r="AL14" s="22">
        <f t="shared" si="4"/>
        <v>26.378593971397137</v>
      </c>
      <c r="AM14" s="60">
        <f t="shared" si="5"/>
        <v>319.71192730473047</v>
      </c>
      <c r="AN14" s="60">
        <f ca="1">AVERAGE(OFFSET($AM$3,0,0,'Données projet'!$E$10+1,1))-AVERAGE(OFFSET($H$3,0,0,'Données projet'!$E$10+1,1))</f>
        <v>233.41481265653817</v>
      </c>
      <c r="AO14" s="60">
        <f t="shared" si="36"/>
        <v>300.97465452084055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2.4933333333333332</v>
      </c>
      <c r="BD14" s="13">
        <f>IF('Données projet'!$A$88&gt;35,BD13+BC14-BL13,IF(A14&lt;'Données projet'!$A$88,$BA$205^A14,IF(A14='Données projet'!$A$88,'Données projet'!$B$88,BD13+BC14-BL13)))</f>
        <v>14.237678270776428</v>
      </c>
      <c r="BE14" s="14">
        <f>BD14*VLOOKUP('Données projet'!$B$11,Paramètres!$A$1:$I$89,3,0)*VLOOKUP('Données projet'!$B$11,Paramètres!$A$1:$I$89,5,0)</f>
        <v>11.327496832229725</v>
      </c>
      <c r="BF14" s="14">
        <f t="shared" si="37"/>
        <v>3.9353632216399443</v>
      </c>
      <c r="BG14" s="22">
        <f t="shared" si="7"/>
        <v>26.582814593823006</v>
      </c>
      <c r="BH14" s="60">
        <f t="shared" si="8"/>
        <v>319.91614792715632</v>
      </c>
      <c r="BI14" s="60">
        <f ca="1">AVERAGE(OFFSET($BH$3,0,0,'Données projet'!$E$11+1,1))-AVERAGE(OFFSET($H$3,0,0,'Données projet'!$E$11+1,1))</f>
        <v>238.47463071449789</v>
      </c>
      <c r="BJ14" s="60">
        <f t="shared" si="38"/>
        <v>270.92950919803718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0" t="e">
        <f t="shared" si="11"/>
        <v>#N/A</v>
      </c>
      <c r="CD14" s="60" t="e">
        <f ca="1">AVERAGE(OFFSET($CC$3,0,0,'Données projet'!$E$12+1,1))-AVERAGE(OFFSET($H$3,0,0,'Données projet'!$E$12+1,1))</f>
        <v>#N/A</v>
      </c>
      <c r="CE14" s="60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0" t="e">
        <f t="shared" si="14"/>
        <v>#N/A</v>
      </c>
      <c r="CY14" s="60" t="e">
        <f ca="1">AVERAGE(OFFSET($CX$3,0,0,'Données projet'!$E$13+1,1))-AVERAGE(OFFSET($H$3,0,0,'Données projet'!$E$13+1,1))</f>
        <v>#N/A</v>
      </c>
      <c r="CZ14" s="60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0" t="e">
        <f t="shared" si="17"/>
        <v>#N/A</v>
      </c>
      <c r="DT14" s="60" t="e">
        <f ca="1">AVERAGE(OFFSET($DS$3,0,0,'Données projet'!$E$14+1,1))-AVERAGE(OFFSET($H$3,0,0,'Données projet'!$E$14+1,1))</f>
        <v>#N/A</v>
      </c>
      <c r="DU14" s="60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0" t="e">
        <f t="shared" si="20"/>
        <v>#N/A</v>
      </c>
      <c r="EO14" s="60" t="e">
        <f ca="1">AVERAGE(OFFSET($EN$3,0,0,'Données projet'!$E$15+1,1))-AVERAGE(OFFSET($H$3,0,0,'Données projet'!$E$15+1,1))</f>
        <v>#N/A</v>
      </c>
      <c r="EP14" s="60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8">
        <f t="shared" si="1"/>
        <v>307.1639122593399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7.7987854251012134</v>
      </c>
      <c r="N15" s="14">
        <f>IF('Données projet'!$A$36&gt;35,N14+M15-V14,IF(A15&lt;'Données projet'!$A$36,$K$205^A15,IF(A15='Données projet'!$A$36,'Données projet'!$B$36,N14+M15-V14)))</f>
        <v>23.497372884242115</v>
      </c>
      <c r="O15" s="14">
        <f>N15*VLOOKUP('Données projet'!$B$9,Paramètres!$A$1:$I$89,3,0)*VLOOKUP('Données projet'!$B$9,Paramètres!$A$1:$I$89,5,0)</f>
        <v>13.135031442291343</v>
      </c>
      <c r="P15" s="14">
        <f t="shared" si="33"/>
        <v>4.4853651006518103</v>
      </c>
      <c r="Q15" s="22">
        <f t="shared" si="2"/>
        <v>30.688857312292658</v>
      </c>
      <c r="R15" s="60">
        <f t="shared" si="0"/>
        <v>324.02219064562598</v>
      </c>
      <c r="S15" s="60">
        <f ca="1">AVERAGE(OFFSET($R$3,0,0,'Données projet'!$E$9+1,1))-AVERAGE(OFFSET($H$3,0,0,'Données projet'!$E$9+1,1))</f>
        <v>256.47911362806866</v>
      </c>
      <c r="T15" s="60">
        <f t="shared" si="34"/>
        <v>230.93438491511529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5.2</v>
      </c>
      <c r="AI15" s="14">
        <f>IF('Données projet'!$A$62&gt;35,AI14+AH15-AQ14,IF(A15&lt;'Données projet'!$A$62,$AF$205^A15,IF(A15='Données projet'!$A$62,'Données projet'!$B$62,AI14+AH15-AQ14)))</f>
        <v>16.226318771208117</v>
      </c>
      <c r="AJ15" s="14">
        <f>AI15*VLOOKUP('Données projet'!$B$10,Paramètres!$A$1:$I$89,3,0)*VLOOKUP('Données projet'!$B$10,Paramètres!$A$1:$I$89,5,0)</f>
        <v>14.175312078527414</v>
      </c>
      <c r="AK15" s="14">
        <f t="shared" si="35"/>
        <v>4.7978459095820662</v>
      </c>
      <c r="AL15" s="22">
        <f t="shared" si="4"/>
        <v>33.044916829290678</v>
      </c>
      <c r="AM15" s="60">
        <f t="shared" si="5"/>
        <v>326.378250162624</v>
      </c>
      <c r="AN15" s="60">
        <f ca="1">AVERAGE(OFFSET($AM$3,0,0,'Données projet'!$E$10+1,1))-AVERAGE(OFFSET($H$3,0,0,'Données projet'!$E$10+1,1))</f>
        <v>233.41481265653817</v>
      </c>
      <c r="AO15" s="60">
        <f t="shared" si="36"/>
        <v>300.97465452084055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2.4933333333333332</v>
      </c>
      <c r="BD15" s="13">
        <f>IF('Données projet'!$A$88&gt;35,BD14+BC15-BL14,IF(A15&lt;'Données projet'!$A$88,$BA$205^A15,IF(A15='Données projet'!$A$88,'Données projet'!$B$88,BD14+BC15-BL14)))</f>
        <v>18.125804093506943</v>
      </c>
      <c r="BE15" s="14">
        <f>BD15*VLOOKUP('Données projet'!$B$11,Paramètres!$A$1:$I$89,3,0)*VLOOKUP('Données projet'!$B$11,Paramètres!$A$1:$I$89,5,0)</f>
        <v>14.420889736794125</v>
      </c>
      <c r="BF15" s="14">
        <f t="shared" si="37"/>
        <v>4.8712166528651375</v>
      </c>
      <c r="BG15" s="22">
        <f t="shared" si="7"/>
        <v>33.600418628656548</v>
      </c>
      <c r="BH15" s="60">
        <f t="shared" si="8"/>
        <v>326.93375196198986</v>
      </c>
      <c r="BI15" s="60">
        <f ca="1">AVERAGE(OFFSET($BH$3,0,0,'Données projet'!$E$11+1,1))-AVERAGE(OFFSET($H$3,0,0,'Données projet'!$E$11+1,1))</f>
        <v>238.47463071449789</v>
      </c>
      <c r="BJ15" s="60">
        <f t="shared" si="38"/>
        <v>270.92950919803718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0" t="e">
        <f t="shared" si="11"/>
        <v>#N/A</v>
      </c>
      <c r="CD15" s="60" t="e">
        <f ca="1">AVERAGE(OFFSET($CC$3,0,0,'Données projet'!$E$12+1,1))-AVERAGE(OFFSET($H$3,0,0,'Données projet'!$E$12+1,1))</f>
        <v>#N/A</v>
      </c>
      <c r="CE15" s="60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0" t="e">
        <f t="shared" si="14"/>
        <v>#N/A</v>
      </c>
      <c r="CY15" s="60" t="e">
        <f ca="1">AVERAGE(OFFSET($CX$3,0,0,'Données projet'!$E$13+1,1))-AVERAGE(OFFSET($H$3,0,0,'Données projet'!$E$13+1,1))</f>
        <v>#N/A</v>
      </c>
      <c r="CZ15" s="60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0" t="e">
        <f t="shared" si="17"/>
        <v>#N/A</v>
      </c>
      <c r="DT15" s="60" t="e">
        <f ca="1">AVERAGE(OFFSET($DS$3,0,0,'Données projet'!$E$14+1,1))-AVERAGE(OFFSET($H$3,0,0,'Données projet'!$E$14+1,1))</f>
        <v>#N/A</v>
      </c>
      <c r="DU15" s="60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0" t="e">
        <f t="shared" si="20"/>
        <v>#N/A</v>
      </c>
      <c r="EO15" s="60" t="e">
        <f ca="1">AVERAGE(OFFSET($EN$3,0,0,'Données projet'!$E$15+1,1))-AVERAGE(OFFSET($H$3,0,0,'Données projet'!$E$15+1,1))</f>
        <v>#N/A</v>
      </c>
      <c r="EP15" s="60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8">
        <f t="shared" si="1"/>
        <v>308.27850800940064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7.7987854251012134</v>
      </c>
      <c r="N16" s="14">
        <f>IF('Données projet'!$A$36&gt;35,N15+M16-V15,IF(A16&lt;'Données projet'!$A$36,$K$205^A16,IF(A16='Données projet'!$A$36,'Données projet'!$B$36,N15+M16-V15)))</f>
        <v>30.56827402780376</v>
      </c>
      <c r="O16" s="14">
        <f>N16*VLOOKUP('Données projet'!$B$9,Paramètres!$A$1:$I$89,3,0)*VLOOKUP('Données projet'!$B$9,Paramètres!$A$1:$I$89,5,0)</f>
        <v>17.087665181542302</v>
      </c>
      <c r="P16" s="14">
        <f t="shared" si="33"/>
        <v>5.6591410869627277</v>
      </c>
      <c r="Q16" s="22">
        <f t="shared" si="2"/>
        <v>39.617354250979595</v>
      </c>
      <c r="R16" s="60">
        <f t="shared" si="0"/>
        <v>332.9506875843129</v>
      </c>
      <c r="S16" s="60">
        <f ca="1">AVERAGE(OFFSET($R$3,0,0,'Données projet'!$E$9+1,1))-AVERAGE(OFFSET($H$3,0,0,'Données projet'!$E$9+1,1))</f>
        <v>256.47911362806866</v>
      </c>
      <c r="T16" s="60">
        <f t="shared" si="34"/>
        <v>230.93438491511529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5.2</v>
      </c>
      <c r="AI16" s="14">
        <f>IF('Données projet'!$A$62&gt;35,AI15+AH16-AQ15,IF(A16&lt;'Données projet'!$A$62,$AF$205^A16,IF(A16='Données projet'!$A$62,'Données projet'!$B$62,AI15+AH16-AQ15)))</f>
        <v>20.467823842896554</v>
      </c>
      <c r="AJ16" s="14">
        <f>AI16*VLOOKUP('Données projet'!$B$10,Paramètres!$A$1:$I$89,3,0)*VLOOKUP('Données projet'!$B$10,Paramètres!$A$1:$I$89,5,0)</f>
        <v>17.880690909154431</v>
      </c>
      <c r="AK16" s="14">
        <f t="shared" si="35"/>
        <v>5.890590446788579</v>
      </c>
      <c r="AL16" s="22">
        <f t="shared" si="4"/>
        <v>41.401648361600742</v>
      </c>
      <c r="AM16" s="60">
        <f t="shared" si="5"/>
        <v>334.73498169493405</v>
      </c>
      <c r="AN16" s="60">
        <f ca="1">AVERAGE(OFFSET($AM$3,0,0,'Données projet'!$E$10+1,1))-AVERAGE(OFFSET($H$3,0,0,'Données projet'!$E$10+1,1))</f>
        <v>233.41481265653817</v>
      </c>
      <c r="AO16" s="60">
        <f t="shared" si="36"/>
        <v>300.97465452084055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2.4933333333333332</v>
      </c>
      <c r="BD16" s="13">
        <f>IF('Données projet'!$A$88&gt;35,BD15+BC16-BL15,IF(A16&lt;'Données projet'!$A$88,$BA$205^A16,IF(A16='Données projet'!$A$88,'Données projet'!$B$88,BD15+BC16-BL15)))</f>
        <v>23.075726799540639</v>
      </c>
      <c r="BE16" s="14">
        <f>BD16*VLOOKUP('Données projet'!$B$11,Paramètres!$A$1:$I$89,3,0)*VLOOKUP('Données projet'!$B$11,Paramètres!$A$1:$I$89,5,0)</f>
        <v>18.359048241714532</v>
      </c>
      <c r="BF16" s="14">
        <f t="shared" si="37"/>
        <v>6.0296217509656884</v>
      </c>
      <c r="BG16" s="22">
        <f t="shared" si="7"/>
        <v>42.47693357058472</v>
      </c>
      <c r="BH16" s="60">
        <f t="shared" si="8"/>
        <v>335.81026690391803</v>
      </c>
      <c r="BI16" s="60">
        <f ca="1">AVERAGE(OFFSET($BH$3,0,0,'Données projet'!$E$11+1,1))-AVERAGE(OFFSET($H$3,0,0,'Données projet'!$E$11+1,1))</f>
        <v>238.47463071449789</v>
      </c>
      <c r="BJ16" s="60">
        <f t="shared" si="38"/>
        <v>270.92950919803718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0" t="e">
        <f t="shared" si="11"/>
        <v>#N/A</v>
      </c>
      <c r="CD16" s="60" t="e">
        <f ca="1">AVERAGE(OFFSET($CC$3,0,0,'Données projet'!$E$12+1,1))-AVERAGE(OFFSET($H$3,0,0,'Données projet'!$E$12+1,1))</f>
        <v>#N/A</v>
      </c>
      <c r="CE16" s="60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0" t="e">
        <f t="shared" si="14"/>
        <v>#N/A</v>
      </c>
      <c r="CY16" s="60" t="e">
        <f ca="1">AVERAGE(OFFSET($CX$3,0,0,'Données projet'!$E$13+1,1))-AVERAGE(OFFSET($H$3,0,0,'Données projet'!$E$13+1,1))</f>
        <v>#N/A</v>
      </c>
      <c r="CZ16" s="60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0" t="e">
        <f t="shared" si="17"/>
        <v>#N/A</v>
      </c>
      <c r="DT16" s="60" t="e">
        <f ca="1">AVERAGE(OFFSET($DS$3,0,0,'Données projet'!$E$14+1,1))-AVERAGE(OFFSET($H$3,0,0,'Données projet'!$E$14+1,1))</f>
        <v>#N/A</v>
      </c>
      <c r="DU16" s="60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0" t="e">
        <f t="shared" si="20"/>
        <v>#N/A</v>
      </c>
      <c r="EO16" s="60" t="e">
        <f ca="1">AVERAGE(OFFSET($EN$3,0,0,'Données projet'!$E$15+1,1))-AVERAGE(OFFSET($H$3,0,0,'Données projet'!$E$15+1,1))</f>
        <v>#N/A</v>
      </c>
      <c r="EP16" s="60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8">
        <f t="shared" si="1"/>
        <v>309.39063334516135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7.7987854251012134</v>
      </c>
      <c r="N17" s="14">
        <f>IF('Données projet'!$A$36&gt;35,N16+M17-V16,IF(A17&lt;'Données projet'!$A$36,$K$205^A17,IF(A17='Données projet'!$A$36,'Données projet'!$B$36,N16+M17-V16)))</f>
        <v>39.766972318234998</v>
      </c>
      <c r="O17" s="14">
        <f>N17*VLOOKUP('Données projet'!$B$9,Paramètres!$A$1:$I$89,3,0)*VLOOKUP('Données projet'!$B$9,Paramètres!$A$1:$I$89,5,0)</f>
        <v>22.229737525893363</v>
      </c>
      <c r="P17" s="14">
        <f t="shared" si="33"/>
        <v>7.1400827186834128</v>
      </c>
      <c r="Q17" s="22">
        <f t="shared" si="2"/>
        <v>51.152436925971216</v>
      </c>
      <c r="R17" s="60">
        <f t="shared" si="0"/>
        <v>344.48577025930456</v>
      </c>
      <c r="S17" s="60">
        <f ca="1">AVERAGE(OFFSET($R$3,0,0,'Données projet'!$E$9+1,1))-AVERAGE(OFFSET($H$3,0,0,'Données projet'!$E$9+1,1))</f>
        <v>256.47911362806866</v>
      </c>
      <c r="T17" s="60">
        <f t="shared" si="34"/>
        <v>230.93438491511529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5.2</v>
      </c>
      <c r="AI17" s="14">
        <f>IF('Données projet'!$A$62&gt;35,AI16+AH17-AQ16,IF(A17&lt;'Données projet'!$A$62,$AF$205^A17,IF(A17='Données projet'!$A$62,'Données projet'!$B$62,AI16+AH17-AQ16)))</f>
        <v>25.8180440536639</v>
      </c>
      <c r="AJ17" s="14">
        <f>AI17*VLOOKUP('Données projet'!$B$10,Paramètres!$A$1:$I$89,3,0)*VLOOKUP('Données projet'!$B$10,Paramètres!$A$1:$I$89,5,0)</f>
        <v>22.554643285280786</v>
      </c>
      <c r="AK17" s="14">
        <f t="shared" si="35"/>
        <v>7.2322155537545054</v>
      </c>
      <c r="AL17" s="22">
        <f t="shared" si="4"/>
        <v>51.87877914465313</v>
      </c>
      <c r="AM17" s="60">
        <f t="shared" si="5"/>
        <v>345.21211247798647</v>
      </c>
      <c r="AN17" s="60">
        <f ca="1">AVERAGE(OFFSET($AM$3,0,0,'Données projet'!$E$10+1,1))-AVERAGE(OFFSET($H$3,0,0,'Données projet'!$E$10+1,1))</f>
        <v>233.41481265653817</v>
      </c>
      <c r="AO17" s="60">
        <f t="shared" si="36"/>
        <v>300.97465452084055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2.4933333333333332</v>
      </c>
      <c r="BD17" s="13">
        <f>IF('Données projet'!$A$88&gt;35,BD16+BC17-BL16,IF(A17&lt;'Données projet'!$A$88,$BA$205^A17,IF(A17='Données projet'!$A$88,'Données projet'!$B$88,BD16+BC17-BL16)))</f>
        <v>29.37740938719443</v>
      </c>
      <c r="BE17" s="14">
        <f>BD17*VLOOKUP('Données projet'!$B$11,Paramètres!$A$1:$I$89,3,0)*VLOOKUP('Données projet'!$B$11,Paramètres!$A$1:$I$89,5,0)</f>
        <v>23.372666908451887</v>
      </c>
      <c r="BF17" s="14">
        <f t="shared" si="37"/>
        <v>7.4635026627966923</v>
      </c>
      <c r="BG17" s="22">
        <f t="shared" si="7"/>
        <v>53.706328669924602</v>
      </c>
      <c r="BH17" s="60">
        <f t="shared" si="8"/>
        <v>347.03966200325794</v>
      </c>
      <c r="BI17" s="60">
        <f ca="1">AVERAGE(OFFSET($BH$3,0,0,'Données projet'!$E$11+1,1))-AVERAGE(OFFSET($H$3,0,0,'Données projet'!$E$11+1,1))</f>
        <v>238.47463071449789</v>
      </c>
      <c r="BJ17" s="60">
        <f t="shared" si="38"/>
        <v>270.92950919803718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0" t="e">
        <f t="shared" si="11"/>
        <v>#N/A</v>
      </c>
      <c r="CD17" s="60" t="e">
        <f ca="1">AVERAGE(OFFSET($CC$3,0,0,'Données projet'!$E$12+1,1))-AVERAGE(OFFSET($H$3,0,0,'Données projet'!$E$12+1,1))</f>
        <v>#N/A</v>
      </c>
      <c r="CE17" s="60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0" t="e">
        <f t="shared" si="14"/>
        <v>#N/A</v>
      </c>
      <c r="CY17" s="60" t="e">
        <f ca="1">AVERAGE(OFFSET($CX$3,0,0,'Données projet'!$E$13+1,1))-AVERAGE(OFFSET($H$3,0,0,'Données projet'!$E$13+1,1))</f>
        <v>#N/A</v>
      </c>
      <c r="CZ17" s="60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0" t="e">
        <f t="shared" si="17"/>
        <v>#N/A</v>
      </c>
      <c r="DT17" s="60" t="e">
        <f ca="1">AVERAGE(OFFSET($DS$3,0,0,'Données projet'!$E$14+1,1))-AVERAGE(OFFSET($H$3,0,0,'Données projet'!$E$14+1,1))</f>
        <v>#N/A</v>
      </c>
      <c r="DU17" s="60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0" t="e">
        <f t="shared" si="20"/>
        <v>#N/A</v>
      </c>
      <c r="EO17" s="60" t="e">
        <f ca="1">AVERAGE(OFFSET($EN$3,0,0,'Données projet'!$E$15+1,1))-AVERAGE(OFFSET($H$3,0,0,'Données projet'!$E$15+1,1))</f>
        <v>#N/A</v>
      </c>
      <c r="EP17" s="60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8">
        <f t="shared" si="1"/>
        <v>310.50048479403728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7.7987854251012134</v>
      </c>
      <c r="N18" s="14">
        <f>IF('Données projet'!$A$36&gt;35,N17+M18-V17,IF(A18&lt;'Données projet'!$A$36,$K$205^A18,IF(A18='Données projet'!$A$36,'Données projet'!$B$36,N17+M18-V17)))</f>
        <v>51.73377096531113</v>
      </c>
      <c r="O18" s="14">
        <f>N18*VLOOKUP('Données projet'!$B$9,Paramètres!$A$1:$I$89,3,0)*VLOOKUP('Données projet'!$B$9,Paramètres!$A$1:$I$89,5,0)</f>
        <v>28.919177969608924</v>
      </c>
      <c r="P18" s="14">
        <f t="shared" si="33"/>
        <v>9.0085722278754812</v>
      </c>
      <c r="Q18" s="22">
        <f t="shared" si="2"/>
        <v>66.057498260618672</v>
      </c>
      <c r="R18" s="60">
        <f t="shared" si="0"/>
        <v>359.39083159395199</v>
      </c>
      <c r="S18" s="60">
        <f ca="1">AVERAGE(OFFSET($R$3,0,0,'Données projet'!$E$9+1,1))-AVERAGE(OFFSET($H$3,0,0,'Données projet'!$E$9+1,1))</f>
        <v>256.47911362806866</v>
      </c>
      <c r="T18" s="60">
        <f t="shared" si="34"/>
        <v>230.93438491511529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5.2</v>
      </c>
      <c r="AI18" s="14">
        <f>IF('Données projet'!$A$62&gt;35,AI17+AH18-AQ17,IF(A18&lt;'Données projet'!$A$62,$AF$205^A18,IF(A18='Données projet'!$A$62,'Données projet'!$B$62,AI17+AH18-AQ17)))</f>
        <v>32.56679380638046</v>
      </c>
      <c r="AJ18" s="14">
        <f>AI18*VLOOKUP('Données projet'!$B$10,Paramètres!$A$1:$I$89,3,0)*VLOOKUP('Données projet'!$B$10,Paramètres!$A$1:$I$89,5,0)</f>
        <v>28.450351069253973</v>
      </c>
      <c r="AK18" s="14">
        <f t="shared" si="35"/>
        <v>8.8794056026224197</v>
      </c>
      <c r="AL18" s="22">
        <f t="shared" si="4"/>
        <v>65.015992870184718</v>
      </c>
      <c r="AM18" s="60">
        <f t="shared" si="5"/>
        <v>358.34932620351805</v>
      </c>
      <c r="AN18" s="60">
        <f ca="1">AVERAGE(OFFSET($AM$3,0,0,'Données projet'!$E$10+1,1))-AVERAGE(OFFSET($H$3,0,0,'Données projet'!$E$10+1,1))</f>
        <v>233.41481265653817</v>
      </c>
      <c r="AO18" s="60">
        <f t="shared" si="36"/>
        <v>300.97465452084055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37.4</v>
      </c>
      <c r="BB18" s="13">
        <f>VLOOKUP(A18,'Données projet'!$A$87:$I$107,9,0)</f>
        <v>2.4933333333333332</v>
      </c>
      <c r="BC18" s="13">
        <f t="array" ref="BC18">INDEX(BB:BB,MIN(IF(ISNUMBER(BB18:BB214),ROW(BB18:BB214),"")))</f>
        <v>2.4933333333333332</v>
      </c>
      <c r="BD18" s="13">
        <f>IF('Données projet'!$A$88&gt;35,BD17+BC18-BL17,IF(A18&lt;'Données projet'!$A$88,$BA$205^A18,IF(A18='Données projet'!$A$88,'Données projet'!$B$88,BD17+BC18-BL17)))</f>
        <v>37.4</v>
      </c>
      <c r="BE18" s="14">
        <f>BD18*VLOOKUP('Données projet'!$B$11,Paramètres!$A$1:$I$89,3,0)*VLOOKUP('Données projet'!$B$11,Paramètres!$A$1:$I$89,5,0)</f>
        <v>29.755439999999997</v>
      </c>
      <c r="BF18" s="14">
        <f t="shared" si="37"/>
        <v>9.2383692208639729</v>
      </c>
      <c r="BG18" s="22">
        <f t="shared" si="7"/>
        <v>67.91421772633808</v>
      </c>
      <c r="BH18" s="60">
        <f t="shared" si="8"/>
        <v>361.24755105967142</v>
      </c>
      <c r="BI18" s="60">
        <f ca="1">AVERAGE(OFFSET($BH$3,0,0,'Données projet'!$E$11+1,1))-AVERAGE(OFFSET($H$3,0,0,'Données projet'!$E$11+1,1))</f>
        <v>238.47463071449789</v>
      </c>
      <c r="BJ18" s="60">
        <f t="shared" si="38"/>
        <v>270.92950919803718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0" t="e">
        <f t="shared" si="11"/>
        <v>#N/A</v>
      </c>
      <c r="CD18" s="60" t="e">
        <f ca="1">AVERAGE(OFFSET($CC$3,0,0,'Données projet'!$E$12+1,1))-AVERAGE(OFFSET($H$3,0,0,'Données projet'!$E$12+1,1))</f>
        <v>#N/A</v>
      </c>
      <c r="CE18" s="60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0" t="e">
        <f t="shared" si="14"/>
        <v>#N/A</v>
      </c>
      <c r="CY18" s="60" t="e">
        <f ca="1">AVERAGE(OFFSET($CX$3,0,0,'Données projet'!$E$13+1,1))-AVERAGE(OFFSET($H$3,0,0,'Données projet'!$E$13+1,1))</f>
        <v>#N/A</v>
      </c>
      <c r="CZ18" s="60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0" t="e">
        <f t="shared" si="17"/>
        <v>#N/A</v>
      </c>
      <c r="DT18" s="60" t="e">
        <f ca="1">AVERAGE(OFFSET($DS$3,0,0,'Données projet'!$E$14+1,1))-AVERAGE(OFFSET($H$3,0,0,'Données projet'!$E$14+1,1))</f>
        <v>#N/A</v>
      </c>
      <c r="DU18" s="60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0" t="e">
        <f t="shared" si="20"/>
        <v>#N/A</v>
      </c>
      <c r="EO18" s="60" t="e">
        <f ca="1">AVERAGE(OFFSET($EN$3,0,0,'Données projet'!$E$15+1,1))-AVERAGE(OFFSET($H$3,0,0,'Données projet'!$E$15+1,1))</f>
        <v>#N/A</v>
      </c>
      <c r="EP18" s="60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8">
        <f t="shared" si="1"/>
        <v>311.60823119732669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7.7987854251012134</v>
      </c>
      <c r="N19" s="14">
        <f>IF('Données projet'!$A$36&gt;35,N18+M19-V18,IF(A19&lt;'Données projet'!$A$36,$K$205^A19,IF(A19='Données projet'!$A$36,'Données projet'!$B$36,N18+M19-V18)))</f>
        <v>67.301655174387619</v>
      </c>
      <c r="O19" s="14">
        <f>N19*VLOOKUP('Données projet'!$B$9,Paramètres!$A$1:$I$89,3,0)*VLOOKUP('Données projet'!$B$9,Paramètres!$A$1:$I$89,5,0)</f>
        <v>37.621625242482679</v>
      </c>
      <c r="P19" s="14">
        <f t="shared" si="33"/>
        <v>11.366027087122298</v>
      </c>
      <c r="Q19" s="22">
        <f t="shared" si="2"/>
        <v>85.320161140728672</v>
      </c>
      <c r="R19" s="60">
        <f t="shared" si="0"/>
        <v>378.65349447406197</v>
      </c>
      <c r="S19" s="60">
        <f ca="1">AVERAGE(OFFSET($R$3,0,0,'Données projet'!$E$9+1,1))-AVERAGE(OFFSET($H$3,0,0,'Données projet'!$E$9+1,1))</f>
        <v>256.47911362806866</v>
      </c>
      <c r="T19" s="60">
        <f t="shared" si="34"/>
        <v>230.93438491511529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5.2</v>
      </c>
      <c r="AI19" s="14">
        <f>IF('Données projet'!$A$62&gt;35,AI18+AH19-AQ18,IF(A19&lt;'Données projet'!$A$62,$AF$205^A19,IF(A19='Données projet'!$A$62,'Données projet'!$B$62,AI18+AH19-AQ18)))</f>
        <v>41.079644012645062</v>
      </c>
      <c r="AJ19" s="14">
        <f>AI19*VLOOKUP('Données projet'!$B$10,Paramètres!$A$1:$I$89,3,0)*VLOOKUP('Données projet'!$B$10,Paramètres!$A$1:$I$89,5,0)</f>
        <v>35.887177009446731</v>
      </c>
      <c r="AK19" s="14">
        <f t="shared" si="35"/>
        <v>10.90175524635071</v>
      </c>
      <c r="AL19" s="22">
        <f t="shared" si="4"/>
        <v>81.490723678847203</v>
      </c>
      <c r="AM19" s="60">
        <f t="shared" si="5"/>
        <v>374.8240570121805</v>
      </c>
      <c r="AN19" s="60">
        <f ca="1">AVERAGE(OFFSET($AM$3,0,0,'Données projet'!$E$10+1,1))-AVERAGE(OFFSET($H$3,0,0,'Données projet'!$E$10+1,1))</f>
        <v>233.41481265653817</v>
      </c>
      <c r="AO19" s="60">
        <f t="shared" si="36"/>
        <v>300.97465452084055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11.54</v>
      </c>
      <c r="BD19" s="13">
        <f>IF('Données projet'!$A$88&gt;35,BD18+BC19-BL18,IF(A19&lt;'Données projet'!$A$88,$BA$205^A19,IF(A19='Données projet'!$A$88,'Données projet'!$B$88,BD18+BC19-BL18)))</f>
        <v>48.94</v>
      </c>
      <c r="BE19" s="14">
        <f>BD19*VLOOKUP('Données projet'!$B$11,Paramètres!$A$1:$I$89,3,0)*VLOOKUP('Données projet'!$B$11,Paramètres!$A$1:$I$89,5,0)</f>
        <v>38.936664</v>
      </c>
      <c r="BF19" s="14">
        <f t="shared" si="37"/>
        <v>11.71636916173216</v>
      </c>
      <c r="BG19" s="22">
        <f t="shared" si="7"/>
        <v>88.220699423350183</v>
      </c>
      <c r="BH19" s="60">
        <f t="shared" si="8"/>
        <v>381.55403275668351</v>
      </c>
      <c r="BI19" s="60">
        <f ca="1">AVERAGE(OFFSET($BH$3,0,0,'Données projet'!$E$11+1,1))-AVERAGE(OFFSET($H$3,0,0,'Données projet'!$E$11+1,1))</f>
        <v>238.47463071449789</v>
      </c>
      <c r="BJ19" s="60">
        <f t="shared" si="38"/>
        <v>270.92950919803718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0" t="e">
        <f t="shared" si="11"/>
        <v>#N/A</v>
      </c>
      <c r="CD19" s="60" t="e">
        <f ca="1">AVERAGE(OFFSET($CC$3,0,0,'Données projet'!$E$12+1,1))-AVERAGE(OFFSET($H$3,0,0,'Données projet'!$E$12+1,1))</f>
        <v>#N/A</v>
      </c>
      <c r="CE19" s="60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0" t="e">
        <f t="shared" si="14"/>
        <v>#N/A</v>
      </c>
      <c r="CY19" s="60" t="e">
        <f ca="1">AVERAGE(OFFSET($CX$3,0,0,'Données projet'!$E$13+1,1))-AVERAGE(OFFSET($H$3,0,0,'Données projet'!$E$13+1,1))</f>
        <v>#N/A</v>
      </c>
      <c r="CZ19" s="60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0" t="e">
        <f t="shared" si="17"/>
        <v>#N/A</v>
      </c>
      <c r="DT19" s="60" t="e">
        <f ca="1">AVERAGE(OFFSET($DS$3,0,0,'Données projet'!$E$14+1,1))-AVERAGE(OFFSET($H$3,0,0,'Données projet'!$E$14+1,1))</f>
        <v>#N/A</v>
      </c>
      <c r="DU19" s="60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0" t="e">
        <f t="shared" si="20"/>
        <v>#N/A</v>
      </c>
      <c r="EO19" s="60" t="e">
        <f ca="1">AVERAGE(OFFSET($EN$3,0,0,'Données projet'!$E$15+1,1))-AVERAGE(OFFSET($H$3,0,0,'Données projet'!$E$15+1,1))</f>
        <v>#N/A</v>
      </c>
      <c r="EP19" s="60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8">
        <f t="shared" si="1"/>
        <v>312.7140190982978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7.7987854251012134</v>
      </c>
      <c r="N20" s="14">
        <f>IF('Données projet'!$A$36&gt;35,N19+M20-V19,IF(A20&lt;'Données projet'!$A$36,$K$205^A20,IF(A20='Données projet'!$A$36,'Données projet'!$B$36,N19+M20-V19)))</f>
        <v>87.554274600421721</v>
      </c>
      <c r="O20" s="14">
        <f>N20*VLOOKUP('Données projet'!$B$9,Paramètres!$A$1:$I$89,3,0)*VLOOKUP('Données projet'!$B$9,Paramètres!$A$1:$I$89,5,0)</f>
        <v>48.942839501635746</v>
      </c>
      <c r="P20" s="14">
        <f t="shared" si="33"/>
        <v>14.340404725340607</v>
      </c>
      <c r="Q20" s="22">
        <f t="shared" si="2"/>
        <v>110.21831702865047</v>
      </c>
      <c r="R20" s="60">
        <f t="shared" si="0"/>
        <v>403.55165036198377</v>
      </c>
      <c r="S20" s="60">
        <f ca="1">AVERAGE(OFFSET($R$3,0,0,'Données projet'!$E$9+1,1))-AVERAGE(OFFSET($H$3,0,0,'Données projet'!$E$9+1,1))</f>
        <v>256.47911362806866</v>
      </c>
      <c r="T20" s="60">
        <f t="shared" si="34"/>
        <v>230.93438491511529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5.2</v>
      </c>
      <c r="AI20" s="14">
        <f>IF('Données projet'!$A$62&gt;35,AI19+AH20-AQ19,IF(A20&lt;'Données projet'!$A$62,$AF$205^A20,IF(A20='Données projet'!$A$62,'Données projet'!$B$62,AI19+AH20-AQ19)))</f>
        <v>51.817724588996064</v>
      </c>
      <c r="AJ20" s="14">
        <f>AI20*VLOOKUP('Données projet'!$B$10,Paramètres!$A$1:$I$89,3,0)*VLOOKUP('Données projet'!$B$10,Paramètres!$A$1:$I$89,5,0)</f>
        <v>45.26796420094697</v>
      </c>
      <c r="AK20" s="14">
        <f t="shared" si="35"/>
        <v>13.384709829702446</v>
      </c>
      <c r="AL20" s="22">
        <f t="shared" si="4"/>
        <v>102.15340727004774</v>
      </c>
      <c r="AM20" s="60">
        <f t="shared" si="5"/>
        <v>395.48674060338107</v>
      </c>
      <c r="AN20" s="60">
        <f ca="1">AVERAGE(OFFSET($AM$3,0,0,'Données projet'!$E$10+1,1))-AVERAGE(OFFSET($H$3,0,0,'Données projet'!$E$10+1,1))</f>
        <v>233.41481265653817</v>
      </c>
      <c r="AO20" s="60">
        <f t="shared" si="36"/>
        <v>300.97465452084055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11.54</v>
      </c>
      <c r="BD20" s="13">
        <f>IF('Données projet'!$A$88&gt;35,BD19+BC20-BL19,IF(A20&lt;'Données projet'!$A$88,$BA$205^A20,IF(A20='Données projet'!$A$88,'Données projet'!$B$88,BD19+BC20-BL19)))</f>
        <v>60.48</v>
      </c>
      <c r="BE20" s="14">
        <f>BD20*VLOOKUP('Données projet'!$B$11,Paramètres!$A$1:$I$89,3,0)*VLOOKUP('Données projet'!$B$11,Paramètres!$A$1:$I$89,5,0)</f>
        <v>48.117888000000001</v>
      </c>
      <c r="BF20" s="14">
        <f t="shared" si="37"/>
        <v>14.126615953608919</v>
      </c>
      <c r="BG20" s="22">
        <f t="shared" si="7"/>
        <v>108.40917771920219</v>
      </c>
      <c r="BH20" s="60">
        <f t="shared" si="8"/>
        <v>401.74251105253552</v>
      </c>
      <c r="BI20" s="60">
        <f ca="1">AVERAGE(OFFSET($BH$3,0,0,'Données projet'!$E$11+1,1))-AVERAGE(OFFSET($H$3,0,0,'Données projet'!$E$11+1,1))</f>
        <v>238.47463071449789</v>
      </c>
      <c r="BJ20" s="60">
        <f t="shared" si="38"/>
        <v>270.92950919803718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0" t="e">
        <f t="shared" si="11"/>
        <v>#N/A</v>
      </c>
      <c r="CD20" s="60" t="e">
        <f ca="1">AVERAGE(OFFSET($CC$3,0,0,'Données projet'!$E$12+1,1))-AVERAGE(OFFSET($H$3,0,0,'Données projet'!$E$12+1,1))</f>
        <v>#N/A</v>
      </c>
      <c r="CE20" s="60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0" t="e">
        <f t="shared" si="14"/>
        <v>#N/A</v>
      </c>
      <c r="CY20" s="60" t="e">
        <f ca="1">AVERAGE(OFFSET($CX$3,0,0,'Données projet'!$E$13+1,1))-AVERAGE(OFFSET($H$3,0,0,'Données projet'!$E$13+1,1))</f>
        <v>#N/A</v>
      </c>
      <c r="CZ20" s="60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0" t="e">
        <f t="shared" si="17"/>
        <v>#N/A</v>
      </c>
      <c r="DT20" s="60" t="e">
        <f ca="1">AVERAGE(OFFSET($DS$3,0,0,'Données projet'!$E$14+1,1))-AVERAGE(OFFSET($H$3,0,0,'Données projet'!$E$14+1,1))</f>
        <v>#N/A</v>
      </c>
      <c r="DU20" s="60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0" t="e">
        <f t="shared" si="20"/>
        <v>#N/A</v>
      </c>
      <c r="EO20" s="60" t="e">
        <f ca="1">AVERAGE(OFFSET($EN$3,0,0,'Données projet'!$E$15+1,1))-AVERAGE(OFFSET($H$3,0,0,'Données projet'!$E$15+1,1))</f>
        <v>#N/A</v>
      </c>
      <c r="EP20" s="60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8">
        <f t="shared" si="1"/>
        <v>313.81797682591258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7.7987854251012134</v>
      </c>
      <c r="N21" s="14">
        <f>IF('Données projet'!$A$36&gt;35,N20+M21-V20,IF(A21&lt;'Données projet'!$A$36,$K$205^A21,IF(A21='Données projet'!$A$36,'Données projet'!$B$36,N20+M21-V20)))</f>
        <v>113.90137405897467</v>
      </c>
      <c r="O21" s="14">
        <f>N21*VLOOKUP('Données projet'!$B$9,Paramètres!$A$1:$I$89,3,0)*VLOOKUP('Données projet'!$B$9,Paramètres!$A$1:$I$89,5,0)</f>
        <v>63.670868098966835</v>
      </c>
      <c r="P21" s="14">
        <f t="shared" si="33"/>
        <v>18.093147773646375</v>
      </c>
      <c r="Q21" s="22">
        <f t="shared" si="2"/>
        <v>142.40566097813468</v>
      </c>
      <c r="R21" s="60">
        <f t="shared" si="0"/>
        <v>435.73899431146799</v>
      </c>
      <c r="S21" s="60">
        <f ca="1">AVERAGE(OFFSET($R$3,0,0,'Données projet'!$E$9+1,1))-AVERAGE(OFFSET($H$3,0,0,'Données projet'!$E$9+1,1))</f>
        <v>256.47911362806866</v>
      </c>
      <c r="T21" s="60">
        <f t="shared" si="34"/>
        <v>230.93438491511529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5.2</v>
      </c>
      <c r="AI21" s="14">
        <f>IF('Données projet'!$A$62&gt;35,AI20+AH21-AQ20,IF(A21&lt;'Données projet'!$A$62,$AF$205^A21,IF(A21='Données projet'!$A$62,'Données projet'!$B$62,AI20+AH21-AQ20)))</f>
        <v>65.362703258931163</v>
      </c>
      <c r="AJ21" s="14">
        <f>AI21*VLOOKUP('Données projet'!$B$10,Paramètres!$A$1:$I$89,3,0)*VLOOKUP('Données projet'!$B$10,Paramètres!$A$1:$I$89,5,0)</f>
        <v>57.100857567002279</v>
      </c>
      <c r="AK21" s="14">
        <f t="shared" si="35"/>
        <v>16.433175500367497</v>
      </c>
      <c r="AL21" s="22">
        <f t="shared" si="4"/>
        <v>128.07177425900235</v>
      </c>
      <c r="AM21" s="60">
        <f t="shared" si="5"/>
        <v>421.40510759233564</v>
      </c>
      <c r="AN21" s="60">
        <f ca="1">AVERAGE(OFFSET($AM$3,0,0,'Données projet'!$E$10+1,1))-AVERAGE(OFFSET($H$3,0,0,'Données projet'!$E$10+1,1))</f>
        <v>233.41481265653817</v>
      </c>
      <c r="AO21" s="60">
        <f t="shared" si="36"/>
        <v>300.97465452084055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11.54</v>
      </c>
      <c r="BD21" s="13">
        <f>IF('Données projet'!$A$88&gt;35,BD20+BC21-BL20,IF(A21&lt;'Données projet'!$A$88,$BA$205^A21,IF(A21='Données projet'!$A$88,'Données projet'!$B$88,BD20+BC21-BL20)))</f>
        <v>72.02</v>
      </c>
      <c r="BE21" s="14">
        <f>BD21*VLOOKUP('Données projet'!$B$11,Paramètres!$A$1:$I$89,3,0)*VLOOKUP('Données projet'!$B$11,Paramètres!$A$1:$I$89,5,0)</f>
        <v>57.299111999999994</v>
      </c>
      <c r="BF21" s="14">
        <f t="shared" si="37"/>
        <v>16.483580059789663</v>
      </c>
      <c r="BG21" s="22">
        <f t="shared" si="7"/>
        <v>128.50485533746698</v>
      </c>
      <c r="BH21" s="60">
        <f t="shared" si="8"/>
        <v>421.83818867080026</v>
      </c>
      <c r="BI21" s="60">
        <f ca="1">AVERAGE(OFFSET($BH$3,0,0,'Données projet'!$E$11+1,1))-AVERAGE(OFFSET($H$3,0,0,'Données projet'!$E$11+1,1))</f>
        <v>238.47463071449789</v>
      </c>
      <c r="BJ21" s="60">
        <f t="shared" si="38"/>
        <v>270.92950919803718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0" t="e">
        <f t="shared" si="11"/>
        <v>#N/A</v>
      </c>
      <c r="CD21" s="60" t="e">
        <f ca="1">AVERAGE(OFFSET($CC$3,0,0,'Données projet'!$E$12+1,1))-AVERAGE(OFFSET($H$3,0,0,'Données projet'!$E$12+1,1))</f>
        <v>#N/A</v>
      </c>
      <c r="CE21" s="60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0" t="e">
        <f t="shared" si="14"/>
        <v>#N/A</v>
      </c>
      <c r="CY21" s="60" t="e">
        <f ca="1">AVERAGE(OFFSET($CX$3,0,0,'Données projet'!$E$13+1,1))-AVERAGE(OFFSET($H$3,0,0,'Données projet'!$E$13+1,1))</f>
        <v>#N/A</v>
      </c>
      <c r="CZ21" s="60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0" t="e">
        <f t="shared" si="17"/>
        <v>#N/A</v>
      </c>
      <c r="DT21" s="60" t="e">
        <f ca="1">AVERAGE(OFFSET($DS$3,0,0,'Données projet'!$E$14+1,1))-AVERAGE(OFFSET($H$3,0,0,'Données projet'!$E$14+1,1))</f>
        <v>#N/A</v>
      </c>
      <c r="DU21" s="60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0" t="e">
        <f t="shared" si="20"/>
        <v>#N/A</v>
      </c>
      <c r="EO21" s="60" t="e">
        <f ca="1">AVERAGE(OFFSET($EN$3,0,0,'Données projet'!$E$15+1,1))-AVERAGE(OFFSET($H$3,0,0,'Données projet'!$E$15+1,1))</f>
        <v>#N/A</v>
      </c>
      <c r="EP21" s="60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8">
        <f t="shared" si="1"/>
        <v>314.92021764503886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148.17692307692306</v>
      </c>
      <c r="L22" s="13">
        <f>VLOOKUP(A22,'Données projet'!$A$35:$I$55,9,0)</f>
        <v>7.7987854251012134</v>
      </c>
      <c r="M22" s="13">
        <f t="array" ref="M22">INDEX(L:L,MIN(IF(ISNUMBER(L22:L218),ROW(L22:L218),"")))</f>
        <v>7.7987854251012134</v>
      </c>
      <c r="N22" s="14">
        <f>IF('Données projet'!$A$36&gt;35,N21+M22-V21,IF(A22&lt;'Données projet'!$A$36,$K$205^A22,IF(A22='Données projet'!$A$36,'Données projet'!$B$36,N21+M22-V21)))</f>
        <v>148.17692307692306</v>
      </c>
      <c r="O22" s="14">
        <f>N22*VLOOKUP('Données projet'!$B$9,Paramètres!$A$1:$I$89,3,0)*VLOOKUP('Données projet'!$B$9,Paramètres!$A$1:$I$89,5,0)</f>
        <v>82.830899999999986</v>
      </c>
      <c r="P22" s="14">
        <f t="shared" si="33"/>
        <v>22.827946813839315</v>
      </c>
      <c r="Q22" s="22">
        <f t="shared" si="2"/>
        <v>184.02249153410344</v>
      </c>
      <c r="R22" s="60">
        <f t="shared" si="0"/>
        <v>477.35582486743675</v>
      </c>
      <c r="S22" s="60">
        <f ca="1">AVERAGE(OFFSET($R$3,0,0,'Données projet'!$E$9+1,1))-AVERAGE(OFFSET($H$3,0,0,'Données projet'!$E$9+1,1))</f>
        <v>256.47911362806866</v>
      </c>
      <c r="T22" s="60">
        <f t="shared" si="34"/>
        <v>230.93438491511529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5.2</v>
      </c>
      <c r="AI22" s="14">
        <f>IF('Données projet'!$A$62&gt;35,AI21+AH22-AQ21,IF(A22&lt;'Données projet'!$A$62,$AF$205^A22,IF(A22='Données projet'!$A$62,'Données projet'!$B$62,AI21+AH22-AQ21)))</f>
        <v>82.448293729639104</v>
      </c>
      <c r="AJ22" s="14">
        <f>AI22*VLOOKUP('Données projet'!$B$10,Paramètres!$A$1:$I$89,3,0)*VLOOKUP('Données projet'!$B$10,Paramètres!$A$1:$I$89,5,0)</f>
        <v>72.026829402212726</v>
      </c>
      <c r="AK22" s="14">
        <f t="shared" si="35"/>
        <v>20.175951549327085</v>
      </c>
      <c r="AL22" s="22">
        <f t="shared" si="4"/>
        <v>160.58651015726517</v>
      </c>
      <c r="AM22" s="60">
        <f t="shared" si="5"/>
        <v>453.91984349059851</v>
      </c>
      <c r="AN22" s="60">
        <f ca="1">AVERAGE(OFFSET($AM$3,0,0,'Données projet'!$E$10+1,1))-AVERAGE(OFFSET($H$3,0,0,'Données projet'!$E$10+1,1))</f>
        <v>233.41481265653817</v>
      </c>
      <c r="AO22" s="60">
        <f t="shared" si="36"/>
        <v>300.97465452084055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11.54</v>
      </c>
      <c r="BD22" s="13">
        <f>IF('Données projet'!$A$88&gt;35,BD21+BC22-BL21,IF(A22&lt;'Données projet'!$A$88,$BA$205^A22,IF(A22='Données projet'!$A$88,'Données projet'!$B$88,BD21+BC22-BL21)))</f>
        <v>83.56</v>
      </c>
      <c r="BE22" s="14">
        <f>BD22*VLOOKUP('Données projet'!$B$11,Paramètres!$A$1:$I$89,3,0)*VLOOKUP('Données projet'!$B$11,Paramètres!$A$1:$I$89,5,0)</f>
        <v>66.480336000000008</v>
      </c>
      <c r="BF22" s="14">
        <f t="shared" si="37"/>
        <v>18.796793982740784</v>
      </c>
      <c r="BG22" s="22">
        <f t="shared" si="7"/>
        <v>148.52433471994019</v>
      </c>
      <c r="BH22" s="60">
        <f t="shared" si="8"/>
        <v>441.85766805327353</v>
      </c>
      <c r="BI22" s="60">
        <f ca="1">AVERAGE(OFFSET($BH$3,0,0,'Données projet'!$E$11+1,1))-AVERAGE(OFFSET($H$3,0,0,'Données projet'!$E$11+1,1))</f>
        <v>238.47463071449789</v>
      </c>
      <c r="BJ22" s="60">
        <f t="shared" si="38"/>
        <v>270.92950919803718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0" t="e">
        <f t="shared" si="11"/>
        <v>#N/A</v>
      </c>
      <c r="CD22" s="60" t="e">
        <f ca="1">AVERAGE(OFFSET($CC$3,0,0,'Données projet'!$E$12+1,1))-AVERAGE(OFFSET($H$3,0,0,'Données projet'!$E$12+1,1))</f>
        <v>#N/A</v>
      </c>
      <c r="CE22" s="60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0" t="e">
        <f t="shared" si="14"/>
        <v>#N/A</v>
      </c>
      <c r="CY22" s="60" t="e">
        <f ca="1">AVERAGE(OFFSET($CX$3,0,0,'Données projet'!$E$13+1,1))-AVERAGE(OFFSET($H$3,0,0,'Données projet'!$E$13+1,1))</f>
        <v>#N/A</v>
      </c>
      <c r="CZ22" s="60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0" t="e">
        <f t="shared" si="17"/>
        <v>#N/A</v>
      </c>
      <c r="DT22" s="60" t="e">
        <f ca="1">AVERAGE(OFFSET($DS$3,0,0,'Données projet'!$E$14+1,1))-AVERAGE(OFFSET($H$3,0,0,'Données projet'!$E$14+1,1))</f>
        <v>#N/A</v>
      </c>
      <c r="DU22" s="60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0" t="e">
        <f t="shared" si="20"/>
        <v>#N/A</v>
      </c>
      <c r="EO22" s="60" t="e">
        <f ca="1">AVERAGE(OFFSET($EN$3,0,0,'Données projet'!$E$15+1,1))-AVERAGE(OFFSET($H$3,0,0,'Données projet'!$E$15+1,1))</f>
        <v>#N/A</v>
      </c>
      <c r="EP22" s="60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8">
        <f t="shared" si="1"/>
        <v>316.02084222454056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15.942307692307708</v>
      </c>
      <c r="N23" s="14">
        <f>IF('Données projet'!$A$36&gt;35,N22+M23-V22,IF(A23&lt;'Données projet'!$A$36,$K$205^A23,IF(A23='Données projet'!$A$36,'Données projet'!$B$36,N22+M23-V22)))</f>
        <v>164.11923076923077</v>
      </c>
      <c r="O23" s="14">
        <f>N23*VLOOKUP('Données projet'!$B$9,Paramètres!$A$1:$I$89,3,0)*VLOOKUP('Données projet'!$B$9,Paramètres!$A$1:$I$89,5,0)</f>
        <v>91.742650000000012</v>
      </c>
      <c r="P23" s="14">
        <f t="shared" si="33"/>
        <v>24.985039964008102</v>
      </c>
      <c r="Q23" s="22">
        <f t="shared" si="2"/>
        <v>203.3007266873141</v>
      </c>
      <c r="R23" s="60">
        <f t="shared" si="0"/>
        <v>496.63406002064744</v>
      </c>
      <c r="S23" s="60">
        <f ca="1">AVERAGE(OFFSET($R$3,0,0,'Données projet'!$E$9+1,1))-AVERAGE(OFFSET($H$3,0,0,'Données projet'!$E$9+1,1))</f>
        <v>256.47911362806866</v>
      </c>
      <c r="T23" s="60">
        <f t="shared" si="34"/>
        <v>230.93438491511529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104</v>
      </c>
      <c r="AG23" s="13">
        <f>VLOOKUP(A23,'Données projet'!$A$61:$I$81,9,0)</f>
        <v>5.2</v>
      </c>
      <c r="AH23" s="13">
        <f t="array" ref="AH23">INDEX(AG:AG,MIN(IF(ISNUMBER(AG23:AG219),ROW(AG23:AG219),"")))</f>
        <v>5.2</v>
      </c>
      <c r="AI23" s="14">
        <f>IF('Données projet'!$A$62&gt;35,AI22+AH23-AQ22,IF(A23&lt;'Données projet'!$A$62,$AF$205^A23,IF(A23='Données projet'!$A$62,'Données projet'!$B$62,AI22+AH23-AQ22)))</f>
        <v>104</v>
      </c>
      <c r="AJ23" s="14">
        <f>AI23*VLOOKUP('Données projet'!$B$10,Paramètres!$A$1:$I$89,3,0)*VLOOKUP('Données projet'!$B$10,Paramètres!$A$1:$I$89,5,0)</f>
        <v>90.854400000000012</v>
      </c>
      <c r="AK23" s="14">
        <f t="shared" si="35"/>
        <v>24.771172249191284</v>
      </c>
      <c r="AL23" s="22">
        <f t="shared" si="4"/>
        <v>201.38120500067484</v>
      </c>
      <c r="AM23" s="60">
        <f t="shared" si="5"/>
        <v>494.71453833400813</v>
      </c>
      <c r="AN23" s="60">
        <f ca="1">AVERAGE(OFFSET($AM$3,0,0,'Données projet'!$E$10+1,1))-AVERAGE(OFFSET($H$3,0,0,'Données projet'!$E$10+1,1))</f>
        <v>233.41481265653817</v>
      </c>
      <c r="AO23" s="60">
        <f t="shared" si="36"/>
        <v>300.97465452084055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32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95.1</v>
      </c>
      <c r="BB23" s="13">
        <f>VLOOKUP(A23,'Données projet'!$A$87:$I$107,9,0)</f>
        <v>11.54</v>
      </c>
      <c r="BC23" s="13">
        <f t="array" ref="BC23">INDEX(BB:BB,MIN(IF(ISNUMBER(BB23:BB219),ROW(BB23:BB219),"")))</f>
        <v>11.54</v>
      </c>
      <c r="BD23" s="13">
        <f>IF('Données projet'!$A$88&gt;35,BD22+BC23-BL22,IF(A23&lt;'Données projet'!$A$88,$BA$205^A23,IF(A23='Données projet'!$A$88,'Données projet'!$B$88,BD22+BC23-BL22)))</f>
        <v>95.1</v>
      </c>
      <c r="BE23" s="14">
        <f>BD23*VLOOKUP('Données projet'!$B$11,Paramètres!$A$1:$I$89,3,0)*VLOOKUP('Données projet'!$B$11,Paramètres!$A$1:$I$89,5,0)</f>
        <v>75.661559999999994</v>
      </c>
      <c r="BF23" s="14">
        <f t="shared" si="37"/>
        <v>21.072995399411479</v>
      </c>
      <c r="BG23" s="22">
        <f t="shared" si="7"/>
        <v>168.47935065397499</v>
      </c>
      <c r="BH23" s="60">
        <f t="shared" si="8"/>
        <v>461.81268398730833</v>
      </c>
      <c r="BI23" s="60">
        <f ca="1">AVERAGE(OFFSET($BH$3,0,0,'Données projet'!$E$11+1,1))-AVERAGE(OFFSET($H$3,0,0,'Données projet'!$E$11+1,1))</f>
        <v>238.47463071449789</v>
      </c>
      <c r="BJ23" s="60">
        <f t="shared" si="38"/>
        <v>270.92950919803718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43.1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0" t="e">
        <f t="shared" si="11"/>
        <v>#N/A</v>
      </c>
      <c r="CD23" s="60" t="e">
        <f ca="1">AVERAGE(OFFSET($CC$3,0,0,'Données projet'!$E$12+1,1))-AVERAGE(OFFSET($H$3,0,0,'Données projet'!$E$12+1,1))</f>
        <v>#N/A</v>
      </c>
      <c r="CE23" s="60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0" t="e">
        <f t="shared" si="14"/>
        <v>#N/A</v>
      </c>
      <c r="CY23" s="60" t="e">
        <f ca="1">AVERAGE(OFFSET($CX$3,0,0,'Données projet'!$E$13+1,1))-AVERAGE(OFFSET($H$3,0,0,'Données projet'!$E$13+1,1))</f>
        <v>#N/A</v>
      </c>
      <c r="CZ23" s="60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0" t="e">
        <f t="shared" si="17"/>
        <v>#N/A</v>
      </c>
      <c r="DT23" s="60" t="e">
        <f ca="1">AVERAGE(OFFSET($DS$3,0,0,'Données projet'!$E$14+1,1))-AVERAGE(OFFSET($H$3,0,0,'Données projet'!$E$14+1,1))</f>
        <v>#N/A</v>
      </c>
      <c r="DU23" s="60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0" t="e">
        <f t="shared" si="20"/>
        <v>#N/A</v>
      </c>
      <c r="EO23" s="60" t="e">
        <f ca="1">AVERAGE(OFFSET($EN$3,0,0,'Données projet'!$E$15+1,1))-AVERAGE(OFFSET($H$3,0,0,'Données projet'!$E$15+1,1))</f>
        <v>#N/A</v>
      </c>
      <c r="EP23" s="60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8">
        <f t="shared" si="1"/>
        <v>317.11994059772178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180.06153846153848</v>
      </c>
      <c r="L24" s="13">
        <f>VLOOKUP(A24,'Données projet'!$A$35:$I$55,9,0)</f>
        <v>15.942307692307708</v>
      </c>
      <c r="M24" s="13">
        <f t="array" ref="M24">INDEX(L:L,MIN(IF(ISNUMBER(L24:L220),ROW(L24:L220),"")))</f>
        <v>15.942307692307708</v>
      </c>
      <c r="N24" s="14">
        <f>IF('Données projet'!$A$36&gt;35,N23+M24-V23,IF(A24&lt;'Données projet'!$A$36,$K$205^A24,IF(A24='Données projet'!$A$36,'Données projet'!$B$36,N23+M24-V23)))</f>
        <v>180.06153846153848</v>
      </c>
      <c r="O24" s="14">
        <f>N24*VLOOKUP('Données projet'!$B$9,Paramètres!$A$1:$I$89,3,0)*VLOOKUP('Données projet'!$B$9,Paramètres!$A$1:$I$89,5,0)</f>
        <v>100.65440000000001</v>
      </c>
      <c r="P24" s="14">
        <f t="shared" si="33"/>
        <v>27.117840091618859</v>
      </c>
      <c r="Q24" s="22">
        <f t="shared" si="2"/>
        <v>222.53665149290285</v>
      </c>
      <c r="R24" s="60">
        <f t="shared" si="0"/>
        <v>515.86998482623619</v>
      </c>
      <c r="S24" s="60">
        <f ca="1">AVERAGE(OFFSET($R$3,0,0,'Données projet'!$E$9+1,1))-AVERAGE(OFFSET($H$3,0,0,'Données projet'!$E$9+1,1))</f>
        <v>256.47911362806866</v>
      </c>
      <c r="T24" s="60">
        <f t="shared" si="34"/>
        <v>230.93438491511529</v>
      </c>
      <c r="U24" s="16">
        <f>IF(ISNA(VLOOKUP(A24,'Données projet'!$A$35:$I$55,3,0)),0,VLOOKUP(A24,'Données projet'!$A$35:$I$55,3,0))</f>
        <v>1</v>
      </c>
      <c r="V24" s="16">
        <f>IF(ISNA(VLOOKUP(A24,'Données projet'!$A$35:$I$55,4,0)),0,VLOOKUP(A24,'Données projet'!$A$35:$I$55,4,0))</f>
        <v>61.169230769230765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1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38.715098288700958</v>
      </c>
      <c r="AC24" s="24">
        <f t="shared" si="3"/>
        <v>38.715098288700958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10.6</v>
      </c>
      <c r="AI24" s="14">
        <f>IF('Données projet'!$A$62&gt;35,AI23+AH24-AQ23,IF(A24&lt;'Données projet'!$A$62,$AF$205^A24,IF(A24='Données projet'!$A$62,'Données projet'!$B$62,AI23+AH24-AQ23)))</f>
        <v>82.6</v>
      </c>
      <c r="AJ24" s="14">
        <f>AI24*VLOOKUP('Données projet'!$B$10,Paramètres!$A$1:$I$89,3,0)*VLOOKUP('Données projet'!$B$10,Paramètres!$A$1:$I$89,5,0)</f>
        <v>72.159360000000007</v>
      </c>
      <c r="AK24" s="14">
        <f t="shared" si="35"/>
        <v>20.208750890014226</v>
      </c>
      <c r="AL24" s="22">
        <f t="shared" si="4"/>
        <v>160.8744598001081</v>
      </c>
      <c r="AM24" s="60">
        <f t="shared" si="5"/>
        <v>454.20779313344144</v>
      </c>
      <c r="AN24" s="60">
        <f ca="1">AVERAGE(OFFSET($AM$3,0,0,'Données projet'!$E$10+1,1))-AVERAGE(OFFSET($H$3,0,0,'Données projet'!$E$10+1,1))</f>
        <v>233.41481265653817</v>
      </c>
      <c r="AO24" s="60">
        <f t="shared" si="36"/>
        <v>300.97465452084055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12.500000000000002</v>
      </c>
      <c r="BD24" s="13">
        <f>IF('Données projet'!$A$88&gt;35,BD23+BC24-BL23,IF(A24&lt;'Données projet'!$A$88,$BA$205^A24,IF(A24='Données projet'!$A$88,'Données projet'!$B$88,BD23+BC24-BL23)))</f>
        <v>64.5</v>
      </c>
      <c r="BE24" s="14">
        <f>BD24*VLOOKUP('Données projet'!$B$11,Paramètres!$A$1:$I$89,3,0)*VLOOKUP('Données projet'!$B$11,Paramètres!$A$1:$I$89,5,0)</f>
        <v>51.316200000000009</v>
      </c>
      <c r="BF24" s="14">
        <f t="shared" si="37"/>
        <v>14.953158316506878</v>
      </c>
      <c r="BG24" s="22">
        <f t="shared" si="7"/>
        <v>115.41913240124948</v>
      </c>
      <c r="BH24" s="60">
        <f t="shared" si="8"/>
        <v>408.75246573458281</v>
      </c>
      <c r="BI24" s="60">
        <f ca="1">AVERAGE(OFFSET($BH$3,0,0,'Données projet'!$E$11+1,1))-AVERAGE(OFFSET($H$3,0,0,'Données projet'!$E$11+1,1))</f>
        <v>238.47463071449789</v>
      </c>
      <c r="BJ24" s="60">
        <f t="shared" si="38"/>
        <v>270.92950919803718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0" t="e">
        <f t="shared" si="11"/>
        <v>#N/A</v>
      </c>
      <c r="CD24" s="60" t="e">
        <f ca="1">AVERAGE(OFFSET($CC$3,0,0,'Données projet'!$E$12+1,1))-AVERAGE(OFFSET($H$3,0,0,'Données projet'!$E$12+1,1))</f>
        <v>#N/A</v>
      </c>
      <c r="CE24" s="60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0" t="e">
        <f t="shared" si="14"/>
        <v>#N/A</v>
      </c>
      <c r="CY24" s="60" t="e">
        <f ca="1">AVERAGE(OFFSET($CX$3,0,0,'Données projet'!$E$13+1,1))-AVERAGE(OFFSET($H$3,0,0,'Données projet'!$E$13+1,1))</f>
        <v>#N/A</v>
      </c>
      <c r="CZ24" s="60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0" t="e">
        <f t="shared" si="17"/>
        <v>#N/A</v>
      </c>
      <c r="DT24" s="60" t="e">
        <f ca="1">AVERAGE(OFFSET($DS$3,0,0,'Données projet'!$E$14+1,1))-AVERAGE(OFFSET($H$3,0,0,'Données projet'!$E$14+1,1))</f>
        <v>#N/A</v>
      </c>
      <c r="DU24" s="60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0" t="e">
        <f t="shared" si="20"/>
        <v>#N/A</v>
      </c>
      <c r="EO24" s="60" t="e">
        <f ca="1">AVERAGE(OFFSET($EN$3,0,0,'Données projet'!$E$15+1,1))-AVERAGE(OFFSET($H$3,0,0,'Données projet'!$E$15+1,1))</f>
        <v>#N/A</v>
      </c>
      <c r="EP24" s="60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8">
        <f t="shared" si="1"/>
        <v>318.21759373877319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16.687912087912085</v>
      </c>
      <c r="N25" s="14">
        <f>IF('Données projet'!$A$36&gt;35,N24+M25-V24,IF(A25&lt;'Données projet'!$A$36,$K$205^A25,IF(A25='Données projet'!$A$36,'Données projet'!$B$36,N24+M25-V24)))</f>
        <v>135.58021978021981</v>
      </c>
      <c r="O25" s="14">
        <f>N25*VLOOKUP('Données projet'!$B$9,Paramètres!$A$1:$I$89,3,0)*VLOOKUP('Données projet'!$B$9,Paramètres!$A$1:$I$89,5,0)</f>
        <v>75.78934285714287</v>
      </c>
      <c r="P25" s="14">
        <f t="shared" si="33"/>
        <v>21.104439314832948</v>
      </c>
      <c r="Q25" s="22">
        <f t="shared" si="2"/>
        <v>168.7566706161912</v>
      </c>
      <c r="R25" s="60">
        <f t="shared" si="0"/>
        <v>462.09000394952454</v>
      </c>
      <c r="S25" s="60">
        <f ca="1">AVERAGE(OFFSET($R$3,0,0,'Données projet'!$E$9+1,1))-AVERAGE(OFFSET($H$3,0,0,'Données projet'!$E$9+1,1))</f>
        <v>256.47911362806866</v>
      </c>
      <c r="T25" s="60">
        <f t="shared" si="34"/>
        <v>230.93438491511529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27.375708534244151</v>
      </c>
      <c r="AC25" s="24">
        <f t="shared" si="3"/>
        <v>27.375708534244151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10.6</v>
      </c>
      <c r="AI25" s="14">
        <f>IF('Données projet'!$A$62&gt;35,AI24+AH25-AQ24,IF(A25&lt;'Données projet'!$A$62,$AF$205^A25,IF(A25='Données projet'!$A$62,'Données projet'!$B$62,AI24+AH25-AQ24)))</f>
        <v>93.199999999999989</v>
      </c>
      <c r="AJ25" s="14">
        <f>AI25*VLOOKUP('Données projet'!$B$10,Paramètres!$A$1:$I$89,3,0)*VLOOKUP('Données projet'!$B$10,Paramètres!$A$1:$I$89,5,0)</f>
        <v>81.419520000000006</v>
      </c>
      <c r="AK25" s="14">
        <f t="shared" si="35"/>
        <v>22.483908063290368</v>
      </c>
      <c r="AL25" s="22">
        <f t="shared" si="4"/>
        <v>180.96513721023075</v>
      </c>
      <c r="AM25" s="60">
        <f t="shared" si="5"/>
        <v>474.29847054356406</v>
      </c>
      <c r="AN25" s="60">
        <f ca="1">AVERAGE(OFFSET($AM$3,0,0,'Données projet'!$E$10+1,1))-AVERAGE(OFFSET($H$3,0,0,'Données projet'!$E$10+1,1))</f>
        <v>233.41481265653817</v>
      </c>
      <c r="AO25" s="60">
        <f t="shared" si="36"/>
        <v>300.97465452084055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12.500000000000002</v>
      </c>
      <c r="BD25" s="13">
        <f>IF('Données projet'!$A$88&gt;35,BD24+BC25-BL24,IF(A25&lt;'Données projet'!$A$88,$BA$205^A25,IF(A25='Données projet'!$A$88,'Données projet'!$B$88,BD24+BC25-BL24)))</f>
        <v>77</v>
      </c>
      <c r="BE25" s="14">
        <f>BD25*VLOOKUP('Données projet'!$B$11,Paramètres!$A$1:$I$89,3,0)*VLOOKUP('Données projet'!$B$11,Paramètres!$A$1:$I$89,5,0)</f>
        <v>61.261200000000009</v>
      </c>
      <c r="BF25" s="14">
        <f t="shared" si="37"/>
        <v>17.486752865339852</v>
      </c>
      <c r="BG25" s="22">
        <f t="shared" si="7"/>
        <v>137.15268457380026</v>
      </c>
      <c r="BH25" s="60">
        <f t="shared" si="8"/>
        <v>430.4860179071336</v>
      </c>
      <c r="BI25" s="60">
        <f ca="1">AVERAGE(OFFSET($BH$3,0,0,'Données projet'!$E$11+1,1))-AVERAGE(OFFSET($H$3,0,0,'Données projet'!$E$11+1,1))</f>
        <v>238.47463071449789</v>
      </c>
      <c r="BJ25" s="60">
        <f t="shared" si="38"/>
        <v>270.92950919803718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0" t="e">
        <f t="shared" si="11"/>
        <v>#N/A</v>
      </c>
      <c r="CD25" s="60" t="e">
        <f ca="1">AVERAGE(OFFSET($CC$3,0,0,'Données projet'!$E$12+1,1))-AVERAGE(OFFSET($H$3,0,0,'Données projet'!$E$12+1,1))</f>
        <v>#N/A</v>
      </c>
      <c r="CE25" s="60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0" t="e">
        <f t="shared" si="14"/>
        <v>#N/A</v>
      </c>
      <c r="CY25" s="60" t="e">
        <f ca="1">AVERAGE(OFFSET($CX$3,0,0,'Données projet'!$E$13+1,1))-AVERAGE(OFFSET($H$3,0,0,'Données projet'!$E$13+1,1))</f>
        <v>#N/A</v>
      </c>
      <c r="CZ25" s="60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0" t="e">
        <f t="shared" si="17"/>
        <v>#N/A</v>
      </c>
      <c r="DT25" s="60" t="e">
        <f ca="1">AVERAGE(OFFSET($DS$3,0,0,'Données projet'!$E$14+1,1))-AVERAGE(OFFSET($H$3,0,0,'Données projet'!$E$14+1,1))</f>
        <v>#N/A</v>
      </c>
      <c r="DU25" s="60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0" t="e">
        <f t="shared" si="20"/>
        <v>#N/A</v>
      </c>
      <c r="EO25" s="60" t="e">
        <f ca="1">AVERAGE(OFFSET($EN$3,0,0,'Données projet'!$E$15+1,1))-AVERAGE(OFFSET($H$3,0,0,'Données projet'!$E$15+1,1))</f>
        <v>#N/A</v>
      </c>
      <c r="EP25" s="60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8">
        <f t="shared" si="1"/>
        <v>319.31387484448885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16.687912087912085</v>
      </c>
      <c r="N26" s="14">
        <f>IF('Données projet'!$A$36&gt;35,N25+M26-V25,IF(A26&lt;'Données projet'!$A$36,$K$205^A26,IF(A26='Données projet'!$A$36,'Données projet'!$B$36,N25+M26-V25)))</f>
        <v>152.26813186813189</v>
      </c>
      <c r="O26" s="14">
        <f>N26*VLOOKUP('Données projet'!$B$9,Paramètres!$A$1:$I$89,3,0)*VLOOKUP('Données projet'!$B$9,Paramètres!$A$1:$I$89,5,0)</f>
        <v>85.11788571428572</v>
      </c>
      <c r="P26" s="14">
        <f t="shared" si="33"/>
        <v>23.383981996566973</v>
      </c>
      <c r="Q26" s="22">
        <f t="shared" si="2"/>
        <v>188.97408626306844</v>
      </c>
      <c r="R26" s="60">
        <f t="shared" si="0"/>
        <v>482.30741959640176</v>
      </c>
      <c r="S26" s="60">
        <f ca="1">AVERAGE(OFFSET($R$3,0,0,'Données projet'!$E$9+1,1))-AVERAGE(OFFSET($H$3,0,0,'Données projet'!$E$9+1,1))</f>
        <v>256.47911362806866</v>
      </c>
      <c r="T26" s="60">
        <f t="shared" si="34"/>
        <v>230.93438491511529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19.357549144350482</v>
      </c>
      <c r="AC26" s="24">
        <f t="shared" si="3"/>
        <v>19.357549144350482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10.6</v>
      </c>
      <c r="AI26" s="14">
        <f>IF('Données projet'!$A$62&gt;35,AI25+AH26-AQ25,IF(A26&lt;'Données projet'!$A$62,$AF$205^A26,IF(A26='Données projet'!$A$62,'Données projet'!$B$62,AI25+AH26-AQ25)))</f>
        <v>103.79999999999998</v>
      </c>
      <c r="AJ26" s="14">
        <f>AI26*VLOOKUP('Données projet'!$B$10,Paramètres!$A$1:$I$89,3,0)*VLOOKUP('Données projet'!$B$10,Paramètres!$A$1:$I$89,5,0)</f>
        <v>90.679679999999991</v>
      </c>
      <c r="AK26" s="14">
        <f t="shared" si="35"/>
        <v>24.729075596681458</v>
      </c>
      <c r="AL26" s="22">
        <f t="shared" si="4"/>
        <v>201.00358266422018</v>
      </c>
      <c r="AM26" s="60">
        <f t="shared" si="5"/>
        <v>494.33691599755349</v>
      </c>
      <c r="AN26" s="60">
        <f ca="1">AVERAGE(OFFSET($AM$3,0,0,'Données projet'!$E$10+1,1))-AVERAGE(OFFSET($H$3,0,0,'Données projet'!$E$10+1,1))</f>
        <v>233.41481265653817</v>
      </c>
      <c r="AO26" s="60">
        <f t="shared" si="36"/>
        <v>300.97465452084055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12.500000000000002</v>
      </c>
      <c r="BD26" s="13">
        <f>IF('Données projet'!$A$88&gt;35,BD25+BC26-BL25,IF(A26&lt;'Données projet'!$A$88,$BA$205^A26,IF(A26='Données projet'!$A$88,'Données projet'!$B$88,BD25+BC26-BL25)))</f>
        <v>89.5</v>
      </c>
      <c r="BE26" s="14">
        <f>BD26*VLOOKUP('Données projet'!$B$11,Paramètres!$A$1:$I$89,3,0)*VLOOKUP('Données projet'!$B$11,Paramètres!$A$1:$I$89,5,0)</f>
        <v>71.20620000000001</v>
      </c>
      <c r="BF26" s="14">
        <f t="shared" si="37"/>
        <v>19.972701050724211</v>
      </c>
      <c r="BG26" s="22">
        <f t="shared" si="7"/>
        <v>158.80325266334467</v>
      </c>
      <c r="BH26" s="60">
        <f t="shared" si="8"/>
        <v>452.13658599667798</v>
      </c>
      <c r="BI26" s="60">
        <f ca="1">AVERAGE(OFFSET($BH$3,0,0,'Données projet'!$E$11+1,1))-AVERAGE(OFFSET($H$3,0,0,'Données projet'!$E$11+1,1))</f>
        <v>238.47463071449789</v>
      </c>
      <c r="BJ26" s="60">
        <f t="shared" si="38"/>
        <v>270.92950919803718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0" t="e">
        <f t="shared" si="11"/>
        <v>#N/A</v>
      </c>
      <c r="CD26" s="60" t="e">
        <f ca="1">AVERAGE(OFFSET($CC$3,0,0,'Données projet'!$E$12+1,1))-AVERAGE(OFFSET($H$3,0,0,'Données projet'!$E$12+1,1))</f>
        <v>#N/A</v>
      </c>
      <c r="CE26" s="60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0" t="e">
        <f t="shared" si="14"/>
        <v>#N/A</v>
      </c>
      <c r="CY26" s="60" t="e">
        <f ca="1">AVERAGE(OFFSET($CX$3,0,0,'Données projet'!$E$13+1,1))-AVERAGE(OFFSET($H$3,0,0,'Données projet'!$E$13+1,1))</f>
        <v>#N/A</v>
      </c>
      <c r="CZ26" s="60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0" t="e">
        <f t="shared" si="17"/>
        <v>#N/A</v>
      </c>
      <c r="DT26" s="60" t="e">
        <f ca="1">AVERAGE(OFFSET($DS$3,0,0,'Données projet'!$E$14+1,1))-AVERAGE(OFFSET($H$3,0,0,'Données projet'!$E$14+1,1))</f>
        <v>#N/A</v>
      </c>
      <c r="DU26" s="60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0" t="e">
        <f t="shared" si="20"/>
        <v>#N/A</v>
      </c>
      <c r="EO26" s="60" t="e">
        <f ca="1">AVERAGE(OFFSET($EN$3,0,0,'Données projet'!$E$15+1,1))-AVERAGE(OFFSET($H$3,0,0,'Données projet'!$E$15+1,1))</f>
        <v>#N/A</v>
      </c>
      <c r="EP26" s="60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8">
        <f t="shared" si="1"/>
        <v>320.40885038678698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16.687912087912085</v>
      </c>
      <c r="N27" s="14">
        <f>IF('Données projet'!$A$36&gt;35,N26+M27-V26,IF(A27&lt;'Données projet'!$A$36,$K$205^A27,IF(A27='Données projet'!$A$36,'Données projet'!$B$36,N26+M27-V26)))</f>
        <v>168.95604395604397</v>
      </c>
      <c r="O27" s="14">
        <f>N27*VLOOKUP('Données projet'!$B$9,Paramètres!$A$1:$I$89,3,0)*VLOOKUP('Données projet'!$B$9,Paramètres!$A$1:$I$89,5,0)</f>
        <v>94.446428571428584</v>
      </c>
      <c r="P27" s="14">
        <f t="shared" si="33"/>
        <v>25.634568296511581</v>
      </c>
      <c r="Q27" s="22">
        <f t="shared" si="2"/>
        <v>209.14106954499582</v>
      </c>
      <c r="R27" s="60">
        <f t="shared" si="0"/>
        <v>502.4744028783291</v>
      </c>
      <c r="S27" s="60">
        <f ca="1">AVERAGE(OFFSET($R$3,0,0,'Données projet'!$E$9+1,1))-AVERAGE(OFFSET($H$3,0,0,'Données projet'!$E$9+1,1))</f>
        <v>256.47911362806866</v>
      </c>
      <c r="T27" s="60">
        <f t="shared" si="34"/>
        <v>230.93438491511529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13.687854267122077</v>
      </c>
      <c r="AC27" s="24">
        <f t="shared" si="3"/>
        <v>13.687854267122077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10.6</v>
      </c>
      <c r="AI27" s="14">
        <f>IF('Données projet'!$A$62&gt;35,AI26+AH27-AQ26,IF(A27&lt;'Données projet'!$A$62,$AF$205^A27,IF(A27='Données projet'!$A$62,'Données projet'!$B$62,AI26+AH27-AQ26)))</f>
        <v>114.39999999999998</v>
      </c>
      <c r="AJ27" s="14">
        <f>AI27*VLOOKUP('Données projet'!$B$10,Paramètres!$A$1:$I$89,3,0)*VLOOKUP('Données projet'!$B$10,Paramètres!$A$1:$I$89,5,0)</f>
        <v>99.93983999999999</v>
      </c>
      <c r="AK27" s="14">
        <f t="shared" si="35"/>
        <v>26.947664756006528</v>
      </c>
      <c r="AL27" s="22">
        <f t="shared" si="4"/>
        <v>220.99573745004466</v>
      </c>
      <c r="AM27" s="60">
        <f t="shared" si="5"/>
        <v>514.32907078337803</v>
      </c>
      <c r="AN27" s="60">
        <f ca="1">AVERAGE(OFFSET($AM$3,0,0,'Données projet'!$E$10+1,1))-AVERAGE(OFFSET($H$3,0,0,'Données projet'!$E$10+1,1))</f>
        <v>233.41481265653817</v>
      </c>
      <c r="AO27" s="60">
        <f t="shared" si="36"/>
        <v>300.97465452084055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12.500000000000002</v>
      </c>
      <c r="BD27" s="13">
        <f>IF('Données projet'!$A$88&gt;35,BD26+BC27-BL26,IF(A27&lt;'Données projet'!$A$88,$BA$205^A27,IF(A27='Données projet'!$A$88,'Données projet'!$B$88,BD26+BC27-BL26)))</f>
        <v>102</v>
      </c>
      <c r="BE27" s="14">
        <f>BD27*VLOOKUP('Données projet'!$B$11,Paramètres!$A$1:$I$89,3,0)*VLOOKUP('Données projet'!$B$11,Paramètres!$A$1:$I$89,5,0)</f>
        <v>81.151200000000003</v>
      </c>
      <c r="BF27" s="14">
        <f t="shared" si="37"/>
        <v>22.418424032002342</v>
      </c>
      <c r="BG27" s="22">
        <f t="shared" si="7"/>
        <v>180.38376185573739</v>
      </c>
      <c r="BH27" s="60">
        <f t="shared" si="8"/>
        <v>473.71709518907073</v>
      </c>
      <c r="BI27" s="60">
        <f ca="1">AVERAGE(OFFSET($BH$3,0,0,'Données projet'!$E$11+1,1))-AVERAGE(OFFSET($H$3,0,0,'Données projet'!$E$11+1,1))</f>
        <v>238.47463071449789</v>
      </c>
      <c r="BJ27" s="60">
        <f t="shared" si="38"/>
        <v>270.92950919803718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0" t="e">
        <f t="shared" si="11"/>
        <v>#N/A</v>
      </c>
      <c r="CD27" s="60" t="e">
        <f ca="1">AVERAGE(OFFSET($CC$3,0,0,'Données projet'!$E$12+1,1))-AVERAGE(OFFSET($H$3,0,0,'Données projet'!$E$12+1,1))</f>
        <v>#N/A</v>
      </c>
      <c r="CE27" s="60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0" t="e">
        <f t="shared" si="14"/>
        <v>#N/A</v>
      </c>
      <c r="CY27" s="60" t="e">
        <f ca="1">AVERAGE(OFFSET($CX$3,0,0,'Données projet'!$E$13+1,1))-AVERAGE(OFFSET($H$3,0,0,'Données projet'!$E$13+1,1))</f>
        <v>#N/A</v>
      </c>
      <c r="CZ27" s="60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0" t="e">
        <f t="shared" si="17"/>
        <v>#N/A</v>
      </c>
      <c r="DT27" s="60" t="e">
        <f ca="1">AVERAGE(OFFSET($DS$3,0,0,'Données projet'!$E$14+1,1))-AVERAGE(OFFSET($H$3,0,0,'Données projet'!$E$14+1,1))</f>
        <v>#N/A</v>
      </c>
      <c r="DU27" s="60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0" t="e">
        <f t="shared" si="20"/>
        <v>#N/A</v>
      </c>
      <c r="EO27" s="60" t="e">
        <f ca="1">AVERAGE(OFFSET($EN$3,0,0,'Données projet'!$E$15+1,1))-AVERAGE(OFFSET($H$3,0,0,'Données projet'!$E$15+1,1))</f>
        <v>#N/A</v>
      </c>
      <c r="EP27" s="60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8">
        <f t="shared" si="1"/>
        <v>321.50258098486643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16.687912087912085</v>
      </c>
      <c r="N28" s="14">
        <f>IF('Données projet'!$A$36&gt;35,N27+M28-V27,IF(A28&lt;'Données projet'!$A$36,$K$205^A28,IF(A28='Données projet'!$A$36,'Données projet'!$B$36,N27+M28-V27)))</f>
        <v>185.64395604395605</v>
      </c>
      <c r="O28" s="14">
        <f>N28*VLOOKUP('Données projet'!$B$9,Paramètres!$A$1:$I$89,3,0)*VLOOKUP('Données projet'!$B$9,Paramètres!$A$1:$I$89,5,0)</f>
        <v>103.77497142857143</v>
      </c>
      <c r="P28" s="14">
        <f t="shared" si="33"/>
        <v>27.859383782043167</v>
      </c>
      <c r="Q28" s="22">
        <f t="shared" si="2"/>
        <v>229.2631686584871</v>
      </c>
      <c r="R28" s="60">
        <f t="shared" si="0"/>
        <v>522.59650199182045</v>
      </c>
      <c r="S28" s="60">
        <f ca="1">AVERAGE(OFFSET($R$3,0,0,'Données projet'!$E$9+1,1))-AVERAGE(OFFSET($H$3,0,0,'Données projet'!$E$9+1,1))</f>
        <v>256.47911362806866</v>
      </c>
      <c r="T28" s="60">
        <f t="shared" si="34"/>
        <v>230.93438491511529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9.6787745721752412</v>
      </c>
      <c r="AC28" s="24">
        <f t="shared" si="3"/>
        <v>9.6787745721752412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125</v>
      </c>
      <c r="AG28" s="13">
        <f>VLOOKUP(A28,'Données projet'!$A$61:$I$81,9,0)</f>
        <v>10.6</v>
      </c>
      <c r="AH28" s="13">
        <f t="array" ref="AH28">INDEX(AG:AG,MIN(IF(ISNUMBER(AG28:AG224),ROW(AG28:AG224),"")))</f>
        <v>10.6</v>
      </c>
      <c r="AI28" s="14">
        <f>IF('Données projet'!$A$62&gt;35,AI27+AH28-AQ27,IF(A28&lt;'Données projet'!$A$62,$AF$205^A28,IF(A28='Données projet'!$A$62,'Données projet'!$B$62,AI27+AH28-AQ27)))</f>
        <v>124.99999999999997</v>
      </c>
      <c r="AJ28" s="14">
        <f>AI28*VLOOKUP('Données projet'!$B$10,Paramètres!$A$1:$I$89,3,0)*VLOOKUP('Données projet'!$B$10,Paramètres!$A$1:$I$89,5,0)</f>
        <v>109.19999999999999</v>
      </c>
      <c r="AK28" s="14">
        <f t="shared" si="35"/>
        <v>29.142418334948612</v>
      </c>
      <c r="AL28" s="22">
        <f t="shared" si="4"/>
        <v>240.94637860003544</v>
      </c>
      <c r="AM28" s="60">
        <f t="shared" si="5"/>
        <v>534.27971193336873</v>
      </c>
      <c r="AN28" s="60">
        <f ca="1">AVERAGE(OFFSET($AM$3,0,0,'Données projet'!$E$10+1,1))-AVERAGE(OFFSET($H$3,0,0,'Données projet'!$E$10+1,1))</f>
        <v>233.41481265653817</v>
      </c>
      <c r="AO28" s="60">
        <f t="shared" si="36"/>
        <v>300.97465452084055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114.5</v>
      </c>
      <c r="BB28" s="13">
        <f>VLOOKUP(A28,'Données projet'!$A$87:$I$107,9,0)</f>
        <v>12.500000000000002</v>
      </c>
      <c r="BC28" s="13">
        <f t="array" ref="BC28">INDEX(BB:BB,MIN(IF(ISNUMBER(BB28:BB224),ROW(BB28:BB224),"")))</f>
        <v>12.500000000000002</v>
      </c>
      <c r="BD28" s="13">
        <f>IF('Données projet'!$A$88&gt;35,BD27+BC28-BL27,IF(A28&lt;'Données projet'!$A$88,$BA$205^A28,IF(A28='Données projet'!$A$88,'Données projet'!$B$88,BD27+BC28-BL27)))</f>
        <v>114.5</v>
      </c>
      <c r="BE28" s="14">
        <f>BD28*VLOOKUP('Données projet'!$B$11,Paramètres!$A$1:$I$89,3,0)*VLOOKUP('Données projet'!$B$11,Paramètres!$A$1:$I$89,5,0)</f>
        <v>91.09620000000001</v>
      </c>
      <c r="BF28" s="14">
        <f t="shared" si="37"/>
        <v>24.829415470949538</v>
      </c>
      <c r="BG28" s="22">
        <f t="shared" si="7"/>
        <v>201.90378027857048</v>
      </c>
      <c r="BH28" s="60">
        <f t="shared" si="8"/>
        <v>495.23711361190379</v>
      </c>
      <c r="BI28" s="60">
        <f ca="1">AVERAGE(OFFSET($BH$3,0,0,'Données projet'!$E$11+1,1))-AVERAGE(OFFSET($H$3,0,0,'Données projet'!$E$11+1,1))</f>
        <v>238.47463071449789</v>
      </c>
      <c r="BJ28" s="60">
        <f t="shared" si="38"/>
        <v>270.92950919803718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0" t="e">
        <f t="shared" si="11"/>
        <v>#N/A</v>
      </c>
      <c r="CD28" s="60" t="e">
        <f ca="1">AVERAGE(OFFSET($CC$3,0,0,'Données projet'!$E$12+1,1))-AVERAGE(OFFSET($H$3,0,0,'Données projet'!$E$12+1,1))</f>
        <v>#N/A</v>
      </c>
      <c r="CE28" s="60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0" t="e">
        <f t="shared" si="14"/>
        <v>#N/A</v>
      </c>
      <c r="CY28" s="60" t="e">
        <f ca="1">AVERAGE(OFFSET($CX$3,0,0,'Données projet'!$E$13+1,1))-AVERAGE(OFFSET($H$3,0,0,'Données projet'!$E$13+1,1))</f>
        <v>#N/A</v>
      </c>
      <c r="CZ28" s="60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0" t="e">
        <f t="shared" si="17"/>
        <v>#N/A</v>
      </c>
      <c r="DT28" s="60" t="e">
        <f ca="1">AVERAGE(OFFSET($DS$3,0,0,'Données projet'!$E$14+1,1))-AVERAGE(OFFSET($H$3,0,0,'Données projet'!$E$14+1,1))</f>
        <v>#N/A</v>
      </c>
      <c r="DU28" s="60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0" t="e">
        <f t="shared" si="20"/>
        <v>#N/A</v>
      </c>
      <c r="EO28" s="60" t="e">
        <f ca="1">AVERAGE(OFFSET($EN$3,0,0,'Données projet'!$E$15+1,1))-AVERAGE(OFFSET($H$3,0,0,'Données projet'!$E$15+1,1))</f>
        <v>#N/A</v>
      </c>
      <c r="EP28" s="60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8">
        <f t="shared" si="1"/>
        <v>322.59512213389104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16.687912087912085</v>
      </c>
      <c r="N29" s="14">
        <f>IF('Données projet'!$A$36&gt;35,N28+M29-V28,IF(A29&lt;'Données projet'!$A$36,$K$205^A29,IF(A29='Données projet'!$A$36,'Données projet'!$B$36,N28+M29-V28)))</f>
        <v>202.33186813186813</v>
      </c>
      <c r="O29" s="14">
        <f>N29*VLOOKUP('Données projet'!$B$9,Paramètres!$A$1:$I$89,3,0)*VLOOKUP('Données projet'!$B$9,Paramètres!$A$1:$I$89,5,0)</f>
        <v>113.1035142857143</v>
      </c>
      <c r="P29" s="14">
        <f t="shared" si="33"/>
        <v>30.061008485627202</v>
      </c>
      <c r="Q29" s="22">
        <f t="shared" si="2"/>
        <v>249.34487716008644</v>
      </c>
      <c r="R29" s="60">
        <f t="shared" si="0"/>
        <v>542.67821049341978</v>
      </c>
      <c r="S29" s="60">
        <f ca="1">AVERAGE(OFFSET($R$3,0,0,'Données projet'!$E$9+1,1))-AVERAGE(OFFSET($H$3,0,0,'Données projet'!$E$9+1,1))</f>
        <v>256.47911362806866</v>
      </c>
      <c r="T29" s="60">
        <f t="shared" si="34"/>
        <v>230.93438491511529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6.8439271335610385</v>
      </c>
      <c r="AC29" s="24">
        <f t="shared" si="3"/>
        <v>6.8439271335610385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10</v>
      </c>
      <c r="AI29" s="14">
        <f>IF('Données projet'!$A$62&gt;35,AI28+AH29-AQ28,IF(A29&lt;'Données projet'!$A$62,$AF$205^A29,IF(A29='Données projet'!$A$62,'Données projet'!$B$62,AI28+AH29-AQ28)))</f>
        <v>134.99999999999997</v>
      </c>
      <c r="AJ29" s="14">
        <f>AI29*VLOOKUP('Données projet'!$B$10,Paramètres!$A$1:$I$89,3,0)*VLOOKUP('Données projet'!$B$10,Paramètres!$A$1:$I$89,5,0)</f>
        <v>117.93599999999999</v>
      </c>
      <c r="AK29" s="14">
        <f t="shared" si="35"/>
        <v>31.1931201812605</v>
      </c>
      <c r="AL29" s="22">
        <f t="shared" si="4"/>
        <v>259.73321764902869</v>
      </c>
      <c r="AM29" s="60">
        <f t="shared" si="5"/>
        <v>553.06655098236206</v>
      </c>
      <c r="AN29" s="60">
        <f ca="1">AVERAGE(OFFSET($AM$3,0,0,'Données projet'!$E$10+1,1))-AVERAGE(OFFSET($H$3,0,0,'Données projet'!$E$10+1,1))</f>
        <v>233.41481265653817</v>
      </c>
      <c r="AO29" s="60">
        <f t="shared" si="36"/>
        <v>300.97465452084055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12</v>
      </c>
      <c r="BD29" s="13">
        <f>IF('Données projet'!$A$88&gt;35,BD28+BC29-BL28,IF(A29&lt;'Données projet'!$A$88,$BA$205^A29,IF(A29='Données projet'!$A$88,'Données projet'!$B$88,BD28+BC29-BL28)))</f>
        <v>126.5</v>
      </c>
      <c r="BE29" s="14">
        <f>BD29*VLOOKUP('Données projet'!$B$11,Paramètres!$A$1:$I$89,3,0)*VLOOKUP('Données projet'!$B$11,Paramètres!$A$1:$I$89,5,0)</f>
        <v>100.6434</v>
      </c>
      <c r="BF29" s="14">
        <f t="shared" si="37"/>
        <v>27.115221465557241</v>
      </c>
      <c r="BG29" s="22">
        <f t="shared" si="7"/>
        <v>222.51293238584552</v>
      </c>
      <c r="BH29" s="60">
        <f t="shared" si="8"/>
        <v>515.84626571917886</v>
      </c>
      <c r="BI29" s="60">
        <f ca="1">AVERAGE(OFFSET($BH$3,0,0,'Données projet'!$E$11+1,1))-AVERAGE(OFFSET($H$3,0,0,'Données projet'!$E$11+1,1))</f>
        <v>238.47463071449789</v>
      </c>
      <c r="BJ29" s="60">
        <f t="shared" si="38"/>
        <v>270.92950919803718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0" t="e">
        <f t="shared" si="11"/>
        <v>#N/A</v>
      </c>
      <c r="CD29" s="60" t="e">
        <f ca="1">AVERAGE(OFFSET($CC$3,0,0,'Données projet'!$E$12+1,1))-AVERAGE(OFFSET($H$3,0,0,'Données projet'!$E$12+1,1))</f>
        <v>#N/A</v>
      </c>
      <c r="CE29" s="60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0" t="e">
        <f t="shared" si="14"/>
        <v>#N/A</v>
      </c>
      <c r="CY29" s="60" t="e">
        <f ca="1">AVERAGE(OFFSET($CX$3,0,0,'Données projet'!$E$13+1,1))-AVERAGE(OFFSET($H$3,0,0,'Données projet'!$E$13+1,1))</f>
        <v>#N/A</v>
      </c>
      <c r="CZ29" s="60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0" t="e">
        <f t="shared" si="17"/>
        <v>#N/A</v>
      </c>
      <c r="DT29" s="60" t="e">
        <f ca="1">AVERAGE(OFFSET($DS$3,0,0,'Données projet'!$E$14+1,1))-AVERAGE(OFFSET($H$3,0,0,'Données projet'!$E$14+1,1))</f>
        <v>#N/A</v>
      </c>
      <c r="DU29" s="60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0" t="e">
        <f t="shared" si="20"/>
        <v>#N/A</v>
      </c>
      <c r="EO29" s="60" t="e">
        <f ca="1">AVERAGE(OFFSET($EN$3,0,0,'Données projet'!$E$15+1,1))-AVERAGE(OFFSET($H$3,0,0,'Données projet'!$E$15+1,1))</f>
        <v>#N/A</v>
      </c>
      <c r="EP29" s="60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8">
        <f t="shared" si="1"/>
        <v>323.68652481841508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16.687912087912085</v>
      </c>
      <c r="N30" s="14">
        <f>IF('Données projet'!$A$36&gt;35,N29+M30-V29,IF(A30&lt;'Données projet'!$A$36,$K$205^A30,IF(A30='Données projet'!$A$36,'Données projet'!$B$36,N29+M30-V29)))</f>
        <v>219.01978021978022</v>
      </c>
      <c r="O30" s="14">
        <f>N30*VLOOKUP('Données projet'!$B$9,Paramètres!$A$1:$I$89,3,0)*VLOOKUP('Données projet'!$B$9,Paramètres!$A$1:$I$89,5,0)</f>
        <v>122.43205714285713</v>
      </c>
      <c r="P30" s="14">
        <f t="shared" si="33"/>
        <v>32.241572593058322</v>
      </c>
      <c r="Q30" s="22">
        <f t="shared" si="2"/>
        <v>269.38990512338609</v>
      </c>
      <c r="R30" s="60">
        <f t="shared" si="0"/>
        <v>562.7232384567194</v>
      </c>
      <c r="S30" s="60">
        <f ca="1">AVERAGE(OFFSET($R$3,0,0,'Données projet'!$E$9+1,1))-AVERAGE(OFFSET($H$3,0,0,'Données projet'!$E$9+1,1))</f>
        <v>256.47911362806866</v>
      </c>
      <c r="T30" s="60">
        <f t="shared" si="34"/>
        <v>230.93438491511529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4.8393872860876206</v>
      </c>
      <c r="AC30" s="24">
        <f t="shared" si="3"/>
        <v>4.8393872860876206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10</v>
      </c>
      <c r="AI30" s="14">
        <f>IF('Données projet'!$A$62&gt;35,AI29+AH30-AQ29,IF(A30&lt;'Données projet'!$A$62,$AF$205^A30,IF(A30='Données projet'!$A$62,'Données projet'!$B$62,AI29+AH30-AQ29)))</f>
        <v>144.99999999999997</v>
      </c>
      <c r="AJ30" s="14">
        <f>AI30*VLOOKUP('Données projet'!$B$10,Paramètres!$A$1:$I$89,3,0)*VLOOKUP('Données projet'!$B$10,Paramètres!$A$1:$I$89,5,0)</f>
        <v>126.67199999999998</v>
      </c>
      <c r="AK30" s="14">
        <f t="shared" si="35"/>
        <v>33.226199426361347</v>
      </c>
      <c r="AL30" s="22">
        <f t="shared" si="4"/>
        <v>278.48936400091264</v>
      </c>
      <c r="AM30" s="60">
        <f t="shared" si="5"/>
        <v>571.82269733424596</v>
      </c>
      <c r="AN30" s="60">
        <f ca="1">AVERAGE(OFFSET($AM$3,0,0,'Données projet'!$E$10+1,1))-AVERAGE(OFFSET($H$3,0,0,'Données projet'!$E$10+1,1))</f>
        <v>233.41481265653817</v>
      </c>
      <c r="AO30" s="60">
        <f t="shared" si="36"/>
        <v>300.97465452084055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12</v>
      </c>
      <c r="BD30" s="13">
        <f>IF('Données projet'!$A$88&gt;35,BD29+BC30-BL29,IF(A30&lt;'Données projet'!$A$88,$BA$205^A30,IF(A30='Données projet'!$A$88,'Données projet'!$B$88,BD29+BC30-BL29)))</f>
        <v>138.5</v>
      </c>
      <c r="BE30" s="14">
        <f>BD30*VLOOKUP('Données projet'!$B$11,Paramètres!$A$1:$I$89,3,0)*VLOOKUP('Données projet'!$B$11,Paramètres!$A$1:$I$89,5,0)</f>
        <v>110.19060000000002</v>
      </c>
      <c r="BF30" s="14">
        <f t="shared" si="37"/>
        <v>29.375886893482836</v>
      </c>
      <c r="BG30" s="22">
        <f t="shared" si="7"/>
        <v>243.07829800614925</v>
      </c>
      <c r="BH30" s="60">
        <f t="shared" si="8"/>
        <v>536.4116313394826</v>
      </c>
      <c r="BI30" s="60">
        <f ca="1">AVERAGE(OFFSET($BH$3,0,0,'Données projet'!$E$11+1,1))-AVERAGE(OFFSET($H$3,0,0,'Données projet'!$E$11+1,1))</f>
        <v>238.47463071449789</v>
      </c>
      <c r="BJ30" s="60">
        <f t="shared" si="38"/>
        <v>270.92950919803718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0" t="e">
        <f t="shared" si="11"/>
        <v>#N/A</v>
      </c>
      <c r="CD30" s="60" t="e">
        <f ca="1">AVERAGE(OFFSET($CC$3,0,0,'Données projet'!$E$12+1,1))-AVERAGE(OFFSET($H$3,0,0,'Données projet'!$E$12+1,1))</f>
        <v>#N/A</v>
      </c>
      <c r="CE30" s="60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0" t="e">
        <f t="shared" si="14"/>
        <v>#N/A</v>
      </c>
      <c r="CY30" s="60" t="e">
        <f ca="1">AVERAGE(OFFSET($CX$3,0,0,'Données projet'!$E$13+1,1))-AVERAGE(OFFSET($H$3,0,0,'Données projet'!$E$13+1,1))</f>
        <v>#N/A</v>
      </c>
      <c r="CZ30" s="60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0" t="e">
        <f t="shared" si="17"/>
        <v>#N/A</v>
      </c>
      <c r="DT30" s="60" t="e">
        <f ca="1">AVERAGE(OFFSET($DS$3,0,0,'Données projet'!$E$14+1,1))-AVERAGE(OFFSET($H$3,0,0,'Données projet'!$E$14+1,1))</f>
        <v>#N/A</v>
      </c>
      <c r="DU30" s="60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0" t="e">
        <f t="shared" si="20"/>
        <v>#N/A</v>
      </c>
      <c r="EO30" s="60" t="e">
        <f ca="1">AVERAGE(OFFSET($EN$3,0,0,'Données projet'!$E$15+1,1))-AVERAGE(OFFSET($H$3,0,0,'Données projet'!$E$15+1,1))</f>
        <v>#N/A</v>
      </c>
      <c r="EP30" s="60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8">
        <f t="shared" si="1"/>
        <v>324.77683603237602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235.7076923076923</v>
      </c>
      <c r="L31" s="13">
        <f>VLOOKUP(A31,'Données projet'!$A$35:$I$55,9,0)</f>
        <v>16.687912087912085</v>
      </c>
      <c r="M31" s="13">
        <f t="array" ref="M31">INDEX(L:L,MIN(IF(ISNUMBER(L31:L227),ROW(L31:L227),"")))</f>
        <v>16.687912087912085</v>
      </c>
      <c r="N31" s="14">
        <f>IF('Données projet'!$A$36&gt;35,N30+M31-V30,IF(A31&lt;'Données projet'!$A$36,$K$205^A31,IF(A31='Données projet'!$A$36,'Données projet'!$B$36,N30+M31-V30)))</f>
        <v>235.7076923076923</v>
      </c>
      <c r="O31" s="14">
        <f>N31*VLOOKUP('Données projet'!$B$9,Paramètres!$A$1:$I$89,3,0)*VLOOKUP('Données projet'!$B$9,Paramètres!$A$1:$I$89,5,0)</f>
        <v>131.76059999999998</v>
      </c>
      <c r="P31" s="14">
        <f t="shared" si="33"/>
        <v>34.402863243711892</v>
      </c>
      <c r="Q31" s="22">
        <f t="shared" si="2"/>
        <v>289.40136514946488</v>
      </c>
      <c r="R31" s="60">
        <f t="shared" si="0"/>
        <v>582.73469848279819</v>
      </c>
      <c r="S31" s="60">
        <f ca="1">AVERAGE(OFFSET($R$3,0,0,'Données projet'!$E$9+1,1))-AVERAGE(OFFSET($H$3,0,0,'Données projet'!$E$9+1,1))</f>
        <v>256.47911362806866</v>
      </c>
      <c r="T31" s="60">
        <f t="shared" si="34"/>
        <v>230.93438491511529</v>
      </c>
      <c r="U31" s="16">
        <f>IF(ISNA(VLOOKUP(A31,'Données projet'!$A$35:$I$55,3,0)),0,VLOOKUP(A31,'Données projet'!$A$35:$I$55,3,0))</f>
        <v>2</v>
      </c>
      <c r="V31" s="16">
        <f>IF(ISNA(VLOOKUP(A31,'Données projet'!$A$35:$I$55,4,0)),0,VLOOKUP(A31,'Données projet'!$A$35:$I$55,4,0))</f>
        <v>56.91538461538461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0.11000000000000001</v>
      </c>
      <c r="Y31" s="17">
        <f>IF(ISNA(VLOOKUP(A31,'Données projet'!$A$35:$I$55,7,0)),0%,VLOOKUP(A31,'Données projet'!$A$35:$I$55,7,0))</f>
        <v>0.8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4.6243337038467223</v>
      </c>
      <c r="AB31" s="23">
        <f>EXP(-LN(2)/2)*AB30+(1-EXP(-LN(2)/2))/(LN(2)/2)*V31*Y31*VLOOKUP('Données projet'!$B$9,Paramètres!$A$1:$I$89,3,0)*0.475*44/12</f>
        <v>32.240174053510742</v>
      </c>
      <c r="AC31" s="24">
        <f t="shared" si="3"/>
        <v>36.864507757357465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10</v>
      </c>
      <c r="AI31" s="14">
        <f>IF('Données projet'!$A$62&gt;35,AI30+AH31-AQ30,IF(A31&lt;'Données projet'!$A$62,$AF$205^A31,IF(A31='Données projet'!$A$62,'Données projet'!$B$62,AI30+AH31-AQ30)))</f>
        <v>154.99999999999997</v>
      </c>
      <c r="AJ31" s="14">
        <f>AI31*VLOOKUP('Données projet'!$B$10,Paramètres!$A$1:$I$89,3,0)*VLOOKUP('Données projet'!$B$10,Paramètres!$A$1:$I$89,5,0)</f>
        <v>135.40799999999999</v>
      </c>
      <c r="AK31" s="14">
        <f t="shared" si="35"/>
        <v>35.243009677478732</v>
      </c>
      <c r="AL31" s="22">
        <f t="shared" si="4"/>
        <v>297.21717518827546</v>
      </c>
      <c r="AM31" s="60">
        <f t="shared" si="5"/>
        <v>590.55050852160878</v>
      </c>
      <c r="AN31" s="60">
        <f ca="1">AVERAGE(OFFSET($AM$3,0,0,'Données projet'!$E$10+1,1))-AVERAGE(OFFSET($H$3,0,0,'Données projet'!$E$10+1,1))</f>
        <v>233.41481265653817</v>
      </c>
      <c r="AO31" s="60">
        <f t="shared" si="36"/>
        <v>300.97465452084055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12</v>
      </c>
      <c r="BD31" s="13">
        <f>IF('Données projet'!$A$88&gt;35,BD30+BC31-BL30,IF(A31&lt;'Données projet'!$A$88,$BA$205^A31,IF(A31='Données projet'!$A$88,'Données projet'!$B$88,BD30+BC31-BL30)))</f>
        <v>150.5</v>
      </c>
      <c r="BE31" s="14">
        <f>BD31*VLOOKUP('Données projet'!$B$11,Paramètres!$A$1:$I$89,3,0)*VLOOKUP('Données projet'!$B$11,Paramètres!$A$1:$I$89,5,0)</f>
        <v>119.73779999999999</v>
      </c>
      <c r="BF31" s="14">
        <f t="shared" si="37"/>
        <v>31.61383766685427</v>
      </c>
      <c r="BG31" s="22">
        <f t="shared" si="7"/>
        <v>263.6041022697712</v>
      </c>
      <c r="BH31" s="60">
        <f t="shared" si="8"/>
        <v>556.93743560310452</v>
      </c>
      <c r="BI31" s="60">
        <f ca="1">AVERAGE(OFFSET($BH$3,0,0,'Données projet'!$E$11+1,1))-AVERAGE(OFFSET($H$3,0,0,'Données projet'!$E$11+1,1))</f>
        <v>238.47463071449789</v>
      </c>
      <c r="BJ31" s="60">
        <f t="shared" si="38"/>
        <v>270.92950919803718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0" t="e">
        <f t="shared" si="11"/>
        <v>#N/A</v>
      </c>
      <c r="CD31" s="60" t="e">
        <f ca="1">AVERAGE(OFFSET($CC$3,0,0,'Données projet'!$E$12+1,1))-AVERAGE(OFFSET($H$3,0,0,'Données projet'!$E$12+1,1))</f>
        <v>#N/A</v>
      </c>
      <c r="CE31" s="60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0" t="e">
        <f t="shared" si="14"/>
        <v>#N/A</v>
      </c>
      <c r="CY31" s="60" t="e">
        <f ca="1">AVERAGE(OFFSET($CX$3,0,0,'Données projet'!$E$13+1,1))-AVERAGE(OFFSET($H$3,0,0,'Données projet'!$E$13+1,1))</f>
        <v>#N/A</v>
      </c>
      <c r="CZ31" s="60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0" t="e">
        <f t="shared" si="17"/>
        <v>#N/A</v>
      </c>
      <c r="DT31" s="60" t="e">
        <f ca="1">AVERAGE(OFFSET($DS$3,0,0,'Données projet'!$E$14+1,1))-AVERAGE(OFFSET($H$3,0,0,'Données projet'!$E$14+1,1))</f>
        <v>#N/A</v>
      </c>
      <c r="DU31" s="60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0" t="e">
        <f t="shared" si="20"/>
        <v>#N/A</v>
      </c>
      <c r="EO31" s="60" t="e">
        <f ca="1">AVERAGE(OFFSET($EN$3,0,0,'Données projet'!$E$15+1,1))-AVERAGE(OFFSET($H$3,0,0,'Données projet'!$E$15+1,1))</f>
        <v>#N/A</v>
      </c>
      <c r="EP31" s="60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8">
        <f t="shared" si="1"/>
        <v>325.86609922271543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18.099999999999994</v>
      </c>
      <c r="N32" s="14">
        <f>IF('Données projet'!$A$36&gt;35,N31+M32-V31,IF(A32&lt;'Données projet'!$A$36,$K$205^A32,IF(A32='Données projet'!$A$36,'Données projet'!$B$36,N31+M32-V31)))</f>
        <v>196.89230769230767</v>
      </c>
      <c r="O32" s="14">
        <f>N32*VLOOKUP('Données projet'!$B$9,Paramètres!$A$1:$I$89,3,0)*VLOOKUP('Données projet'!$B$9,Paramètres!$A$1:$I$89,5,0)</f>
        <v>110.0628</v>
      </c>
      <c r="P32" s="14">
        <f t="shared" si="33"/>
        <v>29.345780250854382</v>
      </c>
      <c r="Q32" s="22">
        <f t="shared" si="2"/>
        <v>242.80327727023806</v>
      </c>
      <c r="R32" s="60">
        <f t="shared" si="0"/>
        <v>536.1366106035714</v>
      </c>
      <c r="S32" s="60">
        <f ca="1">AVERAGE(OFFSET($R$3,0,0,'Données projet'!$E$9+1,1))-AVERAGE(OFFSET($H$3,0,0,'Données projet'!$E$9+1,1))</f>
        <v>256.47911362806866</v>
      </c>
      <c r="T32" s="60">
        <f t="shared" si="34"/>
        <v>230.93438491511529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4.4978810555318933</v>
      </c>
      <c r="AB32" s="23">
        <f>EXP(-LN(2)/2)*AB31+(1-EXP(-LN(2)/2))/(LN(2)/2)*V32*Y32*VLOOKUP('Données projet'!$B$9,Paramètres!$A$1:$I$89,3,0)*0.475*44/12</f>
        <v>22.797245699872029</v>
      </c>
      <c r="AC32" s="24">
        <f t="shared" si="3"/>
        <v>27.295126755403921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10</v>
      </c>
      <c r="AI32" s="14">
        <f>IF('Données projet'!$A$62&gt;35,AI31+AH32-AQ31,IF(A32&lt;'Données projet'!$A$62,$AF$205^A32,IF(A32='Données projet'!$A$62,'Données projet'!$B$62,AI31+AH32-AQ31)))</f>
        <v>164.99999999999997</v>
      </c>
      <c r="AJ32" s="14">
        <f>AI32*VLOOKUP('Données projet'!$B$10,Paramètres!$A$1:$I$89,3,0)*VLOOKUP('Données projet'!$B$10,Paramètres!$A$1:$I$89,5,0)</f>
        <v>144.14400000000001</v>
      </c>
      <c r="AK32" s="14">
        <f t="shared" si="35"/>
        <v>37.244720006976252</v>
      </c>
      <c r="AL32" s="22">
        <f t="shared" si="4"/>
        <v>315.91868734548365</v>
      </c>
      <c r="AM32" s="60">
        <f t="shared" si="5"/>
        <v>609.25202067881696</v>
      </c>
      <c r="AN32" s="60">
        <f ca="1">AVERAGE(OFFSET($AM$3,0,0,'Données projet'!$E$10+1,1))-AVERAGE(OFFSET($H$3,0,0,'Données projet'!$E$10+1,1))</f>
        <v>233.41481265653817</v>
      </c>
      <c r="AO32" s="60">
        <f t="shared" si="36"/>
        <v>300.97465452084055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12</v>
      </c>
      <c r="BD32" s="13">
        <f>IF('Données projet'!$A$88&gt;35,BD31+BC32-BL31,IF(A32&lt;'Données projet'!$A$88,$BA$205^A32,IF(A32='Données projet'!$A$88,'Données projet'!$B$88,BD31+BC32-BL31)))</f>
        <v>162.5</v>
      </c>
      <c r="BE32" s="14">
        <f>BD32*VLOOKUP('Données projet'!$B$11,Paramètres!$A$1:$I$89,3,0)*VLOOKUP('Données projet'!$B$11,Paramètres!$A$1:$I$89,5,0)</f>
        <v>129.285</v>
      </c>
      <c r="BF32" s="14">
        <f t="shared" si="37"/>
        <v>33.831090831224039</v>
      </c>
      <c r="BG32" s="22">
        <f t="shared" si="7"/>
        <v>284.09385819771518</v>
      </c>
      <c r="BH32" s="60">
        <f t="shared" si="8"/>
        <v>577.42719153104849</v>
      </c>
      <c r="BI32" s="60">
        <f ca="1">AVERAGE(OFFSET($BH$3,0,0,'Données projet'!$E$11+1,1))-AVERAGE(OFFSET($H$3,0,0,'Données projet'!$E$11+1,1))</f>
        <v>238.47463071449789</v>
      </c>
      <c r="BJ32" s="60">
        <f t="shared" si="38"/>
        <v>270.92950919803718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0" t="e">
        <f t="shared" si="11"/>
        <v>#N/A</v>
      </c>
      <c r="CD32" s="60" t="e">
        <f ca="1">AVERAGE(OFFSET($CC$3,0,0,'Données projet'!$E$12+1,1))-AVERAGE(OFFSET($H$3,0,0,'Données projet'!$E$12+1,1))</f>
        <v>#N/A</v>
      </c>
      <c r="CE32" s="60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0" t="e">
        <f t="shared" si="14"/>
        <v>#N/A</v>
      </c>
      <c r="CY32" s="60" t="e">
        <f ca="1">AVERAGE(OFFSET($CX$3,0,0,'Données projet'!$E$13+1,1))-AVERAGE(OFFSET($H$3,0,0,'Données projet'!$E$13+1,1))</f>
        <v>#N/A</v>
      </c>
      <c r="CZ32" s="60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0" t="e">
        <f t="shared" si="17"/>
        <v>#N/A</v>
      </c>
      <c r="DT32" s="60" t="e">
        <f ca="1">AVERAGE(OFFSET($DS$3,0,0,'Données projet'!$E$14+1,1))-AVERAGE(OFFSET($H$3,0,0,'Données projet'!$E$14+1,1))</f>
        <v>#N/A</v>
      </c>
      <c r="DU32" s="60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0" t="e">
        <f t="shared" si="20"/>
        <v>#N/A</v>
      </c>
      <c r="EO32" s="60" t="e">
        <f ca="1">AVERAGE(OFFSET($EN$3,0,0,'Données projet'!$E$15+1,1))-AVERAGE(OFFSET($H$3,0,0,'Données projet'!$E$15+1,1))</f>
        <v>#N/A</v>
      </c>
      <c r="EP32" s="60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8">
        <f t="shared" si="1"/>
        <v>326.95435467009145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214.99230769230769</v>
      </c>
      <c r="L33" s="13">
        <f>VLOOKUP(A33,'Données projet'!$A$35:$I$55,9,0)</f>
        <v>18.099999999999994</v>
      </c>
      <c r="M33" s="13">
        <f t="array" ref="M33">INDEX(L:L,MIN(IF(ISNUMBER(L33:L229),ROW(L33:L229),"")))</f>
        <v>18.099999999999994</v>
      </c>
      <c r="N33" s="14">
        <f>IF('Données projet'!$A$36&gt;35,N32+M33-V32,IF(A33&lt;'Données projet'!$A$36,$K$205^A33,IF(A33='Données projet'!$A$36,'Données projet'!$B$36,N32+M33-V32)))</f>
        <v>214.99230769230766</v>
      </c>
      <c r="O33" s="14">
        <f>N33*VLOOKUP('Données projet'!$B$9,Paramètres!$A$1:$I$89,3,0)*VLOOKUP('Données projet'!$B$9,Paramètres!$A$1:$I$89,5,0)</f>
        <v>120.18069999999997</v>
      </c>
      <c r="P33" s="14">
        <f t="shared" si="33"/>
        <v>31.717140910166616</v>
      </c>
      <c r="Q33" s="22">
        <f t="shared" si="2"/>
        <v>264.55540625187342</v>
      </c>
      <c r="R33" s="60">
        <f t="shared" si="0"/>
        <v>557.88873958520674</v>
      </c>
      <c r="S33" s="60">
        <f ca="1">AVERAGE(OFFSET($R$3,0,0,'Données projet'!$E$9+1,1))-AVERAGE(OFFSET($H$3,0,0,'Données projet'!$E$9+1,1))</f>
        <v>256.47911362806866</v>
      </c>
      <c r="T33" s="60">
        <f t="shared" si="34"/>
        <v>230.93438491511529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4.3748862615350887</v>
      </c>
      <c r="AB33" s="23">
        <f>EXP(-LN(2)/2)*AB32+(1-EXP(-LN(2)/2))/(LN(2)/2)*V33*Y33*VLOOKUP('Données projet'!$B$9,Paramètres!$A$1:$I$89,3,0)*0.475*44/12</f>
        <v>16.120087026755375</v>
      </c>
      <c r="AC33" s="24">
        <f t="shared" si="3"/>
        <v>20.494973288290463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175</v>
      </c>
      <c r="AG33" s="13">
        <f>VLOOKUP(A33,'Données projet'!$A$61:$I$81,9,0)</f>
        <v>10</v>
      </c>
      <c r="AH33" s="13">
        <f t="array" ref="AH33">INDEX(AG:AG,MIN(IF(ISNUMBER(AG33:AG229),ROW(AG33:AG229),"")))</f>
        <v>10</v>
      </c>
      <c r="AI33" s="14">
        <f>IF('Données projet'!$A$62&gt;35,AI32+AH33-AQ32,IF(A33&lt;'Données projet'!$A$62,$AF$205^A33,IF(A33='Données projet'!$A$62,'Données projet'!$B$62,AI32+AH33-AQ32)))</f>
        <v>174.99999999999997</v>
      </c>
      <c r="AJ33" s="14">
        <f>AI33*VLOOKUP('Données projet'!$B$10,Paramètres!$A$1:$I$89,3,0)*VLOOKUP('Données projet'!$B$10,Paramètres!$A$1:$I$89,5,0)</f>
        <v>152.88</v>
      </c>
      <c r="AK33" s="14">
        <f t="shared" si="35"/>
        <v>39.232349774697852</v>
      </c>
      <c r="AL33" s="22">
        <f t="shared" si="4"/>
        <v>334.59567585759874</v>
      </c>
      <c r="AM33" s="60">
        <f t="shared" si="5"/>
        <v>627.92900919093199</v>
      </c>
      <c r="AN33" s="60">
        <f ca="1">AVERAGE(OFFSET($AM$3,0,0,'Données projet'!$E$10+1,1))-AVERAGE(OFFSET($H$3,0,0,'Données projet'!$E$10+1,1))</f>
        <v>233.41481265653817</v>
      </c>
      <c r="AO33" s="60">
        <f t="shared" si="36"/>
        <v>300.97465452084055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62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174.5</v>
      </c>
      <c r="BB33" s="13">
        <f>VLOOKUP(A33,'Données projet'!$A$87:$I$107,9,0)</f>
        <v>12</v>
      </c>
      <c r="BC33" s="13">
        <f t="array" ref="BC33">INDEX(BB:BB,MIN(IF(ISNUMBER(BB33:BB229),ROW(BB33:BB229),"")))</f>
        <v>12</v>
      </c>
      <c r="BD33" s="13">
        <f>IF('Données projet'!$A$88&gt;35,BD32+BC33-BL32,IF(A33&lt;'Données projet'!$A$88,$BA$205^A33,IF(A33='Données projet'!$A$88,'Données projet'!$B$88,BD32+BC33-BL32)))</f>
        <v>174.5</v>
      </c>
      <c r="BE33" s="14">
        <f>BD33*VLOOKUP('Données projet'!$B$11,Paramètres!$A$1:$I$89,3,0)*VLOOKUP('Données projet'!$B$11,Paramètres!$A$1:$I$89,5,0)</f>
        <v>138.8322</v>
      </c>
      <c r="BF33" s="14">
        <f t="shared" si="37"/>
        <v>36.029348632418326</v>
      </c>
      <c r="BG33" s="22">
        <f t="shared" si="7"/>
        <v>304.55053053479526</v>
      </c>
      <c r="BH33" s="60">
        <f t="shared" si="8"/>
        <v>597.88386386812863</v>
      </c>
      <c r="BI33" s="60">
        <f ca="1">AVERAGE(OFFSET($BH$3,0,0,'Données projet'!$E$11+1,1))-AVERAGE(OFFSET($H$3,0,0,'Données projet'!$E$11+1,1))</f>
        <v>238.47463071449789</v>
      </c>
      <c r="BJ33" s="60">
        <f t="shared" si="38"/>
        <v>270.92950919803718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56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0" t="e">
        <f t="shared" si="11"/>
        <v>#N/A</v>
      </c>
      <c r="CD33" s="60" t="e">
        <f ca="1">AVERAGE(OFFSET($CC$3,0,0,'Données projet'!$E$12+1,1))-AVERAGE(OFFSET($H$3,0,0,'Données projet'!$E$12+1,1))</f>
        <v>#N/A</v>
      </c>
      <c r="CE33" s="60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0" t="e">
        <f t="shared" si="14"/>
        <v>#N/A</v>
      </c>
      <c r="CY33" s="60" t="e">
        <f ca="1">AVERAGE(OFFSET($CX$3,0,0,'Données projet'!$E$13+1,1))-AVERAGE(OFFSET($H$3,0,0,'Données projet'!$E$13+1,1))</f>
        <v>#N/A</v>
      </c>
      <c r="CZ33" s="60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0" t="e">
        <f t="shared" si="17"/>
        <v>#N/A</v>
      </c>
      <c r="DT33" s="60" t="e">
        <f ca="1">AVERAGE(OFFSET($DS$3,0,0,'Données projet'!$E$14+1,1))-AVERAGE(OFFSET($H$3,0,0,'Données projet'!$E$14+1,1))</f>
        <v>#N/A</v>
      </c>
      <c r="DU33" s="60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0" t="e">
        <f t="shared" si="20"/>
        <v>#N/A</v>
      </c>
      <c r="EO33" s="60" t="e">
        <f ca="1">AVERAGE(OFFSET($EN$3,0,0,'Données projet'!$E$15+1,1))-AVERAGE(OFFSET($H$3,0,0,'Données projet'!$E$15+1,1))</f>
        <v>#N/A</v>
      </c>
      <c r="EP33" s="60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8">
        <f t="shared" si="1"/>
        <v>328.04163981740385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18.100000000000001</v>
      </c>
      <c r="N34" s="14">
        <f>IF('Données projet'!$A$36&gt;35,N33+M34-V33,IF(A34&lt;'Données projet'!$A$36,$K$205^A34,IF(A34='Données projet'!$A$36,'Données projet'!$B$36,N33+M34-V33)))</f>
        <v>233.09230769230766</v>
      </c>
      <c r="O34" s="14">
        <f>N34*VLOOKUP('Données projet'!$B$9,Paramètres!$A$1:$I$89,3,0)*VLOOKUP('Données projet'!$B$9,Paramètres!$A$1:$I$89,5,0)</f>
        <v>130.29859999999999</v>
      </c>
      <c r="P34" s="14">
        <f t="shared" si="33"/>
        <v>34.065347809437199</v>
      </c>
      <c r="Q34" s="22">
        <f t="shared" si="2"/>
        <v>286.26720910143649</v>
      </c>
      <c r="R34" s="60">
        <f t="shared" si="0"/>
        <v>579.60054243476975</v>
      </c>
      <c r="S34" s="60">
        <f ca="1">AVERAGE(OFFSET($R$3,0,0,'Données projet'!$E$9+1,1))-AVERAGE(OFFSET($H$3,0,0,'Données projet'!$E$9+1,1))</f>
        <v>256.47911362806866</v>
      </c>
      <c r="T34" s="60">
        <f t="shared" si="34"/>
        <v>230.93438491511529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4.2552547666481422</v>
      </c>
      <c r="AB34" s="23">
        <f>EXP(-LN(2)/2)*AB33+(1-EXP(-LN(2)/2))/(LN(2)/2)*V34*Y34*VLOOKUP('Données projet'!$B$9,Paramètres!$A$1:$I$89,3,0)*0.475*44/12</f>
        <v>11.398622849936016</v>
      </c>
      <c r="AC34" s="24">
        <f t="shared" si="3"/>
        <v>15.653877616584158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9.1999999999999993</v>
      </c>
      <c r="AI34" s="14">
        <f>IF('Données projet'!$A$62&gt;35,AI33+AH34-AQ33,IF(A34&lt;'Données projet'!$A$62,$AF$205^A34,IF(A34='Données projet'!$A$62,'Données projet'!$B$62,AI33+AH34-AQ33)))</f>
        <v>122.19999999999996</v>
      </c>
      <c r="AJ34" s="14">
        <f>AI34*VLOOKUP('Données projet'!$B$10,Paramètres!$A$1:$I$89,3,0)*VLOOKUP('Données projet'!$B$10,Paramètres!$A$1:$I$89,5,0)</f>
        <v>106.75391999999998</v>
      </c>
      <c r="AK34" s="14">
        <f t="shared" si="35"/>
        <v>28.564854626855976</v>
      </c>
      <c r="AL34" s="22">
        <f t="shared" si="4"/>
        <v>235.6801991417741</v>
      </c>
      <c r="AM34" s="60">
        <f t="shared" si="5"/>
        <v>529.01353247510747</v>
      </c>
      <c r="AN34" s="60">
        <f ca="1">AVERAGE(OFFSET($AM$3,0,0,'Données projet'!$E$10+1,1))-AVERAGE(OFFSET($H$3,0,0,'Données projet'!$E$10+1,1))</f>
        <v>233.41481265653817</v>
      </c>
      <c r="AO34" s="60">
        <f t="shared" si="36"/>
        <v>300.97465452084055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10.780000000000001</v>
      </c>
      <c r="BD34" s="13">
        <f>IF('Données projet'!$A$88&gt;35,BD33+BC34-BL33,IF(A34&lt;'Données projet'!$A$88,$BA$205^A34,IF(A34='Données projet'!$A$88,'Données projet'!$B$88,BD33+BC34-BL33)))</f>
        <v>129.28</v>
      </c>
      <c r="BE34" s="14">
        <f>BD34*VLOOKUP('Données projet'!$B$11,Paramètres!$A$1:$I$89,3,0)*VLOOKUP('Données projet'!$B$11,Paramètres!$A$1:$I$89,5,0)</f>
        <v>102.85516800000001</v>
      </c>
      <c r="BF34" s="14">
        <f t="shared" si="37"/>
        <v>27.641083482825984</v>
      </c>
      <c r="BG34" s="22">
        <f t="shared" si="7"/>
        <v>227.28097133258856</v>
      </c>
      <c r="BH34" s="60">
        <f t="shared" si="8"/>
        <v>520.61430466592185</v>
      </c>
      <c r="BI34" s="60">
        <f ca="1">AVERAGE(OFFSET($BH$3,0,0,'Données projet'!$E$11+1,1))-AVERAGE(OFFSET($H$3,0,0,'Données projet'!$E$11+1,1))</f>
        <v>238.47463071449789</v>
      </c>
      <c r="BJ34" s="60">
        <f t="shared" si="38"/>
        <v>270.92950919803718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0" t="e">
        <f t="shared" si="11"/>
        <v>#N/A</v>
      </c>
      <c r="CD34" s="60" t="e">
        <f ca="1">AVERAGE(OFFSET($CC$3,0,0,'Données projet'!$E$12+1,1))-AVERAGE(OFFSET($H$3,0,0,'Données projet'!$E$12+1,1))</f>
        <v>#N/A</v>
      </c>
      <c r="CE34" s="60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0" t="e">
        <f t="shared" si="14"/>
        <v>#N/A</v>
      </c>
      <c r="CY34" s="60" t="e">
        <f ca="1">AVERAGE(OFFSET($CX$3,0,0,'Données projet'!$E$13+1,1))-AVERAGE(OFFSET($H$3,0,0,'Données projet'!$E$13+1,1))</f>
        <v>#N/A</v>
      </c>
      <c r="CZ34" s="60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0" t="e">
        <f t="shared" si="17"/>
        <v>#N/A</v>
      </c>
      <c r="DT34" s="60" t="e">
        <f ca="1">AVERAGE(OFFSET($DS$3,0,0,'Données projet'!$E$14+1,1))-AVERAGE(OFFSET($H$3,0,0,'Données projet'!$E$14+1,1))</f>
        <v>#N/A</v>
      </c>
      <c r="DU34" s="60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0" t="e">
        <f t="shared" si="20"/>
        <v>#N/A</v>
      </c>
      <c r="EO34" s="60" t="e">
        <f ca="1">AVERAGE(OFFSET($EN$3,0,0,'Données projet'!$E$15+1,1))-AVERAGE(OFFSET($H$3,0,0,'Données projet'!$E$15+1,1))</f>
        <v>#N/A</v>
      </c>
      <c r="EP34" s="60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8">
        <f t="shared" si="1"/>
        <v>329.12798955473778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18.100000000000001</v>
      </c>
      <c r="N35" s="14">
        <f>IF('Données projet'!$A$36&gt;35,N34+M35-V34,IF(A35&lt;'Données projet'!$A$36,$K$205^A35,IF(A35='Données projet'!$A$36,'Données projet'!$B$36,N34+M35-V34)))</f>
        <v>251.19230769230765</v>
      </c>
      <c r="O35" s="14">
        <f>N35*VLOOKUP('Données projet'!$B$9,Paramètres!$A$1:$I$89,3,0)*VLOOKUP('Données projet'!$B$9,Paramètres!$A$1:$I$89,5,0)</f>
        <v>140.41649999999998</v>
      </c>
      <c r="P35" s="14">
        <f t="shared" si="33"/>
        <v>36.392403294074647</v>
      </c>
      <c r="Q35" s="22">
        <f t="shared" ref="Q35:Q66" si="53">(O35+P35)*0.475*44/12</f>
        <v>307.94217323717999</v>
      </c>
      <c r="R35" s="60">
        <f t="shared" si="0"/>
        <v>601.27550657051324</v>
      </c>
      <c r="S35" s="60">
        <f ca="1">AVERAGE(OFFSET($R$3,0,0,'Données projet'!$E$9+1,1))-AVERAGE(OFFSET($H$3,0,0,'Données projet'!$E$9+1,1))</f>
        <v>256.47911362806866</v>
      </c>
      <c r="T35" s="60">
        <f t="shared" si="34"/>
        <v>230.93438491511529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4.1388946012800263</v>
      </c>
      <c r="AB35" s="23">
        <f>EXP(-LN(2)/2)*AB34+(1-EXP(-LN(2)/2))/(LN(2)/2)*V35*Y35*VLOOKUP('Données projet'!$B$9,Paramètres!$A$1:$I$89,3,0)*0.475*44/12</f>
        <v>8.0600435133776873</v>
      </c>
      <c r="AC35" s="24">
        <f t="shared" si="3"/>
        <v>12.198938114657714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9.1999999999999993</v>
      </c>
      <c r="AI35" s="14">
        <f>IF('Données projet'!$A$62&gt;35,AI34+AH35-AQ34,IF(A35&lt;'Données projet'!$A$62,$AF$205^A35,IF(A35='Données projet'!$A$62,'Données projet'!$B$62,AI34+AH35-AQ34)))</f>
        <v>131.39999999999995</v>
      </c>
      <c r="AJ35" s="14">
        <f>AI35*VLOOKUP('Données projet'!$B$10,Paramètres!$A$1:$I$89,3,0)*VLOOKUP('Données projet'!$B$10,Paramètres!$A$1:$I$89,5,0)</f>
        <v>114.79103999999997</v>
      </c>
      <c r="AK35" s="14">
        <f t="shared" si="35"/>
        <v>30.456974896543485</v>
      </c>
      <c r="AL35" s="22">
        <f t="shared" si="4"/>
        <v>252.97362594481319</v>
      </c>
      <c r="AM35" s="60">
        <f t="shared" si="5"/>
        <v>546.30695927814645</v>
      </c>
      <c r="AN35" s="60">
        <f ca="1">AVERAGE(OFFSET($AM$3,0,0,'Données projet'!$E$10+1,1))-AVERAGE(OFFSET($H$3,0,0,'Données projet'!$E$10+1,1))</f>
        <v>233.41481265653817</v>
      </c>
      <c r="AO35" s="60">
        <f t="shared" si="36"/>
        <v>300.97465452084055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10.780000000000001</v>
      </c>
      <c r="BD35" s="13">
        <f>IF('Données projet'!$A$88&gt;35,BD34+BC35-BL34,IF(A35&lt;'Données projet'!$A$88,$BA$205^A35,IF(A35='Données projet'!$A$88,'Données projet'!$B$88,BD34+BC35-BL34)))</f>
        <v>140.06</v>
      </c>
      <c r="BE35" s="14">
        <f>BD35*VLOOKUP('Données projet'!$B$11,Paramètres!$A$1:$I$89,3,0)*VLOOKUP('Données projet'!$B$11,Paramètres!$A$1:$I$89,5,0)</f>
        <v>111.431736</v>
      </c>
      <c r="BF35" s="14">
        <f t="shared" si="37"/>
        <v>29.668058438201339</v>
      </c>
      <c r="BG35" s="22">
        <f t="shared" si="7"/>
        <v>245.74880864653403</v>
      </c>
      <c r="BH35" s="60">
        <f t="shared" si="8"/>
        <v>539.0821419798674</v>
      </c>
      <c r="BI35" s="60">
        <f ca="1">AVERAGE(OFFSET($BH$3,0,0,'Données projet'!$E$11+1,1))-AVERAGE(OFFSET($H$3,0,0,'Données projet'!$E$11+1,1))</f>
        <v>238.47463071449789</v>
      </c>
      <c r="BJ35" s="60">
        <f t="shared" si="38"/>
        <v>270.92950919803718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0" t="e">
        <f t="shared" si="11"/>
        <v>#N/A</v>
      </c>
      <c r="CD35" s="60" t="e">
        <f ca="1">AVERAGE(OFFSET($CC$3,0,0,'Données projet'!$E$12+1,1))-AVERAGE(OFFSET($H$3,0,0,'Données projet'!$E$12+1,1))</f>
        <v>#N/A</v>
      </c>
      <c r="CE35" s="60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0" t="e">
        <f t="shared" si="14"/>
        <v>#N/A</v>
      </c>
      <c r="CY35" s="60" t="e">
        <f ca="1">AVERAGE(OFFSET($CX$3,0,0,'Données projet'!$E$13+1,1))-AVERAGE(OFFSET($H$3,0,0,'Données projet'!$E$13+1,1))</f>
        <v>#N/A</v>
      </c>
      <c r="CZ35" s="60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0" t="e">
        <f t="shared" si="17"/>
        <v>#N/A</v>
      </c>
      <c r="DT35" s="60" t="e">
        <f ca="1">AVERAGE(OFFSET($DS$3,0,0,'Données projet'!$E$14+1,1))-AVERAGE(OFFSET($H$3,0,0,'Données projet'!$E$14+1,1))</f>
        <v>#N/A</v>
      </c>
      <c r="DU35" s="60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0" t="e">
        <f t="shared" si="20"/>
        <v>#N/A</v>
      </c>
      <c r="EO35" s="60" t="e">
        <f ca="1">AVERAGE(OFFSET($EN$3,0,0,'Données projet'!$E$15+1,1))-AVERAGE(OFFSET($H$3,0,0,'Données projet'!$E$15+1,1))</f>
        <v>#N/A</v>
      </c>
      <c r="EP35" s="60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8">
        <f t="shared" si="1"/>
        <v>330.21343646768912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18.100000000000001</v>
      </c>
      <c r="N36" s="14">
        <f>IF('Données projet'!$A$36&gt;35,N35+M36-V35,IF(A36&lt;'Données projet'!$A$36,$K$205^A36,IF(A36='Données projet'!$A$36,'Données projet'!$B$36,N35+M36-V35)))</f>
        <v>269.29230769230765</v>
      </c>
      <c r="O36" s="14">
        <f>N36*VLOOKUP('Données projet'!$B$9,Paramètres!$A$1:$I$89,3,0)*VLOOKUP('Données projet'!$B$9,Paramètres!$A$1:$I$89,5,0)</f>
        <v>150.53439999999998</v>
      </c>
      <c r="P36" s="14">
        <f t="shared" si="33"/>
        <v>38.700004790658191</v>
      </c>
      <c r="Q36" s="22">
        <f t="shared" si="53"/>
        <v>329.58325501039627</v>
      </c>
      <c r="R36" s="60">
        <f t="shared" si="0"/>
        <v>622.91658834372959</v>
      </c>
      <c r="S36" s="60">
        <f ca="1">AVERAGE(OFFSET($R$3,0,0,'Données projet'!$E$9+1,1))-AVERAGE(OFFSET($H$3,0,0,'Données projet'!$E$9+1,1))</f>
        <v>256.47911362806866</v>
      </c>
      <c r="T36" s="60">
        <f t="shared" si="34"/>
        <v>230.93438491511529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4.0257163107530163</v>
      </c>
      <c r="AB36" s="23">
        <f>EXP(-LN(2)/2)*AB35+(1-EXP(-LN(2)/2))/(LN(2)/2)*V36*Y36*VLOOKUP('Données projet'!$B$9,Paramètres!$A$1:$I$89,3,0)*0.475*44/12</f>
        <v>5.6993114249680081</v>
      </c>
      <c r="AC36" s="24">
        <f t="shared" si="3"/>
        <v>9.7250277357210244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9.1999999999999993</v>
      </c>
      <c r="AI36" s="14">
        <f>IF('Données projet'!$A$62&gt;35,AI35+AH36-AQ35,IF(A36&lt;'Données projet'!$A$62,$AF$205^A36,IF(A36='Données projet'!$A$62,'Données projet'!$B$62,AI35+AH36-AQ35)))</f>
        <v>140.59999999999994</v>
      </c>
      <c r="AJ36" s="14">
        <f>AI36*VLOOKUP('Données projet'!$B$10,Paramètres!$A$1:$I$89,3,0)*VLOOKUP('Données projet'!$B$10,Paramètres!$A$1:$I$89,5,0)</f>
        <v>122.82815999999997</v>
      </c>
      <c r="AK36" s="14">
        <f t="shared" si="35"/>
        <v>32.333724232859019</v>
      </c>
      <c r="AL36" s="22">
        <f t="shared" si="4"/>
        <v>270.24028170556272</v>
      </c>
      <c r="AM36" s="60">
        <f t="shared" si="5"/>
        <v>563.57361503889604</v>
      </c>
      <c r="AN36" s="60">
        <f ca="1">AVERAGE(OFFSET($AM$3,0,0,'Données projet'!$E$10+1,1))-AVERAGE(OFFSET($H$3,0,0,'Données projet'!$E$10+1,1))</f>
        <v>233.41481265653817</v>
      </c>
      <c r="AO36" s="60">
        <f t="shared" si="36"/>
        <v>300.97465452084055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10.780000000000001</v>
      </c>
      <c r="BD36" s="13">
        <f>IF('Données projet'!$A$88&gt;35,BD35+BC36-BL35,IF(A36&lt;'Données projet'!$A$88,$BA$205^A36,IF(A36='Données projet'!$A$88,'Données projet'!$B$88,BD35+BC36-BL35)))</f>
        <v>150.84</v>
      </c>
      <c r="BE36" s="14">
        <f>BD36*VLOOKUP('Données projet'!$B$11,Paramètres!$A$1:$I$89,3,0)*VLOOKUP('Données projet'!$B$11,Paramètres!$A$1:$I$89,5,0)</f>
        <v>120.008304</v>
      </c>
      <c r="BF36" s="14">
        <f t="shared" si="37"/>
        <v>31.676936057955846</v>
      </c>
      <c r="BG36" s="22">
        <f t="shared" si="7"/>
        <v>264.18512643427306</v>
      </c>
      <c r="BH36" s="60">
        <f t="shared" si="8"/>
        <v>557.51845976760637</v>
      </c>
      <c r="BI36" s="60">
        <f ca="1">AVERAGE(OFFSET($BH$3,0,0,'Données projet'!$E$11+1,1))-AVERAGE(OFFSET($H$3,0,0,'Données projet'!$E$11+1,1))</f>
        <v>238.47463071449789</v>
      </c>
      <c r="BJ36" s="60">
        <f t="shared" si="38"/>
        <v>270.92950919803718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0" t="e">
        <f t="shared" si="11"/>
        <v>#N/A</v>
      </c>
      <c r="CD36" s="60" t="e">
        <f ca="1">AVERAGE(OFFSET($CC$3,0,0,'Données projet'!$E$12+1,1))-AVERAGE(OFFSET($H$3,0,0,'Données projet'!$E$12+1,1))</f>
        <v>#N/A</v>
      </c>
      <c r="CE36" s="60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0" t="e">
        <f t="shared" si="14"/>
        <v>#N/A</v>
      </c>
      <c r="CY36" s="60" t="e">
        <f ca="1">AVERAGE(OFFSET($CX$3,0,0,'Données projet'!$E$13+1,1))-AVERAGE(OFFSET($H$3,0,0,'Données projet'!$E$13+1,1))</f>
        <v>#N/A</v>
      </c>
      <c r="CZ36" s="60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0" t="e">
        <f t="shared" si="17"/>
        <v>#N/A</v>
      </c>
      <c r="DT36" s="60" t="e">
        <f ca="1">AVERAGE(OFFSET($DS$3,0,0,'Données projet'!$E$14+1,1))-AVERAGE(OFFSET($H$3,0,0,'Données projet'!$E$14+1,1))</f>
        <v>#N/A</v>
      </c>
      <c r="DU36" s="60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0" t="e">
        <f t="shared" si="20"/>
        <v>#N/A</v>
      </c>
      <c r="EO36" s="60" t="e">
        <f ca="1">AVERAGE(OFFSET($EN$3,0,0,'Données projet'!$E$15+1,1))-AVERAGE(OFFSET($H$3,0,0,'Données projet'!$E$15+1,1))</f>
        <v>#N/A</v>
      </c>
      <c r="EP36" s="60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8">
        <f t="shared" si="1"/>
        <v>331.29801105474394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18.100000000000001</v>
      </c>
      <c r="N37" s="14">
        <f>IF('Données projet'!$A$36&gt;35,N36+M37-V36,IF(A37&lt;'Données projet'!$A$36,$K$205^A37,IF(A37='Données projet'!$A$36,'Données projet'!$B$36,N36+M37-V36)))</f>
        <v>287.39230769230767</v>
      </c>
      <c r="O37" s="14">
        <f>N37*VLOOKUP('Données projet'!$B$9,Paramètres!$A$1:$I$89,3,0)*VLOOKUP('Données projet'!$B$9,Paramètres!$A$1:$I$89,5,0)</f>
        <v>160.6523</v>
      </c>
      <c r="P37" s="14">
        <f t="shared" si="33"/>
        <v>40.989608635643826</v>
      </c>
      <c r="Q37" s="22">
        <f t="shared" si="53"/>
        <v>351.19299087374634</v>
      </c>
      <c r="R37" s="60">
        <f t="shared" si="0"/>
        <v>644.5263242070796</v>
      </c>
      <c r="S37" s="60">
        <f ca="1">AVERAGE(OFFSET($R$3,0,0,'Données projet'!$E$9+1,1))-AVERAGE(OFFSET($H$3,0,0,'Données projet'!$E$9+1,1))</f>
        <v>256.47911362806866</v>
      </c>
      <c r="T37" s="60">
        <f t="shared" si="34"/>
        <v>230.93438491511529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3.9156328865322552</v>
      </c>
      <c r="AB37" s="23">
        <f>EXP(-LN(2)/2)*AB36+(1-EXP(-LN(2)/2))/(LN(2)/2)*V37*Y37*VLOOKUP('Données projet'!$B$9,Paramètres!$A$1:$I$89,3,0)*0.475*44/12</f>
        <v>4.0300217566888437</v>
      </c>
      <c r="AC37" s="24">
        <f t="shared" si="3"/>
        <v>7.9456546432210988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9.1999999999999993</v>
      </c>
      <c r="AI37" s="14">
        <f>IF('Données projet'!$A$62&gt;35,AI36+AH37-AQ36,IF(A37&lt;'Données projet'!$A$62,$AF$205^A37,IF(A37='Données projet'!$A$62,'Données projet'!$B$62,AI36+AH37-AQ36)))</f>
        <v>149.79999999999993</v>
      </c>
      <c r="AJ37" s="14">
        <f>AI37*VLOOKUP('Données projet'!$B$10,Paramètres!$A$1:$I$89,3,0)*VLOOKUP('Données projet'!$B$10,Paramètres!$A$1:$I$89,5,0)</f>
        <v>130.86527999999996</v>
      </c>
      <c r="AK37" s="14">
        <f t="shared" si="35"/>
        <v>34.19622287336729</v>
      </c>
      <c r="AL37" s="22">
        <f t="shared" si="4"/>
        <v>287.48211750444796</v>
      </c>
      <c r="AM37" s="60">
        <f t="shared" si="5"/>
        <v>580.81545083778133</v>
      </c>
      <c r="AN37" s="60">
        <f ca="1">AVERAGE(OFFSET($AM$3,0,0,'Données projet'!$E$10+1,1))-AVERAGE(OFFSET($H$3,0,0,'Données projet'!$E$10+1,1))</f>
        <v>233.41481265653817</v>
      </c>
      <c r="AO37" s="60">
        <f t="shared" si="36"/>
        <v>300.97465452084055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10.780000000000001</v>
      </c>
      <c r="BD37" s="13">
        <f>IF('Données projet'!$A$88&gt;35,BD36+BC37-BL36,IF(A37&lt;'Données projet'!$A$88,$BA$205^A37,IF(A37='Données projet'!$A$88,'Données projet'!$B$88,BD36+BC37-BL36)))</f>
        <v>161.62</v>
      </c>
      <c r="BE37" s="14">
        <f>BD37*VLOOKUP('Données projet'!$B$11,Paramètres!$A$1:$I$89,3,0)*VLOOKUP('Données projet'!$B$11,Paramètres!$A$1:$I$89,5,0)</f>
        <v>128.58487200000002</v>
      </c>
      <c r="BF37" s="14">
        <f t="shared" si="37"/>
        <v>33.669156791917978</v>
      </c>
      <c r="BG37" s="22">
        <f t="shared" si="7"/>
        <v>282.59243347925718</v>
      </c>
      <c r="BH37" s="60">
        <f t="shared" si="8"/>
        <v>575.9257668125905</v>
      </c>
      <c r="BI37" s="60">
        <f ca="1">AVERAGE(OFFSET($BH$3,0,0,'Données projet'!$E$11+1,1))-AVERAGE(OFFSET($H$3,0,0,'Données projet'!$E$11+1,1))</f>
        <v>238.47463071449789</v>
      </c>
      <c r="BJ37" s="60">
        <f t="shared" si="38"/>
        <v>270.92950919803718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0" t="e">
        <f t="shared" si="11"/>
        <v>#N/A</v>
      </c>
      <c r="CD37" s="60" t="e">
        <f ca="1">AVERAGE(OFFSET($CC$3,0,0,'Données projet'!$E$12+1,1))-AVERAGE(OFFSET($H$3,0,0,'Données projet'!$E$12+1,1))</f>
        <v>#N/A</v>
      </c>
      <c r="CE37" s="60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0" t="e">
        <f t="shared" si="14"/>
        <v>#N/A</v>
      </c>
      <c r="CY37" s="60" t="e">
        <f ca="1">AVERAGE(OFFSET($CX$3,0,0,'Données projet'!$E$13+1,1))-AVERAGE(OFFSET($H$3,0,0,'Données projet'!$E$13+1,1))</f>
        <v>#N/A</v>
      </c>
      <c r="CZ37" s="60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0" t="e">
        <f t="shared" si="17"/>
        <v>#N/A</v>
      </c>
      <c r="DT37" s="60" t="e">
        <f ca="1">AVERAGE(OFFSET($DS$3,0,0,'Données projet'!$E$14+1,1))-AVERAGE(OFFSET($H$3,0,0,'Données projet'!$E$14+1,1))</f>
        <v>#N/A</v>
      </c>
      <c r="DU37" s="60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0" t="e">
        <f t="shared" si="20"/>
        <v>#N/A</v>
      </c>
      <c r="EO37" s="60" t="e">
        <f ca="1">AVERAGE(OFFSET($EN$3,0,0,'Données projet'!$E$15+1,1))-AVERAGE(OFFSET($H$3,0,0,'Données projet'!$E$15+1,1))</f>
        <v>#N/A</v>
      </c>
      <c r="EP37" s="60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8">
        <f t="shared" si="1"/>
        <v>332.38174191836544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305.49230769230769</v>
      </c>
      <c r="L38" s="13">
        <f>VLOOKUP(A38,'Données projet'!$A$35:$I$55,9,0)</f>
        <v>18.100000000000001</v>
      </c>
      <c r="M38" s="13">
        <f t="array" ref="M38">INDEX(L:L,MIN(IF(ISNUMBER(L38:L234),ROW(L38:L234),"")))</f>
        <v>18.100000000000001</v>
      </c>
      <c r="N38" s="14">
        <f>IF('Données projet'!$A$36&gt;35,N37+M38-V37,IF(A38&lt;'Données projet'!$A$36,$K$205^A38,IF(A38='Données projet'!$A$36,'Données projet'!$B$36,N37+M38-V37)))</f>
        <v>305.49230769230769</v>
      </c>
      <c r="O38" s="14">
        <f>N38*VLOOKUP('Données projet'!$B$9,Paramètres!$A$1:$I$89,3,0)*VLOOKUP('Données projet'!$B$9,Paramètres!$A$1:$I$89,5,0)</f>
        <v>170.77019999999999</v>
      </c>
      <c r="P38" s="14">
        <f t="shared" si="33"/>
        <v>43.26247735598961</v>
      </c>
      <c r="Q38" s="22">
        <f t="shared" si="53"/>
        <v>372.77357972834852</v>
      </c>
      <c r="R38" s="60">
        <f t="shared" si="0"/>
        <v>666.10691306168178</v>
      </c>
      <c r="S38" s="60">
        <f ca="1">AVERAGE(OFFSET($R$3,0,0,'Données projet'!$E$9+1,1))-AVERAGE(OFFSET($H$3,0,0,'Données projet'!$E$9+1,1))</f>
        <v>256.47911362806866</v>
      </c>
      <c r="T38" s="60">
        <f t="shared" si="34"/>
        <v>230.93438491511529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70.5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3.8085596993358464</v>
      </c>
      <c r="AB38" s="23">
        <f>EXP(-LN(2)/2)*AB37+(1-EXP(-LN(2)/2))/(LN(2)/2)*V38*Y38*VLOOKUP('Données projet'!$B$9,Paramètres!$A$1:$I$89,3,0)*0.475*44/12</f>
        <v>2.8496557124840041</v>
      </c>
      <c r="AC38" s="24">
        <f t="shared" si="3"/>
        <v>6.6582154118198504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159</v>
      </c>
      <c r="AG38" s="13">
        <f>VLOOKUP(A38,'Données projet'!$A$61:$I$81,9,0)</f>
        <v>9.1999999999999993</v>
      </c>
      <c r="AH38" s="13">
        <f t="array" ref="AH38">INDEX(AG:AG,MIN(IF(ISNUMBER(AG38:AG234),ROW(AG38:AG234),"")))</f>
        <v>9.1999999999999993</v>
      </c>
      <c r="AI38" s="14">
        <f>IF('Données projet'!$A$62&gt;35,AI37+AH38-AQ37,IF(A38&lt;'Données projet'!$A$62,$AF$205^A38,IF(A38='Données projet'!$A$62,'Données projet'!$B$62,AI37+AH38-AQ37)))</f>
        <v>158.99999999999991</v>
      </c>
      <c r="AJ38" s="14">
        <f>AI38*VLOOKUP('Données projet'!$B$10,Paramètres!$A$1:$I$89,3,0)*VLOOKUP('Données projet'!$B$10,Paramètres!$A$1:$I$89,5,0)</f>
        <v>138.90239999999994</v>
      </c>
      <c r="AK38" s="14">
        <f t="shared" si="35"/>
        <v>36.045445680666425</v>
      </c>
      <c r="AL38" s="22">
        <f t="shared" si="4"/>
        <v>304.70083122716056</v>
      </c>
      <c r="AM38" s="60">
        <f t="shared" si="5"/>
        <v>598.03416456049388</v>
      </c>
      <c r="AN38" s="60">
        <f ca="1">AVERAGE(OFFSET($AM$3,0,0,'Données projet'!$E$10+1,1))-AVERAGE(OFFSET($H$3,0,0,'Données projet'!$E$10+1,1))</f>
        <v>233.41481265653817</v>
      </c>
      <c r="AO38" s="60">
        <f t="shared" si="36"/>
        <v>300.97465452084055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172.4</v>
      </c>
      <c r="BB38" s="13">
        <f>VLOOKUP(A38,'Données projet'!$A$87:$I$107,9,0)</f>
        <v>10.780000000000001</v>
      </c>
      <c r="BC38" s="13">
        <f t="array" ref="BC38">INDEX(BB:BB,MIN(IF(ISNUMBER(BB38:BB234),ROW(BB38:BB234),"")))</f>
        <v>10.780000000000001</v>
      </c>
      <c r="BD38" s="13">
        <f>IF('Données projet'!$A$88&gt;35,BD37+BC38-BL37,IF(A38&lt;'Données projet'!$A$88,$BA$205^A38,IF(A38='Données projet'!$A$88,'Données projet'!$B$88,BD37+BC38-BL37)))</f>
        <v>172.4</v>
      </c>
      <c r="BE38" s="14">
        <f>BD38*VLOOKUP('Données projet'!$B$11,Paramètres!$A$1:$I$89,3,0)*VLOOKUP('Données projet'!$B$11,Paramètres!$A$1:$I$89,5,0)</f>
        <v>137.16144000000003</v>
      </c>
      <c r="BF38" s="14">
        <f t="shared" si="37"/>
        <v>35.64595806367339</v>
      </c>
      <c r="BG38" s="22">
        <f t="shared" si="7"/>
        <v>300.97288496089783</v>
      </c>
      <c r="BH38" s="60">
        <f t="shared" si="8"/>
        <v>594.30621829423114</v>
      </c>
      <c r="BI38" s="60">
        <f ca="1">AVERAGE(OFFSET($BH$3,0,0,'Données projet'!$E$11+1,1))-AVERAGE(OFFSET($H$3,0,0,'Données projet'!$E$11+1,1))</f>
        <v>238.47463071449789</v>
      </c>
      <c r="BJ38" s="60">
        <f t="shared" si="38"/>
        <v>270.92950919803718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0" t="e">
        <f t="shared" si="11"/>
        <v>#N/A</v>
      </c>
      <c r="CD38" s="60" t="e">
        <f ca="1">AVERAGE(OFFSET($CC$3,0,0,'Données projet'!$E$12+1,1))-AVERAGE(OFFSET($H$3,0,0,'Données projet'!$E$12+1,1))</f>
        <v>#N/A</v>
      </c>
      <c r="CE38" s="60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0" t="e">
        <f t="shared" si="14"/>
        <v>#N/A</v>
      </c>
      <c r="CY38" s="60" t="e">
        <f ca="1">AVERAGE(OFFSET($CX$3,0,0,'Données projet'!$E$13+1,1))-AVERAGE(OFFSET($H$3,0,0,'Données projet'!$E$13+1,1))</f>
        <v>#N/A</v>
      </c>
      <c r="CZ38" s="60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0" t="e">
        <f t="shared" si="17"/>
        <v>#N/A</v>
      </c>
      <c r="DT38" s="60" t="e">
        <f ca="1">AVERAGE(OFFSET($DS$3,0,0,'Données projet'!$E$14+1,1))-AVERAGE(OFFSET($H$3,0,0,'Données projet'!$E$14+1,1))</f>
        <v>#N/A</v>
      </c>
      <c r="DU38" s="60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0" t="e">
        <f t="shared" si="20"/>
        <v>#N/A</v>
      </c>
      <c r="EO38" s="60" t="e">
        <f ca="1">AVERAGE(OFFSET($EN$3,0,0,'Données projet'!$E$15+1,1))-AVERAGE(OFFSET($H$3,0,0,'Données projet'!$E$15+1,1))</f>
        <v>#N/A</v>
      </c>
      <c r="EP38" s="60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8">
        <f t="shared" si="1"/>
        <v>333.46465593362842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18.229670329670324</v>
      </c>
      <c r="N39" s="14">
        <f>IF('Données projet'!$A$36&gt;35,N38+M39-V38,IF(A39&lt;'Données projet'!$A$36,$K$205^A39,IF(A39='Données projet'!$A$36,'Données projet'!$B$36,N38+M39-V38)))</f>
        <v>253.22197802197803</v>
      </c>
      <c r="O39" s="14">
        <f>N39*VLOOKUP('Données projet'!$B$9,Paramètres!$A$1:$I$89,3,0)*VLOOKUP('Données projet'!$B$9,Paramètres!$A$1:$I$89,5,0)</f>
        <v>141.55108571428573</v>
      </c>
      <c r="P39" s="14">
        <f t="shared" si="33"/>
        <v>36.652109269178766</v>
      </c>
      <c r="Q39" s="22">
        <f t="shared" si="53"/>
        <v>310.37056459620067</v>
      </c>
      <c r="R39" s="60">
        <f t="shared" si="0"/>
        <v>603.70389792953392</v>
      </c>
      <c r="S39" s="60">
        <f ca="1">AVERAGE(OFFSET($R$3,0,0,'Données projet'!$E$9+1,1))-AVERAGE(OFFSET($H$3,0,0,'Données projet'!$E$9+1,1))</f>
        <v>256.47911362806866</v>
      </c>
      <c r="T39" s="60">
        <f t="shared" si="34"/>
        <v>230.93438491511529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3.7044144340740575</v>
      </c>
      <c r="AB39" s="23">
        <f>EXP(-LN(2)/2)*AB38+(1-EXP(-LN(2)/2))/(LN(2)/2)*V39*Y39*VLOOKUP('Données projet'!$B$9,Paramètres!$A$1:$I$89,3,0)*0.475*44/12</f>
        <v>2.0150108783444218</v>
      </c>
      <c r="AC39" s="24">
        <f t="shared" si="3"/>
        <v>5.7194253124184797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8.1999999999999993</v>
      </c>
      <c r="AI39" s="14">
        <f>IF('Données projet'!$A$62&gt;35,AI38+AH39-AQ38,IF(A39&lt;'Données projet'!$A$62,$AF$205^A39,IF(A39='Données projet'!$A$62,'Données projet'!$B$62,AI38+AH39-AQ38)))</f>
        <v>167.1999999999999</v>
      </c>
      <c r="AJ39" s="14">
        <f>AI39*VLOOKUP('Données projet'!$B$10,Paramètres!$A$1:$I$89,3,0)*VLOOKUP('Données projet'!$B$10,Paramètres!$A$1:$I$89,5,0)</f>
        <v>146.06591999999992</v>
      </c>
      <c r="AK39" s="14">
        <f t="shared" si="35"/>
        <v>37.683173643014399</v>
      </c>
      <c r="AL39" s="22">
        <f t="shared" si="4"/>
        <v>320.02967142824986</v>
      </c>
      <c r="AM39" s="60">
        <f t="shared" si="5"/>
        <v>613.36300476158317</v>
      </c>
      <c r="AN39" s="60">
        <f ca="1">AVERAGE(OFFSET($AM$3,0,0,'Données projet'!$E$10+1,1))-AVERAGE(OFFSET($H$3,0,0,'Données projet'!$E$10+1,1))</f>
        <v>233.41481265653817</v>
      </c>
      <c r="AO39" s="60">
        <f t="shared" si="36"/>
        <v>300.97465452084055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9.4399999999999977</v>
      </c>
      <c r="BD39" s="13">
        <f>IF('Données projet'!$A$88&gt;35,BD38+BC39-BL38,IF(A39&lt;'Données projet'!$A$88,$BA$205^A39,IF(A39='Données projet'!$A$88,'Données projet'!$B$88,BD38+BC39-BL38)))</f>
        <v>181.84</v>
      </c>
      <c r="BE39" s="14">
        <f>BD39*VLOOKUP('Données projet'!$B$11,Paramètres!$A$1:$I$89,3,0)*VLOOKUP('Données projet'!$B$11,Paramètres!$A$1:$I$89,5,0)</f>
        <v>144.67190400000001</v>
      </c>
      <c r="BF39" s="14">
        <f t="shared" si="37"/>
        <v>37.365219813928285</v>
      </c>
      <c r="BG39" s="22">
        <f t="shared" si="7"/>
        <v>317.04799064259174</v>
      </c>
      <c r="BH39" s="60">
        <f t="shared" si="8"/>
        <v>610.38132397592506</v>
      </c>
      <c r="BI39" s="60">
        <f ca="1">AVERAGE(OFFSET($BH$3,0,0,'Données projet'!$E$11+1,1))-AVERAGE(OFFSET($H$3,0,0,'Données projet'!$E$11+1,1))</f>
        <v>238.47463071449789</v>
      </c>
      <c r="BJ39" s="60">
        <f t="shared" si="38"/>
        <v>270.92950919803718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0" t="e">
        <f t="shared" si="11"/>
        <v>#N/A</v>
      </c>
      <c r="CD39" s="60" t="e">
        <f ca="1">AVERAGE(OFFSET($CC$3,0,0,'Données projet'!$E$12+1,1))-AVERAGE(OFFSET($H$3,0,0,'Données projet'!$E$12+1,1))</f>
        <v>#N/A</v>
      </c>
      <c r="CE39" s="60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0" t="e">
        <f t="shared" si="14"/>
        <v>#N/A</v>
      </c>
      <c r="CY39" s="60" t="e">
        <f ca="1">AVERAGE(OFFSET($CX$3,0,0,'Données projet'!$E$13+1,1))-AVERAGE(OFFSET($H$3,0,0,'Données projet'!$E$13+1,1))</f>
        <v>#N/A</v>
      </c>
      <c r="CZ39" s="60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0" t="e">
        <f t="shared" si="17"/>
        <v>#N/A</v>
      </c>
      <c r="DT39" s="60" t="e">
        <f ca="1">AVERAGE(OFFSET($DS$3,0,0,'Données projet'!$E$14+1,1))-AVERAGE(OFFSET($H$3,0,0,'Données projet'!$E$14+1,1))</f>
        <v>#N/A</v>
      </c>
      <c r="DU39" s="60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0" t="e">
        <f t="shared" si="20"/>
        <v>#N/A</v>
      </c>
      <c r="EO39" s="60" t="e">
        <f ca="1">AVERAGE(OFFSET($EN$3,0,0,'Données projet'!$E$15+1,1))-AVERAGE(OFFSET($H$3,0,0,'Données projet'!$E$15+1,1))</f>
        <v>#N/A</v>
      </c>
      <c r="EP39" s="60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8">
        <f t="shared" si="1"/>
        <v>334.54677839758983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18.229670329670324</v>
      </c>
      <c r="N40" s="14">
        <f>IF('Données projet'!$A$36&gt;35,N39+M40-V39,IF(A40&lt;'Données projet'!$A$36,$K$205^A40,IF(A40='Données projet'!$A$36,'Données projet'!$B$36,N39+M40-V39)))</f>
        <v>271.45164835164837</v>
      </c>
      <c r="O40" s="14">
        <f>N40*VLOOKUP('Données projet'!$B$9,Paramètres!$A$1:$I$89,3,0)*VLOOKUP('Données projet'!$B$9,Paramètres!$A$1:$I$89,5,0)</f>
        <v>151.74147142857143</v>
      </c>
      <c r="P40" s="14">
        <f t="shared" si="33"/>
        <v>38.974074991810518</v>
      </c>
      <c r="Q40" s="22">
        <f t="shared" si="53"/>
        <v>332.16291001549854</v>
      </c>
      <c r="R40" s="60">
        <f t="shared" si="0"/>
        <v>625.49624334883185</v>
      </c>
      <c r="S40" s="60">
        <f ca="1">AVERAGE(OFFSET($R$3,0,0,'Données projet'!$E$9+1,1))-AVERAGE(OFFSET($H$3,0,0,'Données projet'!$E$9+1,1))</f>
        <v>256.47911362806866</v>
      </c>
      <c r="T40" s="60">
        <f t="shared" si="34"/>
        <v>230.93438491511529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3.603117026567614</v>
      </c>
      <c r="AB40" s="23">
        <f>EXP(-LN(2)/2)*AB39+(1-EXP(-LN(2)/2))/(LN(2)/2)*V40*Y40*VLOOKUP('Données projet'!$B$9,Paramètres!$A$1:$I$89,3,0)*0.475*44/12</f>
        <v>1.424827856242002</v>
      </c>
      <c r="AC40" s="24">
        <f t="shared" si="3"/>
        <v>5.0279448828096163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8.1999999999999993</v>
      </c>
      <c r="AI40" s="14">
        <f>IF('Données projet'!$A$62&gt;35,AI39+AH40-AQ39,IF(A40&lt;'Données projet'!$A$62,$AF$205^A40,IF(A40='Données projet'!$A$62,'Données projet'!$B$62,AI39+AH40-AQ39)))</f>
        <v>175.39999999999989</v>
      </c>
      <c r="AJ40" s="14">
        <f>AI40*VLOOKUP('Données projet'!$B$10,Paramètres!$A$1:$I$89,3,0)*VLOOKUP('Données projet'!$B$10,Paramètres!$A$1:$I$89,5,0)</f>
        <v>153.22943999999993</v>
      </c>
      <c r="AK40" s="14">
        <f t="shared" si="35"/>
        <v>39.311575138468328</v>
      </c>
      <c r="AL40" s="22">
        <f t="shared" si="4"/>
        <v>335.34226803283224</v>
      </c>
      <c r="AM40" s="60">
        <f t="shared" si="5"/>
        <v>628.67560136616555</v>
      </c>
      <c r="AN40" s="60">
        <f ca="1">AVERAGE(OFFSET($AM$3,0,0,'Données projet'!$E$10+1,1))-AVERAGE(OFFSET($H$3,0,0,'Données projet'!$E$10+1,1))</f>
        <v>233.41481265653817</v>
      </c>
      <c r="AO40" s="60">
        <f t="shared" si="36"/>
        <v>300.97465452084055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9.4399999999999977</v>
      </c>
      <c r="BD40" s="13">
        <f>IF('Données projet'!$A$88&gt;35,BD39+BC40-BL39,IF(A40&lt;'Données projet'!$A$88,$BA$205^A40,IF(A40='Données projet'!$A$88,'Données projet'!$B$88,BD39+BC40-BL39)))</f>
        <v>191.28</v>
      </c>
      <c r="BE40" s="14">
        <f>BD40*VLOOKUP('Données projet'!$B$11,Paramètres!$A$1:$I$89,3,0)*VLOOKUP('Données projet'!$B$11,Paramètres!$A$1:$I$89,5,0)</f>
        <v>152.18236800000003</v>
      </c>
      <c r="BF40" s="14">
        <f t="shared" si="37"/>
        <v>39.074118885510551</v>
      </c>
      <c r="BG40" s="22">
        <f t="shared" si="7"/>
        <v>333.10504799226425</v>
      </c>
      <c r="BH40" s="60">
        <f t="shared" si="8"/>
        <v>626.43838132559756</v>
      </c>
      <c r="BI40" s="60">
        <f ca="1">AVERAGE(OFFSET($BH$3,0,0,'Données projet'!$E$11+1,1))-AVERAGE(OFFSET($H$3,0,0,'Données projet'!$E$11+1,1))</f>
        <v>238.47463071449789</v>
      </c>
      <c r="BJ40" s="60">
        <f t="shared" si="38"/>
        <v>270.92950919803718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0" t="e">
        <f t="shared" si="11"/>
        <v>#N/A</v>
      </c>
      <c r="CD40" s="60" t="e">
        <f ca="1">AVERAGE(OFFSET($CC$3,0,0,'Données projet'!$E$12+1,1))-AVERAGE(OFFSET($H$3,0,0,'Données projet'!$E$12+1,1))</f>
        <v>#N/A</v>
      </c>
      <c r="CE40" s="60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0" t="e">
        <f t="shared" si="14"/>
        <v>#N/A</v>
      </c>
      <c r="CY40" s="60" t="e">
        <f ca="1">AVERAGE(OFFSET($CX$3,0,0,'Données projet'!$E$13+1,1))-AVERAGE(OFFSET($H$3,0,0,'Données projet'!$E$13+1,1))</f>
        <v>#N/A</v>
      </c>
      <c r="CZ40" s="60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0" t="e">
        <f t="shared" si="17"/>
        <v>#N/A</v>
      </c>
      <c r="DT40" s="60" t="e">
        <f ca="1">AVERAGE(OFFSET($DS$3,0,0,'Données projet'!$E$14+1,1))-AVERAGE(OFFSET($H$3,0,0,'Données projet'!$E$14+1,1))</f>
        <v>#N/A</v>
      </c>
      <c r="DU40" s="60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0" t="e">
        <f t="shared" si="20"/>
        <v>#N/A</v>
      </c>
      <c r="EO40" s="60" t="e">
        <f ca="1">AVERAGE(OFFSET($EN$3,0,0,'Données projet'!$E$15+1,1))-AVERAGE(OFFSET($H$3,0,0,'Données projet'!$E$15+1,1))</f>
        <v>#N/A</v>
      </c>
      <c r="EP40" s="60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8">
        <f t="shared" si="1"/>
        <v>335.62813316205717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18.229670329670324</v>
      </c>
      <c r="N41" s="14">
        <f>IF('Données projet'!$A$36&gt;35,N40+M41-V40,IF(A41&lt;'Données projet'!$A$36,$K$205^A41,IF(A41='Données projet'!$A$36,'Données projet'!$B$36,N40+M41-V40)))</f>
        <v>289.68131868131871</v>
      </c>
      <c r="O41" s="14">
        <f>N41*VLOOKUP('Données projet'!$B$9,Paramètres!$A$1:$I$89,3,0)*VLOOKUP('Données projet'!$B$9,Paramètres!$A$1:$I$89,5,0)</f>
        <v>161.93185714285718</v>
      </c>
      <c r="P41" s="14">
        <f t="shared" si="33"/>
        <v>41.277946347593272</v>
      </c>
      <c r="Q41" s="22">
        <f t="shared" si="53"/>
        <v>353.92374107920119</v>
      </c>
      <c r="R41" s="60">
        <f t="shared" si="0"/>
        <v>647.25707441253451</v>
      </c>
      <c r="S41" s="60">
        <f ca="1">AVERAGE(OFFSET($R$3,0,0,'Données projet'!$E$9+1,1))-AVERAGE(OFFSET($H$3,0,0,'Données projet'!$E$9+1,1))</f>
        <v>256.47911362806866</v>
      </c>
      <c r="T41" s="60">
        <f t="shared" si="34"/>
        <v>230.93438491511529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3.5045896019964333</v>
      </c>
      <c r="AB41" s="23">
        <f>EXP(-LN(2)/2)*AB40+(1-EXP(-LN(2)/2))/(LN(2)/2)*V41*Y41*VLOOKUP('Données projet'!$B$9,Paramètres!$A$1:$I$89,3,0)*0.475*44/12</f>
        <v>1.0075054391722109</v>
      </c>
      <c r="AC41" s="24">
        <f t="shared" si="3"/>
        <v>4.512095041168644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8.1999999999999993</v>
      </c>
      <c r="AI41" s="14">
        <f>IF('Données projet'!$A$62&gt;35,AI40+AH41-AQ40,IF(A41&lt;'Données projet'!$A$62,$AF$205^A41,IF(A41='Données projet'!$A$62,'Données projet'!$B$62,AI40+AH41-AQ40)))</f>
        <v>183.59999999999988</v>
      </c>
      <c r="AJ41" s="14">
        <f>AI41*VLOOKUP('Données projet'!$B$10,Paramètres!$A$1:$I$89,3,0)*VLOOKUP('Données projet'!$B$10,Paramètres!$A$1:$I$89,5,0)</f>
        <v>160.39295999999993</v>
      </c>
      <c r="AK41" s="14">
        <f t="shared" si="35"/>
        <v>40.931135973980041</v>
      </c>
      <c r="AL41" s="22">
        <f t="shared" si="4"/>
        <v>350.63946715468182</v>
      </c>
      <c r="AM41" s="60">
        <f t="shared" si="5"/>
        <v>643.97280048801508</v>
      </c>
      <c r="AN41" s="60">
        <f ca="1">AVERAGE(OFFSET($AM$3,0,0,'Données projet'!$E$10+1,1))-AVERAGE(OFFSET($H$3,0,0,'Données projet'!$E$10+1,1))</f>
        <v>233.41481265653817</v>
      </c>
      <c r="AO41" s="60">
        <f t="shared" si="36"/>
        <v>300.97465452084055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9.4399999999999977</v>
      </c>
      <c r="BD41" s="13">
        <f>IF('Données projet'!$A$88&gt;35,BD40+BC41-BL40,IF(A41&lt;'Données projet'!$A$88,$BA$205^A41,IF(A41='Données projet'!$A$88,'Données projet'!$B$88,BD40+BC41-BL40)))</f>
        <v>200.72</v>
      </c>
      <c r="BE41" s="14">
        <f>BD41*VLOOKUP('Données projet'!$B$11,Paramètres!$A$1:$I$89,3,0)*VLOOKUP('Données projet'!$B$11,Paramètres!$A$1:$I$89,5,0)</f>
        <v>159.69283200000001</v>
      </c>
      <c r="BF41" s="14">
        <f t="shared" si="37"/>
        <v>40.773225060243078</v>
      </c>
      <c r="BG41" s="22">
        <f t="shared" si="7"/>
        <v>349.14504937992336</v>
      </c>
      <c r="BH41" s="60">
        <f t="shared" si="8"/>
        <v>642.47838271325668</v>
      </c>
      <c r="BI41" s="60">
        <f ca="1">AVERAGE(OFFSET($BH$3,0,0,'Données projet'!$E$11+1,1))-AVERAGE(OFFSET($H$3,0,0,'Données projet'!$E$11+1,1))</f>
        <v>238.47463071449789</v>
      </c>
      <c r="BJ41" s="60">
        <f t="shared" si="38"/>
        <v>270.92950919803718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0" t="e">
        <f t="shared" si="11"/>
        <v>#N/A</v>
      </c>
      <c r="CD41" s="60" t="e">
        <f ca="1">AVERAGE(OFFSET($CC$3,0,0,'Données projet'!$E$12+1,1))-AVERAGE(OFFSET($H$3,0,0,'Données projet'!$E$12+1,1))</f>
        <v>#N/A</v>
      </c>
      <c r="CE41" s="60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0" t="e">
        <f t="shared" si="14"/>
        <v>#N/A</v>
      </c>
      <c r="CY41" s="60" t="e">
        <f ca="1">AVERAGE(OFFSET($CX$3,0,0,'Données projet'!$E$13+1,1))-AVERAGE(OFFSET($H$3,0,0,'Données projet'!$E$13+1,1))</f>
        <v>#N/A</v>
      </c>
      <c r="CZ41" s="60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0" t="e">
        <f t="shared" si="17"/>
        <v>#N/A</v>
      </c>
      <c r="DT41" s="60" t="e">
        <f ca="1">AVERAGE(OFFSET($DS$3,0,0,'Données projet'!$E$14+1,1))-AVERAGE(OFFSET($H$3,0,0,'Données projet'!$E$14+1,1))</f>
        <v>#N/A</v>
      </c>
      <c r="DU41" s="60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0" t="e">
        <f t="shared" si="20"/>
        <v>#N/A</v>
      </c>
      <c r="EO41" s="60" t="e">
        <f ca="1">AVERAGE(OFFSET($EN$3,0,0,'Données projet'!$E$15+1,1))-AVERAGE(OFFSET($H$3,0,0,'Données projet'!$E$15+1,1))</f>
        <v>#N/A</v>
      </c>
      <c r="EP41" s="60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8">
        <f t="shared" si="1"/>
        <v>336.70874275198798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18.229670329670324</v>
      </c>
      <c r="N42" s="14">
        <f>IF('Données projet'!$A$36&gt;35,N41+M42-V41,IF(A42&lt;'Données projet'!$A$36,$K$205^A42,IF(A42='Données projet'!$A$36,'Données projet'!$B$36,N41+M42-V41)))</f>
        <v>307.91098901098906</v>
      </c>
      <c r="O42" s="14">
        <f>N42*VLOOKUP('Données projet'!$B$9,Paramètres!$A$1:$I$89,3,0)*VLOOKUP('Données projet'!$B$9,Paramètres!$A$1:$I$89,5,0)</f>
        <v>172.12224285714288</v>
      </c>
      <c r="P42" s="14">
        <f t="shared" si="33"/>
        <v>43.564991640658711</v>
      </c>
      <c r="Q42" s="22">
        <f t="shared" si="53"/>
        <v>375.65526675033772</v>
      </c>
      <c r="R42" s="60">
        <f t="shared" si="0"/>
        <v>668.98860008367103</v>
      </c>
      <c r="S42" s="60">
        <f ca="1">AVERAGE(OFFSET($R$3,0,0,'Données projet'!$E$9+1,1))-AVERAGE(OFFSET($H$3,0,0,'Données projet'!$E$9+1,1))</f>
        <v>256.47911362806866</v>
      </c>
      <c r="T42" s="60">
        <f t="shared" si="34"/>
        <v>230.93438491511529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3.4087564150314837</v>
      </c>
      <c r="AB42" s="23">
        <f>EXP(-LN(2)/2)*AB41+(1-EXP(-LN(2)/2))/(LN(2)/2)*V42*Y42*VLOOKUP('Données projet'!$B$9,Paramètres!$A$1:$I$89,3,0)*0.475*44/12</f>
        <v>0.71241392812100102</v>
      </c>
      <c r="AC42" s="24">
        <f t="shared" si="3"/>
        <v>4.1211703431524844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8.1999999999999993</v>
      </c>
      <c r="AI42" s="14">
        <f>IF('Données projet'!$A$62&gt;35,AI41+AH42-AQ41,IF(A42&lt;'Données projet'!$A$62,$AF$205^A42,IF(A42='Données projet'!$A$62,'Données projet'!$B$62,AI41+AH42-AQ41)))</f>
        <v>191.79999999999987</v>
      </c>
      <c r="AJ42" s="14">
        <f>AI42*VLOOKUP('Données projet'!$B$10,Paramètres!$A$1:$I$89,3,0)*VLOOKUP('Données projet'!$B$10,Paramètres!$A$1:$I$89,5,0)</f>
        <v>167.55647999999991</v>
      </c>
      <c r="AK42" s="14">
        <f t="shared" si="35"/>
        <v>42.542296108660942</v>
      </c>
      <c r="AL42" s="22">
        <f t="shared" si="4"/>
        <v>365.9220350559176</v>
      </c>
      <c r="AM42" s="60">
        <f t="shared" si="5"/>
        <v>659.25536838925086</v>
      </c>
      <c r="AN42" s="60">
        <f ca="1">AVERAGE(OFFSET($AM$3,0,0,'Données projet'!$E$10+1,1))-AVERAGE(OFFSET($H$3,0,0,'Données projet'!$E$10+1,1))</f>
        <v>233.41481265653817</v>
      </c>
      <c r="AO42" s="60">
        <f t="shared" si="36"/>
        <v>300.97465452084055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9.4399999999999977</v>
      </c>
      <c r="BD42" s="13">
        <f>IF('Données projet'!$A$88&gt;35,BD41+BC42-BL41,IF(A42&lt;'Données projet'!$A$88,$BA$205^A42,IF(A42='Données projet'!$A$88,'Données projet'!$B$88,BD41+BC42-BL41)))</f>
        <v>210.16</v>
      </c>
      <c r="BE42" s="14">
        <f>BD42*VLOOKUP('Données projet'!$B$11,Paramètres!$A$1:$I$89,3,0)*VLOOKUP('Données projet'!$B$11,Paramètres!$A$1:$I$89,5,0)</f>
        <v>167.20329600000002</v>
      </c>
      <c r="BF42" s="14">
        <f t="shared" si="37"/>
        <v>42.463051496825123</v>
      </c>
      <c r="BG42" s="22">
        <f t="shared" si="7"/>
        <v>365.16888855697044</v>
      </c>
      <c r="BH42" s="60">
        <f t="shared" si="8"/>
        <v>658.50222189030376</v>
      </c>
      <c r="BI42" s="60">
        <f ca="1">AVERAGE(OFFSET($BH$3,0,0,'Données projet'!$E$11+1,1))-AVERAGE(OFFSET($H$3,0,0,'Données projet'!$E$11+1,1))</f>
        <v>238.47463071449789</v>
      </c>
      <c r="BJ42" s="60">
        <f t="shared" si="38"/>
        <v>270.92950919803718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0" t="e">
        <f t="shared" si="11"/>
        <v>#N/A</v>
      </c>
      <c r="CD42" s="60" t="e">
        <f ca="1">AVERAGE(OFFSET($CC$3,0,0,'Données projet'!$E$12+1,1))-AVERAGE(OFFSET($H$3,0,0,'Données projet'!$E$12+1,1))</f>
        <v>#N/A</v>
      </c>
      <c r="CE42" s="60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0" t="e">
        <f t="shared" si="14"/>
        <v>#N/A</v>
      </c>
      <c r="CY42" s="60" t="e">
        <f ca="1">AVERAGE(OFFSET($CX$3,0,0,'Données projet'!$E$13+1,1))-AVERAGE(OFFSET($H$3,0,0,'Données projet'!$E$13+1,1))</f>
        <v>#N/A</v>
      </c>
      <c r="CZ42" s="60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0" t="e">
        <f t="shared" si="17"/>
        <v>#N/A</v>
      </c>
      <c r="DT42" s="60" t="e">
        <f ca="1">AVERAGE(OFFSET($DS$3,0,0,'Données projet'!$E$14+1,1))-AVERAGE(OFFSET($H$3,0,0,'Données projet'!$E$14+1,1))</f>
        <v>#N/A</v>
      </c>
      <c r="DU42" s="60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0" t="e">
        <f t="shared" si="20"/>
        <v>#N/A</v>
      </c>
      <c r="EO42" s="60" t="e">
        <f ca="1">AVERAGE(OFFSET($EN$3,0,0,'Données projet'!$E$15+1,1))-AVERAGE(OFFSET($H$3,0,0,'Données projet'!$E$15+1,1))</f>
        <v>#N/A</v>
      </c>
      <c r="EP42" s="60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8">
        <f t="shared" si="1"/>
        <v>337.78862847140419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18.229670329670324</v>
      </c>
      <c r="N43" s="14">
        <f>IF('Données projet'!$A$36&gt;35,N42+M43-V42,IF(A43&lt;'Données projet'!$A$36,$K$205^A43,IF(A43='Données projet'!$A$36,'Données projet'!$B$36,N42+M43-V42)))</f>
        <v>326.1406593406594</v>
      </c>
      <c r="O43" s="14">
        <f>N43*VLOOKUP('Données projet'!$B$9,Paramètres!$A$1:$I$89,3,0)*VLOOKUP('Données projet'!$B$9,Paramètres!$A$1:$I$89,5,0)</f>
        <v>182.31262857142863</v>
      </c>
      <c r="P43" s="14">
        <f t="shared" si="33"/>
        <v>45.836320512875446</v>
      </c>
      <c r="Q43" s="22">
        <f t="shared" si="53"/>
        <v>397.35941965516298</v>
      </c>
      <c r="R43" s="60">
        <f t="shared" si="0"/>
        <v>690.6927529884963</v>
      </c>
      <c r="S43" s="60">
        <f ca="1">AVERAGE(OFFSET($R$3,0,0,'Données projet'!$E$9+1,1))-AVERAGE(OFFSET($H$3,0,0,'Données projet'!$E$9+1,1))</f>
        <v>256.47911362806866</v>
      </c>
      <c r="T43" s="60">
        <f t="shared" si="34"/>
        <v>230.93438491511529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3.3155437916037389</v>
      </c>
      <c r="AB43" s="23">
        <f>EXP(-LN(2)/2)*AB42+(1-EXP(-LN(2)/2))/(LN(2)/2)*V43*Y43*VLOOKUP('Données projet'!$B$9,Paramètres!$A$1:$I$89,3,0)*0.475*44/12</f>
        <v>0.50375271958610546</v>
      </c>
      <c r="AC43" s="24">
        <f t="shared" si="3"/>
        <v>3.8192965111898443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200</v>
      </c>
      <c r="AG43" s="13">
        <f>VLOOKUP(A43,'Données projet'!$A$61:$I$81,9,0)</f>
        <v>8.1999999999999993</v>
      </c>
      <c r="AH43" s="13">
        <f t="array" ref="AH43">INDEX(AG:AG,MIN(IF(ISNUMBER(AG43:AG239),ROW(AG43:AG239),"")))</f>
        <v>8.1999999999999993</v>
      </c>
      <c r="AI43" s="14">
        <f>IF('Données projet'!$A$62&gt;35,AI42+AH43-AQ42,IF(A43&lt;'Données projet'!$A$62,$AF$205^A43,IF(A43='Données projet'!$A$62,'Données projet'!$B$62,AI42+AH43-AQ42)))</f>
        <v>199.99999999999986</v>
      </c>
      <c r="AJ43" s="14">
        <f>AI43*VLOOKUP('Données projet'!$B$10,Paramètres!$A$1:$I$89,3,0)*VLOOKUP('Données projet'!$B$10,Paramètres!$A$1:$I$89,5,0)</f>
        <v>174.71999999999989</v>
      </c>
      <c r="AK43" s="14">
        <f t="shared" si="35"/>
        <v>44.145455754865203</v>
      </c>
      <c r="AL43" s="22">
        <f t="shared" si="4"/>
        <v>381.19066877305664</v>
      </c>
      <c r="AM43" s="60">
        <f t="shared" si="5"/>
        <v>674.52400210638996</v>
      </c>
      <c r="AN43" s="60">
        <f ca="1">AVERAGE(OFFSET($AM$3,0,0,'Données projet'!$E$10+1,1))-AVERAGE(OFFSET($H$3,0,0,'Données projet'!$E$10+1,1))</f>
        <v>233.41481265653817</v>
      </c>
      <c r="AO43" s="60">
        <f t="shared" si="36"/>
        <v>300.97465452084055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58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219.6</v>
      </c>
      <c r="BB43" s="13">
        <f>VLOOKUP(A43,'Données projet'!$A$87:$I$107,9,0)</f>
        <v>9.4399999999999977</v>
      </c>
      <c r="BC43" s="13">
        <f t="array" ref="BC43">INDEX(BB:BB,MIN(IF(ISNUMBER(BB43:BB239),ROW(BB43:BB239),"")))</f>
        <v>9.4399999999999977</v>
      </c>
      <c r="BD43" s="13">
        <f>IF('Données projet'!$A$88&gt;35,BD42+BC43-BL42,IF(A43&lt;'Données projet'!$A$88,$BA$205^A43,IF(A43='Données projet'!$A$88,'Données projet'!$B$88,BD42+BC43-BL42)))</f>
        <v>219.6</v>
      </c>
      <c r="BE43" s="14">
        <f>BD43*VLOOKUP('Données projet'!$B$11,Paramètres!$A$1:$I$89,3,0)*VLOOKUP('Données projet'!$B$11,Paramètres!$A$1:$I$89,5,0)</f>
        <v>174.71376000000001</v>
      </c>
      <c r="BF43" s="14">
        <f t="shared" si="37"/>
        <v>44.144062647515817</v>
      </c>
      <c r="BG43" s="22">
        <f t="shared" si="7"/>
        <v>381.17737444442338</v>
      </c>
      <c r="BH43" s="60">
        <f t="shared" si="8"/>
        <v>674.51070777775669</v>
      </c>
      <c r="BI43" s="60">
        <f ca="1">AVERAGE(OFFSET($BH$3,0,0,'Données projet'!$E$11+1,1))-AVERAGE(OFFSET($H$3,0,0,'Données projet'!$E$11+1,1))</f>
        <v>238.47463071449789</v>
      </c>
      <c r="BJ43" s="60">
        <f t="shared" si="38"/>
        <v>270.92950919803718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56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0" t="e">
        <f t="shared" si="11"/>
        <v>#N/A</v>
      </c>
      <c r="CD43" s="60" t="e">
        <f ca="1">AVERAGE(OFFSET($CC$3,0,0,'Données projet'!$E$12+1,1))-AVERAGE(OFFSET($H$3,0,0,'Données projet'!$E$12+1,1))</f>
        <v>#N/A</v>
      </c>
      <c r="CE43" s="60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0" t="e">
        <f t="shared" si="14"/>
        <v>#N/A</v>
      </c>
      <c r="CY43" s="60" t="e">
        <f ca="1">AVERAGE(OFFSET($CX$3,0,0,'Données projet'!$E$13+1,1))-AVERAGE(OFFSET($H$3,0,0,'Données projet'!$E$13+1,1))</f>
        <v>#N/A</v>
      </c>
      <c r="CZ43" s="60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0" t="e">
        <f t="shared" si="17"/>
        <v>#N/A</v>
      </c>
      <c r="DT43" s="60" t="e">
        <f ca="1">AVERAGE(OFFSET($DS$3,0,0,'Données projet'!$E$14+1,1))-AVERAGE(OFFSET($H$3,0,0,'Données projet'!$E$14+1,1))</f>
        <v>#N/A</v>
      </c>
      <c r="DU43" s="60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0" t="e">
        <f t="shared" si="20"/>
        <v>#N/A</v>
      </c>
      <c r="EO43" s="60" t="e">
        <f ca="1">AVERAGE(OFFSET($EN$3,0,0,'Données projet'!$E$15+1,1))-AVERAGE(OFFSET($H$3,0,0,'Données projet'!$E$15+1,1))</f>
        <v>#N/A</v>
      </c>
      <c r="EP43" s="60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8">
        <f t="shared" si="1"/>
        <v>338.86781049841682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18.229670329670324</v>
      </c>
      <c r="N44" s="14">
        <f>IF('Données projet'!$A$36&gt;35,N43+M44-V43,IF(A44&lt;'Données projet'!$A$36,$K$205^A44,IF(A44='Données projet'!$A$36,'Données projet'!$B$36,N43+M44-V43)))</f>
        <v>344.37032967032974</v>
      </c>
      <c r="O44" s="14">
        <f>N44*VLOOKUP('Données projet'!$B$9,Paramètres!$A$1:$I$89,3,0)*VLOOKUP('Données projet'!$B$9,Paramètres!$A$1:$I$89,5,0)</f>
        <v>192.50301428571433</v>
      </c>
      <c r="P44" s="14">
        <f t="shared" si="33"/>
        <v>48.092911552862631</v>
      </c>
      <c r="Q44" s="22">
        <f t="shared" si="53"/>
        <v>419.03790416885482</v>
      </c>
      <c r="R44" s="60">
        <f t="shared" si="0"/>
        <v>712.37123750218814</v>
      </c>
      <c r="S44" s="60">
        <f ca="1">AVERAGE(OFFSET($R$3,0,0,'Données projet'!$E$9+1,1))-AVERAGE(OFFSET($H$3,0,0,'Données projet'!$E$9+1,1))</f>
        <v>256.47911362806866</v>
      </c>
      <c r="T44" s="60">
        <f t="shared" si="34"/>
        <v>230.93438491511529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3.2248800722654645</v>
      </c>
      <c r="AB44" s="23">
        <f>EXP(-LN(2)/2)*AB43+(1-EXP(-LN(2)/2))/(LN(2)/2)*V44*Y44*VLOOKUP('Données projet'!$B$9,Paramètres!$A$1:$I$89,3,0)*0.475*44/12</f>
        <v>0.35620696406050051</v>
      </c>
      <c r="AC44" s="24">
        <f t="shared" si="3"/>
        <v>3.581087036325965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7.6</v>
      </c>
      <c r="AI44" s="14">
        <f>IF('Données projet'!$A$62&gt;35,AI43+AH44-AQ43,IF(A44&lt;'Données projet'!$A$62,$AF$205^A44,IF(A44='Données projet'!$A$62,'Données projet'!$B$62,AI43+AH44-AQ43)))</f>
        <v>149.59999999999985</v>
      </c>
      <c r="AJ44" s="14">
        <f>AI44*VLOOKUP('Données projet'!$B$10,Paramètres!$A$1:$I$89,3,0)*VLOOKUP('Données projet'!$B$10,Paramètres!$A$1:$I$89,5,0)</f>
        <v>130.69055999999989</v>
      </c>
      <c r="AK44" s="14">
        <f t="shared" si="35"/>
        <v>34.155878238422694</v>
      </c>
      <c r="AL44" s="22">
        <f t="shared" si="4"/>
        <v>287.107546598586</v>
      </c>
      <c r="AM44" s="60">
        <f t="shared" si="5"/>
        <v>580.44087993191931</v>
      </c>
      <c r="AN44" s="60">
        <f ca="1">AVERAGE(OFFSET($AM$3,0,0,'Données projet'!$E$10+1,1))-AVERAGE(OFFSET($H$3,0,0,'Données projet'!$E$10+1,1))</f>
        <v>233.41481265653817</v>
      </c>
      <c r="AO44" s="60">
        <f t="shared" si="36"/>
        <v>300.97465452084055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8.2000000000000064</v>
      </c>
      <c r="BD44" s="13">
        <f>IF('Données projet'!$A$88&gt;35,BD43+BC44-BL43,IF(A44&lt;'Données projet'!$A$88,$BA$205^A44,IF(A44='Données projet'!$A$88,'Données projet'!$B$88,BD43+BC44-BL43)))</f>
        <v>171.8</v>
      </c>
      <c r="BE44" s="14">
        <f>BD44*VLOOKUP('Données projet'!$B$11,Paramètres!$A$1:$I$89,3,0)*VLOOKUP('Données projet'!$B$11,Paramètres!$A$1:$I$89,5,0)</f>
        <v>136.68408000000002</v>
      </c>
      <c r="BF44" s="14">
        <f t="shared" si="37"/>
        <v>35.536318307654433</v>
      </c>
      <c r="BG44" s="22">
        <f t="shared" si="7"/>
        <v>299.9505270524981</v>
      </c>
      <c r="BH44" s="60">
        <f t="shared" si="8"/>
        <v>593.28386038583142</v>
      </c>
      <c r="BI44" s="60">
        <f ca="1">AVERAGE(OFFSET($BH$3,0,0,'Données projet'!$E$11+1,1))-AVERAGE(OFFSET($H$3,0,0,'Données projet'!$E$11+1,1))</f>
        <v>238.47463071449789</v>
      </c>
      <c r="BJ44" s="60">
        <f t="shared" si="38"/>
        <v>270.92950919803718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0" t="e">
        <f t="shared" si="11"/>
        <v>#N/A</v>
      </c>
      <c r="CD44" s="60" t="e">
        <f ca="1">AVERAGE(OFFSET($CC$3,0,0,'Données projet'!$E$12+1,1))-AVERAGE(OFFSET($H$3,0,0,'Données projet'!$E$12+1,1))</f>
        <v>#N/A</v>
      </c>
      <c r="CE44" s="60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0" t="e">
        <f t="shared" si="14"/>
        <v>#N/A</v>
      </c>
      <c r="CY44" s="60" t="e">
        <f ca="1">AVERAGE(OFFSET($CX$3,0,0,'Données projet'!$E$13+1,1))-AVERAGE(OFFSET($H$3,0,0,'Données projet'!$E$13+1,1))</f>
        <v>#N/A</v>
      </c>
      <c r="CZ44" s="60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0" t="e">
        <f t="shared" si="17"/>
        <v>#N/A</v>
      </c>
      <c r="DT44" s="60" t="e">
        <f ca="1">AVERAGE(OFFSET($DS$3,0,0,'Données projet'!$E$14+1,1))-AVERAGE(OFFSET($H$3,0,0,'Données projet'!$E$14+1,1))</f>
        <v>#N/A</v>
      </c>
      <c r="DU44" s="60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0" t="e">
        <f t="shared" si="20"/>
        <v>#N/A</v>
      </c>
      <c r="EO44" s="60" t="e">
        <f ca="1">AVERAGE(OFFSET($EN$3,0,0,'Données projet'!$E$15+1,1))-AVERAGE(OFFSET($H$3,0,0,'Données projet'!$E$15+1,1))</f>
        <v>#N/A</v>
      </c>
      <c r="EP44" s="60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8">
        <f t="shared" si="1"/>
        <v>339.94630797071898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362.59999999999997</v>
      </c>
      <c r="L45" s="13">
        <f>VLOOKUP(A45,'Données projet'!$A$35:$I$55,9,0)</f>
        <v>18.229670329670324</v>
      </c>
      <c r="M45" s="13">
        <f t="array" ref="M45">INDEX(L:L,MIN(IF(ISNUMBER(L45:L241),ROW(L45:L241),"")))</f>
        <v>18.229670329670324</v>
      </c>
      <c r="N45" s="14">
        <f>IF('Données projet'!$A$36&gt;35,N44+M45-V44,IF(A45&lt;'Données projet'!$A$36,$K$205^A45,IF(A45='Données projet'!$A$36,'Données projet'!$B$36,N44+M45-V44)))</f>
        <v>362.60000000000008</v>
      </c>
      <c r="O45" s="14">
        <f>N45*VLOOKUP('Données projet'!$B$9,Paramètres!$A$1:$I$89,3,0)*VLOOKUP('Données projet'!$B$9,Paramètres!$A$1:$I$89,5,0)</f>
        <v>202.69340000000005</v>
      </c>
      <c r="P45" s="14">
        <f t="shared" si="33"/>
        <v>50.335633892078647</v>
      </c>
      <c r="Q45" s="22">
        <f t="shared" si="53"/>
        <v>440.69223402870375</v>
      </c>
      <c r="R45" s="60">
        <f t="shared" si="0"/>
        <v>734.02556736203701</v>
      </c>
      <c r="S45" s="60">
        <f ca="1">AVERAGE(OFFSET($R$3,0,0,'Données projet'!$E$9+1,1))-AVERAGE(OFFSET($H$3,0,0,'Données projet'!$E$9+1,1))</f>
        <v>256.47911362806866</v>
      </c>
      <c r="T45" s="60">
        <f t="shared" si="34"/>
        <v>230.93438491511529</v>
      </c>
      <c r="U45" s="16">
        <f>IF(ISNA(VLOOKUP(A45,'Données projet'!$A$35:$I$55,3,0)),0,VLOOKUP(A45,'Données projet'!$A$35:$I$55,3,0))</f>
        <v>4</v>
      </c>
      <c r="V45" s="16">
        <f>IF(ISNA(VLOOKUP(A45,'Données projet'!$A$35:$I$55,4,0)),0,VLOOKUP(A45,'Données projet'!$A$35:$I$55,4,0))</f>
        <v>80.669230769230765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3.136695557100293</v>
      </c>
      <c r="AB45" s="23">
        <f>EXP(-LN(2)/2)*AB44+(1-EXP(-LN(2)/2))/(LN(2)/2)*V45*Y45*VLOOKUP('Données projet'!$B$9,Paramètres!$A$1:$I$89,3,0)*0.475*44/12</f>
        <v>0.25187635979305273</v>
      </c>
      <c r="AC45" s="24">
        <f t="shared" si="3"/>
        <v>3.3885719168933459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7.6</v>
      </c>
      <c r="AI45" s="14">
        <f>IF('Données projet'!$A$62&gt;35,AI44+AH45-AQ44,IF(A45&lt;'Données projet'!$A$62,$AF$205^A45,IF(A45='Données projet'!$A$62,'Données projet'!$B$62,AI44+AH45-AQ44)))</f>
        <v>157.19999999999985</v>
      </c>
      <c r="AJ45" s="14">
        <f>AI45*VLOOKUP('Données projet'!$B$10,Paramètres!$A$1:$I$89,3,0)*VLOOKUP('Données projet'!$B$10,Paramètres!$A$1:$I$89,5,0)</f>
        <v>137.3299199999999</v>
      </c>
      <c r="AK45" s="14">
        <f t="shared" si="35"/>
        <v>35.684643836992151</v>
      </c>
      <c r="AL45" s="22">
        <f t="shared" si="4"/>
        <v>301.33369868276117</v>
      </c>
      <c r="AM45" s="60">
        <f t="shared" si="5"/>
        <v>594.66703201609448</v>
      </c>
      <c r="AN45" s="60">
        <f ca="1">AVERAGE(OFFSET($AM$3,0,0,'Données projet'!$E$10+1,1))-AVERAGE(OFFSET($H$3,0,0,'Données projet'!$E$10+1,1))</f>
        <v>233.41481265653817</v>
      </c>
      <c r="AO45" s="60">
        <f t="shared" si="36"/>
        <v>300.97465452084055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8.2000000000000064</v>
      </c>
      <c r="BD45" s="13">
        <f>IF('Données projet'!$A$88&gt;35,BD44+BC45-BL44,IF(A45&lt;'Données projet'!$A$88,$BA$205^A45,IF(A45='Données projet'!$A$88,'Données projet'!$B$88,BD44+BC45-BL44)))</f>
        <v>180.00000000000003</v>
      </c>
      <c r="BE45" s="14">
        <f>BD45*VLOOKUP('Données projet'!$B$11,Paramètres!$A$1:$I$89,3,0)*VLOOKUP('Données projet'!$B$11,Paramètres!$A$1:$I$89,5,0)</f>
        <v>143.20800000000003</v>
      </c>
      <c r="BF45" s="14">
        <f t="shared" si="37"/>
        <v>37.030941422835831</v>
      </c>
      <c r="BG45" s="22">
        <f t="shared" si="7"/>
        <v>313.91615631143912</v>
      </c>
      <c r="BH45" s="60">
        <f t="shared" si="8"/>
        <v>607.24948964477244</v>
      </c>
      <c r="BI45" s="60">
        <f ca="1">AVERAGE(OFFSET($BH$3,0,0,'Données projet'!$E$11+1,1))-AVERAGE(OFFSET($H$3,0,0,'Données projet'!$E$11+1,1))</f>
        <v>238.47463071449789</v>
      </c>
      <c r="BJ45" s="60">
        <f t="shared" si="38"/>
        <v>270.92950919803718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0" t="e">
        <f t="shared" si="11"/>
        <v>#N/A</v>
      </c>
      <c r="CD45" s="60" t="e">
        <f ca="1">AVERAGE(OFFSET($CC$3,0,0,'Données projet'!$E$12+1,1))-AVERAGE(OFFSET($H$3,0,0,'Données projet'!$E$12+1,1))</f>
        <v>#N/A</v>
      </c>
      <c r="CE45" s="60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0" t="e">
        <f t="shared" si="14"/>
        <v>#N/A</v>
      </c>
      <c r="CY45" s="60" t="e">
        <f ca="1">AVERAGE(OFFSET($CX$3,0,0,'Données projet'!$E$13+1,1))-AVERAGE(OFFSET($H$3,0,0,'Données projet'!$E$13+1,1))</f>
        <v>#N/A</v>
      </c>
      <c r="CZ45" s="60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0" t="e">
        <f t="shared" si="17"/>
        <v>#N/A</v>
      </c>
      <c r="DT45" s="60" t="e">
        <f ca="1">AVERAGE(OFFSET($DS$3,0,0,'Données projet'!$E$14+1,1))-AVERAGE(OFFSET($H$3,0,0,'Données projet'!$E$14+1,1))</f>
        <v>#N/A</v>
      </c>
      <c r="DU45" s="60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0" t="e">
        <f t="shared" si="20"/>
        <v>#N/A</v>
      </c>
      <c r="EO45" s="60" t="e">
        <f ca="1">AVERAGE(OFFSET($EN$3,0,0,'Données projet'!$E$15+1,1))-AVERAGE(OFFSET($H$3,0,0,'Données projet'!$E$15+1,1))</f>
        <v>#N/A</v>
      </c>
      <c r="EP45" s="60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8">
        <f t="shared" si="1"/>
        <v>341.02413906270732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17.519780219780223</v>
      </c>
      <c r="N46" s="14">
        <f>IF('Données projet'!$A$36&gt;35,N45+M46-V45,IF(A46&lt;'Données projet'!$A$36,$K$205^A46,IF(A46='Données projet'!$A$36,'Données projet'!$B$36,N45+M46-V45)))</f>
        <v>299.45054945054954</v>
      </c>
      <c r="O46" s="14">
        <f>N46*VLOOKUP('Données projet'!$B$9,Paramètres!$A$1:$I$89,3,0)*VLOOKUP('Données projet'!$B$9,Paramètres!$A$1:$I$89,5,0)</f>
        <v>167.3928571428572</v>
      </c>
      <c r="P46" s="14">
        <f t="shared" si="33"/>
        <v>42.505586135425617</v>
      </c>
      <c r="Q46" s="22">
        <f t="shared" si="53"/>
        <v>365.57312204300916</v>
      </c>
      <c r="R46" s="60">
        <f t="shared" si="0"/>
        <v>658.90645537634248</v>
      </c>
      <c r="S46" s="60">
        <f ca="1">AVERAGE(OFFSET($R$3,0,0,'Données projet'!$E$9+1,1))-AVERAGE(OFFSET($H$3,0,0,'Données projet'!$E$9+1,1))</f>
        <v>256.47911362806866</v>
      </c>
      <c r="T46" s="60">
        <f t="shared" si="34"/>
        <v>230.93438491511529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3.0509224521397353</v>
      </c>
      <c r="AB46" s="23">
        <f>EXP(-LN(2)/2)*AB45+(1-EXP(-LN(2)/2))/(LN(2)/2)*V46*Y46*VLOOKUP('Données projet'!$B$9,Paramètres!$A$1:$I$89,3,0)*0.475*44/12</f>
        <v>0.17810348203025025</v>
      </c>
      <c r="AC46" s="24">
        <f t="shared" si="3"/>
        <v>3.2290259341699854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7.6</v>
      </c>
      <c r="AI46" s="14">
        <f>IF('Données projet'!$A$62&gt;35,AI45+AH46-AQ45,IF(A46&lt;'Données projet'!$A$62,$AF$205^A46,IF(A46='Données projet'!$A$62,'Données projet'!$B$62,AI45+AH46-AQ45)))</f>
        <v>164.79999999999984</v>
      </c>
      <c r="AJ46" s="14">
        <f>AI46*VLOOKUP('Données projet'!$B$10,Paramètres!$A$1:$I$89,3,0)*VLOOKUP('Données projet'!$B$10,Paramètres!$A$1:$I$89,5,0)</f>
        <v>143.96927999999988</v>
      </c>
      <c r="AK46" s="14">
        <f t="shared" si="35"/>
        <v>37.204826967876741</v>
      </c>
      <c r="AL46" s="22">
        <f t="shared" si="4"/>
        <v>315.5449029690518</v>
      </c>
      <c r="AM46" s="60">
        <f t="shared" si="5"/>
        <v>608.87823630238518</v>
      </c>
      <c r="AN46" s="60">
        <f ca="1">AVERAGE(OFFSET($AM$3,0,0,'Données projet'!$E$10+1,1))-AVERAGE(OFFSET($H$3,0,0,'Données projet'!$E$10+1,1))</f>
        <v>233.41481265653817</v>
      </c>
      <c r="AO46" s="60">
        <f t="shared" si="36"/>
        <v>300.97465452084055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8.2000000000000064</v>
      </c>
      <c r="BD46" s="13">
        <f>IF('Données projet'!$A$88&gt;35,BD45+BC46-BL45,IF(A46&lt;'Données projet'!$A$88,$BA$205^A46,IF(A46='Données projet'!$A$88,'Données projet'!$B$88,BD45+BC46-BL45)))</f>
        <v>188.20000000000005</v>
      </c>
      <c r="BE46" s="14">
        <f>BD46*VLOOKUP('Données projet'!$B$11,Paramètres!$A$1:$I$89,3,0)*VLOOKUP('Données projet'!$B$11,Paramètres!$A$1:$I$89,5,0)</f>
        <v>149.73192000000006</v>
      </c>
      <c r="BF46" s="14">
        <f t="shared" si="37"/>
        <v>38.517657137847586</v>
      </c>
      <c r="BG46" s="22">
        <f t="shared" si="7"/>
        <v>327.86801351508461</v>
      </c>
      <c r="BH46" s="60">
        <f t="shared" si="8"/>
        <v>621.20134684841787</v>
      </c>
      <c r="BI46" s="60">
        <f ca="1">AVERAGE(OFFSET($BH$3,0,0,'Données projet'!$E$11+1,1))-AVERAGE(OFFSET($H$3,0,0,'Données projet'!$E$11+1,1))</f>
        <v>238.47463071449789</v>
      </c>
      <c r="BJ46" s="60">
        <f t="shared" si="38"/>
        <v>270.92950919803718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0" t="e">
        <f t="shared" si="11"/>
        <v>#N/A</v>
      </c>
      <c r="CD46" s="60" t="e">
        <f ca="1">AVERAGE(OFFSET($CC$3,0,0,'Données projet'!$E$12+1,1))-AVERAGE(OFFSET($H$3,0,0,'Données projet'!$E$12+1,1))</f>
        <v>#N/A</v>
      </c>
      <c r="CE46" s="60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0" t="e">
        <f t="shared" si="14"/>
        <v>#N/A</v>
      </c>
      <c r="CY46" s="60" t="e">
        <f ca="1">AVERAGE(OFFSET($CX$3,0,0,'Données projet'!$E$13+1,1))-AVERAGE(OFFSET($H$3,0,0,'Données projet'!$E$13+1,1))</f>
        <v>#N/A</v>
      </c>
      <c r="CZ46" s="60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0" t="e">
        <f t="shared" si="17"/>
        <v>#N/A</v>
      </c>
      <c r="DT46" s="60" t="e">
        <f ca="1">AVERAGE(OFFSET($DS$3,0,0,'Données projet'!$E$14+1,1))-AVERAGE(OFFSET($H$3,0,0,'Données projet'!$E$14+1,1))</f>
        <v>#N/A</v>
      </c>
      <c r="DU46" s="60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0" t="e">
        <f t="shared" si="20"/>
        <v>#N/A</v>
      </c>
      <c r="EO46" s="60" t="e">
        <f ca="1">AVERAGE(OFFSET($EN$3,0,0,'Données projet'!$E$15+1,1))-AVERAGE(OFFSET($H$3,0,0,'Données projet'!$E$15+1,1))</f>
        <v>#N/A</v>
      </c>
      <c r="EP46" s="60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8">
        <f t="shared" si="1"/>
        <v>342.1013210552274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17.519780219780223</v>
      </c>
      <c r="N47" s="14">
        <f>IF('Données projet'!$A$36&gt;35,N46+M47-V46,IF(A47&lt;'Données projet'!$A$36,$K$205^A47,IF(A47='Données projet'!$A$36,'Données projet'!$B$36,N46+M47-V46)))</f>
        <v>316.97032967032976</v>
      </c>
      <c r="O47" s="14">
        <f>N47*VLOOKUP('Données projet'!$B$9,Paramètres!$A$1:$I$89,3,0)*VLOOKUP('Données projet'!$B$9,Paramètres!$A$1:$I$89,5,0)</f>
        <v>177.18641428571433</v>
      </c>
      <c r="P47" s="14">
        <f t="shared" si="33"/>
        <v>44.695642380138821</v>
      </c>
      <c r="Q47" s="22">
        <f t="shared" si="53"/>
        <v>386.44458202636088</v>
      </c>
      <c r="R47" s="60">
        <f t="shared" si="0"/>
        <v>679.77791535969413</v>
      </c>
      <c r="S47" s="60">
        <f ca="1">AVERAGE(OFFSET($R$3,0,0,'Données projet'!$E$9+1,1))-AVERAGE(OFFSET($H$3,0,0,'Données projet'!$E$9+1,1))</f>
        <v>256.47911362806866</v>
      </c>
      <c r="T47" s="60">
        <f t="shared" si="34"/>
        <v>230.93438491511529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2.9674948172449356</v>
      </c>
      <c r="AB47" s="23">
        <f>EXP(-LN(2)/2)*AB46+(1-EXP(-LN(2)/2))/(LN(2)/2)*V47*Y47*VLOOKUP('Données projet'!$B$9,Paramètres!$A$1:$I$89,3,0)*0.475*44/12</f>
        <v>0.12593817989652636</v>
      </c>
      <c r="AC47" s="24">
        <f t="shared" si="3"/>
        <v>3.0934329971414618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7.6</v>
      </c>
      <c r="AI47" s="14">
        <f>IF('Données projet'!$A$62&gt;35,AI46+AH47-AQ46,IF(A47&lt;'Données projet'!$A$62,$AF$205^A47,IF(A47='Données projet'!$A$62,'Données projet'!$B$62,AI46+AH47-AQ46)))</f>
        <v>172.39999999999984</v>
      </c>
      <c r="AJ47" s="14">
        <f>AI47*VLOOKUP('Données projet'!$B$10,Paramètres!$A$1:$I$89,3,0)*VLOOKUP('Données projet'!$B$10,Paramètres!$A$1:$I$89,5,0)</f>
        <v>150.60863999999987</v>
      </c>
      <c r="AK47" s="14">
        <f t="shared" si="35"/>
        <v>38.716868630535259</v>
      </c>
      <c r="AL47" s="22">
        <f t="shared" si="4"/>
        <v>329.74192753151533</v>
      </c>
      <c r="AM47" s="60">
        <f t="shared" si="5"/>
        <v>623.07526086484859</v>
      </c>
      <c r="AN47" s="60">
        <f ca="1">AVERAGE(OFFSET($AM$3,0,0,'Données projet'!$E$10+1,1))-AVERAGE(OFFSET($H$3,0,0,'Données projet'!$E$10+1,1))</f>
        <v>233.41481265653817</v>
      </c>
      <c r="AO47" s="60">
        <f t="shared" si="36"/>
        <v>300.97465452084055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8.2000000000000064</v>
      </c>
      <c r="BD47" s="13">
        <f>IF('Données projet'!$A$88&gt;35,BD46+BC47-BL46,IF(A47&lt;'Données projet'!$A$88,$BA$205^A47,IF(A47='Données projet'!$A$88,'Données projet'!$B$88,BD46+BC47-BL46)))</f>
        <v>196.40000000000006</v>
      </c>
      <c r="BE47" s="14">
        <f>BD47*VLOOKUP('Données projet'!$B$11,Paramètres!$A$1:$I$89,3,0)*VLOOKUP('Données projet'!$B$11,Paramètres!$A$1:$I$89,5,0)</f>
        <v>156.25584000000006</v>
      </c>
      <c r="BF47" s="14">
        <f t="shared" si="37"/>
        <v>39.996849361050039</v>
      </c>
      <c r="BG47" s="22">
        <f t="shared" si="7"/>
        <v>341.80676730382885</v>
      </c>
      <c r="BH47" s="60">
        <f t="shared" si="8"/>
        <v>635.14010063716216</v>
      </c>
      <c r="BI47" s="60">
        <f ca="1">AVERAGE(OFFSET($BH$3,0,0,'Données projet'!$E$11+1,1))-AVERAGE(OFFSET($H$3,0,0,'Données projet'!$E$11+1,1))</f>
        <v>238.47463071449789</v>
      </c>
      <c r="BJ47" s="60">
        <f t="shared" si="38"/>
        <v>270.92950919803718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0" t="e">
        <f t="shared" si="11"/>
        <v>#N/A</v>
      </c>
      <c r="CD47" s="60" t="e">
        <f ca="1">AVERAGE(OFFSET($CC$3,0,0,'Données projet'!$E$12+1,1))-AVERAGE(OFFSET($H$3,0,0,'Données projet'!$E$12+1,1))</f>
        <v>#N/A</v>
      </c>
      <c r="CE47" s="60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0" t="e">
        <f t="shared" si="14"/>
        <v>#N/A</v>
      </c>
      <c r="CY47" s="60" t="e">
        <f ca="1">AVERAGE(OFFSET($CX$3,0,0,'Données projet'!$E$13+1,1))-AVERAGE(OFFSET($H$3,0,0,'Données projet'!$E$13+1,1))</f>
        <v>#N/A</v>
      </c>
      <c r="CZ47" s="60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0" t="e">
        <f t="shared" si="17"/>
        <v>#N/A</v>
      </c>
      <c r="DT47" s="60" t="e">
        <f ca="1">AVERAGE(OFFSET($DS$3,0,0,'Données projet'!$E$14+1,1))-AVERAGE(OFFSET($H$3,0,0,'Données projet'!$E$14+1,1))</f>
        <v>#N/A</v>
      </c>
      <c r="DU47" s="60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0" t="e">
        <f t="shared" si="20"/>
        <v>#N/A</v>
      </c>
      <c r="EO47" s="60" t="e">
        <f ca="1">AVERAGE(OFFSET($EN$3,0,0,'Données projet'!$E$15+1,1))-AVERAGE(OFFSET($H$3,0,0,'Données projet'!$E$15+1,1))</f>
        <v>#N/A</v>
      </c>
      <c r="EP47" s="60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8">
        <f t="shared" si="1"/>
        <v>343.17787039879954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17.519780219780223</v>
      </c>
      <c r="N48" s="14">
        <f>IF('Données projet'!$A$36&gt;35,N47+M48-V47,IF(A48&lt;'Données projet'!$A$36,$K$205^A48,IF(A48='Données projet'!$A$36,'Données projet'!$B$36,N47+M48-V47)))</f>
        <v>334.49010989010998</v>
      </c>
      <c r="O48" s="14">
        <f>N48*VLOOKUP('Données projet'!$B$9,Paramètres!$A$1:$I$89,3,0)*VLOOKUP('Données projet'!$B$9,Paramètres!$A$1:$I$89,5,0)</f>
        <v>186.9799714285715</v>
      </c>
      <c r="P48" s="14">
        <f t="shared" si="33"/>
        <v>46.871646064498115</v>
      </c>
      <c r="Q48" s="22">
        <f t="shared" si="53"/>
        <v>407.29156713376295</v>
      </c>
      <c r="R48" s="60">
        <f t="shared" si="0"/>
        <v>700.62490046709627</v>
      </c>
      <c r="S48" s="60">
        <f ca="1">AVERAGE(OFFSET($R$3,0,0,'Données projet'!$E$9+1,1))-AVERAGE(OFFSET($H$3,0,0,'Données projet'!$E$9+1,1))</f>
        <v>256.47911362806866</v>
      </c>
      <c r="T48" s="60">
        <f t="shared" si="34"/>
        <v>230.93438491511529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2.8863485154136028</v>
      </c>
      <c r="AB48" s="23">
        <f>EXP(-LN(2)/2)*AB47+(1-EXP(-LN(2)/2))/(LN(2)/2)*V48*Y48*VLOOKUP('Données projet'!$B$9,Paramètres!$A$1:$I$89,3,0)*0.475*44/12</f>
        <v>8.9051741015125127E-2</v>
      </c>
      <c r="AC48" s="24">
        <f t="shared" si="3"/>
        <v>2.9754002564287281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180</v>
      </c>
      <c r="AG48" s="13">
        <f>VLOOKUP(A48,'Données projet'!$A$61:$I$81,9,0)</f>
        <v>7.6</v>
      </c>
      <c r="AH48" s="13">
        <f t="array" ref="AH48">INDEX(AG:AG,MIN(IF(ISNUMBER(AG48:AG244),ROW(AG48:AG244),"")))</f>
        <v>7.6</v>
      </c>
      <c r="AI48" s="14">
        <f>IF('Données projet'!$A$62&gt;35,AI47+AH48-AQ47,IF(A48&lt;'Données projet'!$A$62,$AF$205^A48,IF(A48='Données projet'!$A$62,'Données projet'!$B$62,AI47+AH48-AQ47)))</f>
        <v>179.99999999999983</v>
      </c>
      <c r="AJ48" s="14">
        <f>AI48*VLOOKUP('Données projet'!$B$10,Paramètres!$A$1:$I$89,3,0)*VLOOKUP('Données projet'!$B$10,Paramètres!$A$1:$I$89,5,0)</f>
        <v>157.24799999999988</v>
      </c>
      <c r="AK48" s="14">
        <f t="shared" si="35"/>
        <v>40.22116874434861</v>
      </c>
      <c r="AL48" s="22">
        <f t="shared" si="4"/>
        <v>343.92546889640693</v>
      </c>
      <c r="AM48" s="60">
        <f t="shared" si="5"/>
        <v>637.25880222974024</v>
      </c>
      <c r="AN48" s="60">
        <f ca="1">AVERAGE(OFFSET($AM$3,0,0,'Données projet'!$E$10+1,1))-AVERAGE(OFFSET($H$3,0,0,'Données projet'!$E$10+1,1))</f>
        <v>233.41481265653817</v>
      </c>
      <c r="AO48" s="60">
        <f t="shared" si="36"/>
        <v>300.97465452084055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204.60000000000002</v>
      </c>
      <c r="BB48" s="13">
        <f>VLOOKUP(A48,'Données projet'!$A$87:$I$107,9,0)</f>
        <v>8.2000000000000064</v>
      </c>
      <c r="BC48" s="13">
        <f t="array" ref="BC48">INDEX(BB:BB,MIN(IF(ISNUMBER(BB48:BB244),ROW(BB48:BB244),"")))</f>
        <v>8.2000000000000064</v>
      </c>
      <c r="BD48" s="13">
        <f>IF('Données projet'!$A$88&gt;35,BD47+BC48-BL47,IF(A48&lt;'Données projet'!$A$88,$BA$205^A48,IF(A48='Données projet'!$A$88,'Données projet'!$B$88,BD47+BC48-BL47)))</f>
        <v>204.60000000000008</v>
      </c>
      <c r="BE48" s="14">
        <f>BD48*VLOOKUP('Données projet'!$B$11,Paramètres!$A$1:$I$89,3,0)*VLOOKUP('Données projet'!$B$11,Paramètres!$A$1:$I$89,5,0)</f>
        <v>162.77976000000007</v>
      </c>
      <c r="BF48" s="14">
        <f t="shared" si="37"/>
        <v>41.468868129640093</v>
      </c>
      <c r="BG48" s="22">
        <f t="shared" si="7"/>
        <v>355.73302732578992</v>
      </c>
      <c r="BH48" s="60">
        <f t="shared" si="8"/>
        <v>649.06636065912323</v>
      </c>
      <c r="BI48" s="60">
        <f ca="1">AVERAGE(OFFSET($BH$3,0,0,'Données projet'!$E$11+1,1))-AVERAGE(OFFSET($H$3,0,0,'Données projet'!$E$11+1,1))</f>
        <v>238.47463071449789</v>
      </c>
      <c r="BJ48" s="60">
        <f t="shared" si="38"/>
        <v>270.92950919803718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0" t="e">
        <f t="shared" si="11"/>
        <v>#N/A</v>
      </c>
      <c r="CD48" s="60" t="e">
        <f ca="1">AVERAGE(OFFSET($CC$3,0,0,'Données projet'!$E$12+1,1))-AVERAGE(OFFSET($H$3,0,0,'Données projet'!$E$12+1,1))</f>
        <v>#N/A</v>
      </c>
      <c r="CE48" s="60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0" t="e">
        <f t="shared" si="14"/>
        <v>#N/A</v>
      </c>
      <c r="CY48" s="60" t="e">
        <f ca="1">AVERAGE(OFFSET($CX$3,0,0,'Données projet'!$E$13+1,1))-AVERAGE(OFFSET($H$3,0,0,'Données projet'!$E$13+1,1))</f>
        <v>#N/A</v>
      </c>
      <c r="CZ48" s="60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0" t="e">
        <f t="shared" si="17"/>
        <v>#N/A</v>
      </c>
      <c r="DT48" s="60" t="e">
        <f ca="1">AVERAGE(OFFSET($DS$3,0,0,'Données projet'!$E$14+1,1))-AVERAGE(OFFSET($H$3,0,0,'Données projet'!$E$14+1,1))</f>
        <v>#N/A</v>
      </c>
      <c r="DU48" s="60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0" t="e">
        <f t="shared" si="20"/>
        <v>#N/A</v>
      </c>
      <c r="EO48" s="60" t="e">
        <f ca="1">AVERAGE(OFFSET($EN$3,0,0,'Données projet'!$E$15+1,1))-AVERAGE(OFFSET($H$3,0,0,'Données projet'!$E$15+1,1))</f>
        <v>#N/A</v>
      </c>
      <c r="EP48" s="60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8">
        <f t="shared" si="1"/>
        <v>344.25380277106626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17.519780219780223</v>
      </c>
      <c r="N49" s="14">
        <f>IF('Données projet'!$A$36&gt;35,N48+M49-V48,IF(A49&lt;'Données projet'!$A$36,$K$205^A49,IF(A49='Données projet'!$A$36,'Données projet'!$B$36,N48+M49-V48)))</f>
        <v>352.00989010989019</v>
      </c>
      <c r="O49" s="14">
        <f>N49*VLOOKUP('Données projet'!$B$9,Paramètres!$A$1:$I$89,3,0)*VLOOKUP('Données projet'!$B$9,Paramètres!$A$1:$I$89,5,0)</f>
        <v>196.77352857142861</v>
      </c>
      <c r="P49" s="14">
        <f t="shared" si="33"/>
        <v>49.034417171503861</v>
      </c>
      <c r="Q49" s="22">
        <f t="shared" si="53"/>
        <v>428.11550550227406</v>
      </c>
      <c r="R49" s="60">
        <f t="shared" si="0"/>
        <v>721.44883883560738</v>
      </c>
      <c r="S49" s="60">
        <f ca="1">AVERAGE(OFFSET($R$3,0,0,'Données projet'!$E$9+1,1))-AVERAGE(OFFSET($H$3,0,0,'Données projet'!$E$9+1,1))</f>
        <v>256.47911362806866</v>
      </c>
      <c r="T49" s="60">
        <f t="shared" si="34"/>
        <v>230.93438491511529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2.8074211634731463</v>
      </c>
      <c r="AB49" s="23">
        <f>EXP(-LN(2)/2)*AB48+(1-EXP(-LN(2)/2))/(LN(2)/2)*V49*Y49*VLOOKUP('Données projet'!$B$9,Paramètres!$A$1:$I$89,3,0)*0.475*44/12</f>
        <v>6.2969089948263182E-2</v>
      </c>
      <c r="AC49" s="24">
        <f t="shared" si="3"/>
        <v>2.8703902534214096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6.6</v>
      </c>
      <c r="AI49" s="14">
        <f>IF('Données projet'!$A$62&gt;35,AI48+AH49-AQ48,IF(A49&lt;'Données projet'!$A$62,$AF$205^A49,IF(A49='Données projet'!$A$62,'Données projet'!$B$62,AI48+AH49-AQ48)))</f>
        <v>186.59999999999982</v>
      </c>
      <c r="AJ49" s="14">
        <f>AI49*VLOOKUP('Données projet'!$B$10,Paramètres!$A$1:$I$89,3,0)*VLOOKUP('Données projet'!$B$10,Paramètres!$A$1:$I$89,5,0)</f>
        <v>163.01375999999988</v>
      </c>
      <c r="AK49" s="14">
        <f t="shared" si="35"/>
        <v>41.521537366475364</v>
      </c>
      <c r="AL49" s="22">
        <f t="shared" si="4"/>
        <v>356.23230957994434</v>
      </c>
      <c r="AM49" s="60">
        <f t="shared" si="5"/>
        <v>649.56564291327766</v>
      </c>
      <c r="AN49" s="60">
        <f ca="1">AVERAGE(OFFSET($AM$3,0,0,'Données projet'!$E$10+1,1))-AVERAGE(OFFSET($H$3,0,0,'Données projet'!$E$10+1,1))</f>
        <v>233.41481265653817</v>
      </c>
      <c r="AO49" s="60">
        <f t="shared" si="36"/>
        <v>300.97465452084055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7.1199999999999992</v>
      </c>
      <c r="BD49" s="13">
        <f>IF('Données projet'!$A$88&gt;35,BD48+BC49-BL48,IF(A49&lt;'Données projet'!$A$88,$BA$205^A49,IF(A49='Données projet'!$A$88,'Données projet'!$B$88,BD48+BC49-BL48)))</f>
        <v>211.72000000000008</v>
      </c>
      <c r="BE49" s="14">
        <f>BD49*VLOOKUP('Données projet'!$B$11,Paramètres!$A$1:$I$89,3,0)*VLOOKUP('Données projet'!$B$11,Paramètres!$A$1:$I$89,5,0)</f>
        <v>168.44443200000006</v>
      </c>
      <c r="BF49" s="14">
        <f t="shared" si="37"/>
        <v>42.741441926261587</v>
      </c>
      <c r="BG49" s="22">
        <f t="shared" si="7"/>
        <v>367.81539708823902</v>
      </c>
      <c r="BH49" s="60">
        <f t="shared" si="8"/>
        <v>661.14873042157228</v>
      </c>
      <c r="BI49" s="60">
        <f ca="1">AVERAGE(OFFSET($BH$3,0,0,'Données projet'!$E$11+1,1))-AVERAGE(OFFSET($H$3,0,0,'Données projet'!$E$11+1,1))</f>
        <v>238.47463071449789</v>
      </c>
      <c r="BJ49" s="60">
        <f t="shared" si="38"/>
        <v>270.92950919803718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0" t="e">
        <f t="shared" si="11"/>
        <v>#N/A</v>
      </c>
      <c r="CD49" s="60" t="e">
        <f ca="1">AVERAGE(OFFSET($CC$3,0,0,'Données projet'!$E$12+1,1))-AVERAGE(OFFSET($H$3,0,0,'Données projet'!$E$12+1,1))</f>
        <v>#N/A</v>
      </c>
      <c r="CE49" s="60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0" t="e">
        <f t="shared" si="14"/>
        <v>#N/A</v>
      </c>
      <c r="CY49" s="60" t="e">
        <f ca="1">AVERAGE(OFFSET($CX$3,0,0,'Données projet'!$E$13+1,1))-AVERAGE(OFFSET($H$3,0,0,'Données projet'!$E$13+1,1))</f>
        <v>#N/A</v>
      </c>
      <c r="CZ49" s="60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0" t="e">
        <f t="shared" si="17"/>
        <v>#N/A</v>
      </c>
      <c r="DT49" s="60" t="e">
        <f ca="1">AVERAGE(OFFSET($DS$3,0,0,'Données projet'!$E$14+1,1))-AVERAGE(OFFSET($H$3,0,0,'Données projet'!$E$14+1,1))</f>
        <v>#N/A</v>
      </c>
      <c r="DU49" s="60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0" t="e">
        <f t="shared" si="20"/>
        <v>#N/A</v>
      </c>
      <c r="EO49" s="60" t="e">
        <f ca="1">AVERAGE(OFFSET($EN$3,0,0,'Données projet'!$E$15+1,1))-AVERAGE(OFFSET($H$3,0,0,'Données projet'!$E$15+1,1))</f>
        <v>#N/A</v>
      </c>
      <c r="EP49" s="60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8">
        <f t="shared" si="1"/>
        <v>345.32913312910375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17.519780219780223</v>
      </c>
      <c r="N50" s="14">
        <f>IF('Données projet'!$A$36&gt;35,N49+M50-V49,IF(A50&lt;'Données projet'!$A$36,$K$205^A50,IF(A50='Données projet'!$A$36,'Données projet'!$B$36,N49+M50-V49)))</f>
        <v>369.52967032967041</v>
      </c>
      <c r="O50" s="14">
        <f>N50*VLOOKUP('Données projet'!$B$9,Paramètres!$A$1:$I$89,3,0)*VLOOKUP('Données projet'!$B$9,Paramètres!$A$1:$I$89,5,0)</f>
        <v>206.56708571428578</v>
      </c>
      <c r="P50" s="14">
        <f t="shared" si="33"/>
        <v>51.184689450990696</v>
      </c>
      <c r="Q50" s="22">
        <f t="shared" si="53"/>
        <v>448.91767507952318</v>
      </c>
      <c r="R50" s="60">
        <f t="shared" si="0"/>
        <v>742.25100841285644</v>
      </c>
      <c r="S50" s="60">
        <f ca="1">AVERAGE(OFFSET($R$3,0,0,'Données projet'!$E$9+1,1))-AVERAGE(OFFSET($H$3,0,0,'Données projet'!$E$9+1,1))</f>
        <v>256.47911362806866</v>
      </c>
      <c r="T50" s="60">
        <f t="shared" si="34"/>
        <v>230.93438491511529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2.7306520841221107</v>
      </c>
      <c r="AB50" s="23">
        <f>EXP(-LN(2)/2)*AB49+(1-EXP(-LN(2)/2))/(LN(2)/2)*V50*Y50*VLOOKUP('Données projet'!$B$9,Paramètres!$A$1:$I$89,3,0)*0.475*44/12</f>
        <v>4.4525870507562564E-2</v>
      </c>
      <c r="AC50" s="24">
        <f t="shared" si="3"/>
        <v>2.7751779546296733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6.6</v>
      </c>
      <c r="AI50" s="14">
        <f>IF('Données projet'!$A$62&gt;35,AI49+AH50-AQ49,IF(A50&lt;'Données projet'!$A$62,$AF$205^A50,IF(A50='Données projet'!$A$62,'Données projet'!$B$62,AI49+AH50-AQ49)))</f>
        <v>193.19999999999982</v>
      </c>
      <c r="AJ50" s="14">
        <f>AI50*VLOOKUP('Données projet'!$B$10,Paramètres!$A$1:$I$89,3,0)*VLOOKUP('Données projet'!$B$10,Paramètres!$A$1:$I$89,5,0)</f>
        <v>168.77951999999985</v>
      </c>
      <c r="AK50" s="14">
        <f t="shared" si="35"/>
        <v>42.816562145176988</v>
      </c>
      <c r="AL50" s="22">
        <f t="shared" si="4"/>
        <v>368.52984306951635</v>
      </c>
      <c r="AM50" s="60">
        <f t="shared" si="5"/>
        <v>661.8631764028496</v>
      </c>
      <c r="AN50" s="60">
        <f ca="1">AVERAGE(OFFSET($AM$3,0,0,'Données projet'!$E$10+1,1))-AVERAGE(OFFSET($H$3,0,0,'Données projet'!$E$10+1,1))</f>
        <v>233.41481265653817</v>
      </c>
      <c r="AO50" s="60">
        <f t="shared" si="36"/>
        <v>300.97465452084055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7.1199999999999992</v>
      </c>
      <c r="BD50" s="13">
        <f>IF('Données projet'!$A$88&gt;35,BD49+BC50-BL49,IF(A50&lt;'Données projet'!$A$88,$BA$205^A50,IF(A50='Données projet'!$A$88,'Données projet'!$B$88,BD49+BC50-BL49)))</f>
        <v>218.84000000000009</v>
      </c>
      <c r="BE50" s="14">
        <f>BD50*VLOOKUP('Données projet'!$B$11,Paramètres!$A$1:$I$89,3,0)*VLOOKUP('Données projet'!$B$11,Paramètres!$A$1:$I$89,5,0)</f>
        <v>174.10910400000009</v>
      </c>
      <c r="BF50" s="14">
        <f t="shared" si="37"/>
        <v>44.009043039404553</v>
      </c>
      <c r="BG50" s="22">
        <f t="shared" si="7"/>
        <v>379.88910609362978</v>
      </c>
      <c r="BH50" s="60">
        <f t="shared" si="8"/>
        <v>673.22243942696309</v>
      </c>
      <c r="BI50" s="60">
        <f ca="1">AVERAGE(OFFSET($BH$3,0,0,'Données projet'!$E$11+1,1))-AVERAGE(OFFSET($H$3,0,0,'Données projet'!$E$11+1,1))</f>
        <v>238.47463071449789</v>
      </c>
      <c r="BJ50" s="60">
        <f t="shared" si="38"/>
        <v>270.92950919803718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0" t="e">
        <f t="shared" si="11"/>
        <v>#N/A</v>
      </c>
      <c r="CD50" s="60" t="e">
        <f ca="1">AVERAGE(OFFSET($CC$3,0,0,'Données projet'!$E$12+1,1))-AVERAGE(OFFSET($H$3,0,0,'Données projet'!$E$12+1,1))</f>
        <v>#N/A</v>
      </c>
      <c r="CE50" s="60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0" t="e">
        <f t="shared" si="14"/>
        <v>#N/A</v>
      </c>
      <c r="CY50" s="60" t="e">
        <f ca="1">AVERAGE(OFFSET($CX$3,0,0,'Données projet'!$E$13+1,1))-AVERAGE(OFFSET($H$3,0,0,'Données projet'!$E$13+1,1))</f>
        <v>#N/A</v>
      </c>
      <c r="CZ50" s="60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0" t="e">
        <f t="shared" si="17"/>
        <v>#N/A</v>
      </c>
      <c r="DT50" s="60" t="e">
        <f ca="1">AVERAGE(OFFSET($DS$3,0,0,'Données projet'!$E$14+1,1))-AVERAGE(OFFSET($H$3,0,0,'Données projet'!$E$14+1,1))</f>
        <v>#N/A</v>
      </c>
      <c r="DU50" s="60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0" t="e">
        <f t="shared" si="20"/>
        <v>#N/A</v>
      </c>
      <c r="EO50" s="60" t="e">
        <f ca="1">AVERAGE(OFFSET($EN$3,0,0,'Données projet'!$E$15+1,1))-AVERAGE(OFFSET($H$3,0,0,'Données projet'!$E$15+1,1))</f>
        <v>#N/A</v>
      </c>
      <c r="EP50" s="60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8">
        <f t="shared" si="1"/>
        <v>346.40387575715488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17.519780219780223</v>
      </c>
      <c r="N51" s="14">
        <f>IF('Données projet'!$A$36&gt;35,N50+M51-V50,IF(A51&lt;'Données projet'!$A$36,$K$205^A51,IF(A51='Données projet'!$A$36,'Données projet'!$B$36,N50+M51-V50)))</f>
        <v>387.04945054945063</v>
      </c>
      <c r="O51" s="14">
        <f>N51*VLOOKUP('Données projet'!$B$9,Paramètres!$A$1:$I$89,3,0)*VLOOKUP('Données projet'!$B$9,Paramètres!$A$1:$I$89,5,0)</f>
        <v>216.36064285714289</v>
      </c>
      <c r="P51" s="14">
        <f t="shared" si="33"/>
        <v>53.323123145592824</v>
      </c>
      <c r="Q51" s="22">
        <f t="shared" si="53"/>
        <v>469.69922578809798</v>
      </c>
      <c r="R51" s="60">
        <f t="shared" si="0"/>
        <v>763.03255912143129</v>
      </c>
      <c r="S51" s="60">
        <f ca="1">AVERAGE(OFFSET($R$3,0,0,'Données projet'!$E$9+1,1))-AVERAGE(OFFSET($H$3,0,0,'Données projet'!$E$9+1,1))</f>
        <v>256.47911362806866</v>
      </c>
      <c r="T51" s="60">
        <f t="shared" si="34"/>
        <v>230.93438491511529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2.6559822592830393</v>
      </c>
      <c r="AB51" s="23">
        <f>EXP(-LN(2)/2)*AB50+(1-EXP(-LN(2)/2))/(LN(2)/2)*V51*Y51*VLOOKUP('Données projet'!$B$9,Paramètres!$A$1:$I$89,3,0)*0.475*44/12</f>
        <v>3.1484544974131591E-2</v>
      </c>
      <c r="AC51" s="24">
        <f t="shared" si="3"/>
        <v>2.6874668042571708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6.6</v>
      </c>
      <c r="AI51" s="14">
        <f>IF('Données projet'!$A$62&gt;35,AI50+AH51-AQ50,IF(A51&lt;'Données projet'!$A$62,$AF$205^A51,IF(A51='Données projet'!$A$62,'Données projet'!$B$62,AI50+AH51-AQ50)))</f>
        <v>199.79999999999981</v>
      </c>
      <c r="AJ51" s="14">
        <f>AI51*VLOOKUP('Données projet'!$B$10,Paramètres!$A$1:$I$89,3,0)*VLOOKUP('Données projet'!$B$10,Paramètres!$A$1:$I$89,5,0)</f>
        <v>174.54527999999985</v>
      </c>
      <c r="AK51" s="14">
        <f t="shared" si="35"/>
        <v>44.106446559111923</v>
      </c>
      <c r="AL51" s="22">
        <f t="shared" si="4"/>
        <v>380.81842375711966</v>
      </c>
      <c r="AM51" s="60">
        <f t="shared" si="5"/>
        <v>674.15175709045297</v>
      </c>
      <c r="AN51" s="60">
        <f ca="1">AVERAGE(OFFSET($AM$3,0,0,'Données projet'!$E$10+1,1))-AVERAGE(OFFSET($H$3,0,0,'Données projet'!$E$10+1,1))</f>
        <v>233.41481265653817</v>
      </c>
      <c r="AO51" s="60">
        <f t="shared" si="36"/>
        <v>300.97465452084055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7.1199999999999992</v>
      </c>
      <c r="BD51" s="13">
        <f>IF('Données projet'!$A$88&gt;35,BD50+BC51-BL50,IF(A51&lt;'Données projet'!$A$88,$BA$205^A51,IF(A51='Données projet'!$A$88,'Données projet'!$B$88,BD50+BC51-BL50)))</f>
        <v>225.96000000000009</v>
      </c>
      <c r="BE51" s="14">
        <f>BD51*VLOOKUP('Données projet'!$B$11,Paramètres!$A$1:$I$89,3,0)*VLOOKUP('Données projet'!$B$11,Paramètres!$A$1:$I$89,5,0)</f>
        <v>179.77377600000008</v>
      </c>
      <c r="BF51" s="14">
        <f t="shared" si="37"/>
        <v>45.271851811295718</v>
      </c>
      <c r="BG51" s="22">
        <f t="shared" si="7"/>
        <v>391.95446843800681</v>
      </c>
      <c r="BH51" s="60">
        <f t="shared" si="8"/>
        <v>685.28780177134013</v>
      </c>
      <c r="BI51" s="60">
        <f ca="1">AVERAGE(OFFSET($BH$3,0,0,'Données projet'!$E$11+1,1))-AVERAGE(OFFSET($H$3,0,0,'Données projet'!$E$11+1,1))</f>
        <v>238.47463071449789</v>
      </c>
      <c r="BJ51" s="60">
        <f t="shared" si="38"/>
        <v>270.92950919803718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0" t="e">
        <f t="shared" si="11"/>
        <v>#N/A</v>
      </c>
      <c r="CD51" s="60" t="e">
        <f ca="1">AVERAGE(OFFSET($CC$3,0,0,'Données projet'!$E$12+1,1))-AVERAGE(OFFSET($H$3,0,0,'Données projet'!$E$12+1,1))</f>
        <v>#N/A</v>
      </c>
      <c r="CE51" s="60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0" t="e">
        <f t="shared" si="14"/>
        <v>#N/A</v>
      </c>
      <c r="CY51" s="60" t="e">
        <f ca="1">AVERAGE(OFFSET($CX$3,0,0,'Données projet'!$E$13+1,1))-AVERAGE(OFFSET($H$3,0,0,'Données projet'!$E$13+1,1))</f>
        <v>#N/A</v>
      </c>
      <c r="CZ51" s="60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0" t="e">
        <f t="shared" si="17"/>
        <v>#N/A</v>
      </c>
      <c r="DT51" s="60" t="e">
        <f ca="1">AVERAGE(OFFSET($DS$3,0,0,'Données projet'!$E$14+1,1))-AVERAGE(OFFSET($H$3,0,0,'Données projet'!$E$14+1,1))</f>
        <v>#N/A</v>
      </c>
      <c r="DU51" s="60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0" t="e">
        <f t="shared" si="20"/>
        <v>#N/A</v>
      </c>
      <c r="EO51" s="60" t="e">
        <f ca="1">AVERAGE(OFFSET($EN$3,0,0,'Données projet'!$E$15+1,1))-AVERAGE(OFFSET($H$3,0,0,'Données projet'!$E$15+1,1))</f>
        <v>#N/A</v>
      </c>
      <c r="EP51" s="60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8">
        <f t="shared" si="1"/>
        <v>347.47804431027294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404.56923076923078</v>
      </c>
      <c r="L52" s="13">
        <f>VLOOKUP(A52,'Données projet'!$A$35:$I$55,9,0)</f>
        <v>17.519780219780223</v>
      </c>
      <c r="M52" s="13">
        <f t="array" ref="M52">INDEX(L:L,MIN(IF(ISNUMBER(L52:L248),ROW(L52:L248),"")))</f>
        <v>17.519780219780223</v>
      </c>
      <c r="N52" s="14">
        <f>IF('Données projet'!$A$36&gt;35,N51+M52-V51,IF(A52&lt;'Données projet'!$A$36,$K$205^A52,IF(A52='Données projet'!$A$36,'Données projet'!$B$36,N51+M52-V51)))</f>
        <v>404.56923076923084</v>
      </c>
      <c r="O52" s="14">
        <f>N52*VLOOKUP('Données projet'!$B$9,Paramètres!$A$1:$I$89,3,0)*VLOOKUP('Données projet'!$B$9,Paramètres!$A$1:$I$89,5,0)</f>
        <v>226.15420000000006</v>
      </c>
      <c r="P52" s="14">
        <f t="shared" si="33"/>
        <v>55.450315347427065</v>
      </c>
      <c r="Q52" s="22">
        <f t="shared" si="53"/>
        <v>490.46119756343563</v>
      </c>
      <c r="R52" s="60">
        <f t="shared" si="0"/>
        <v>783.79453089676895</v>
      </c>
      <c r="S52" s="60">
        <f ca="1">AVERAGE(OFFSET($R$3,0,0,'Données projet'!$E$9+1,1))-AVERAGE(OFFSET($H$3,0,0,'Données projet'!$E$9+1,1))</f>
        <v>256.47911362806866</v>
      </c>
      <c r="T52" s="60">
        <f t="shared" si="34"/>
        <v>230.93438491511529</v>
      </c>
      <c r="U52" s="16">
        <f>IF(ISNA(VLOOKUP(A52,'Données projet'!$A$35:$I$55,3,0)),0,VLOOKUP(A52,'Données projet'!$A$35:$I$55,3,0))</f>
        <v>5</v>
      </c>
      <c r="V52" s="16">
        <f>IF(ISNA(VLOOKUP(A52,'Données projet'!$A$35:$I$55,4,0)),0,VLOOKUP(A52,'Données projet'!$A$35:$I$55,4,0))</f>
        <v>90.453846153846158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2.5833542847309081</v>
      </c>
      <c r="AB52" s="23">
        <f>EXP(-LN(2)/2)*AB51+(1-EXP(-LN(2)/2))/(LN(2)/2)*V52*Y52*VLOOKUP('Données projet'!$B$9,Paramètres!$A$1:$I$89,3,0)*0.475*44/12</f>
        <v>2.2262935253781282E-2</v>
      </c>
      <c r="AC52" s="24">
        <f t="shared" si="3"/>
        <v>2.6056172199846892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6.6</v>
      </c>
      <c r="AI52" s="14">
        <f>IF('Données projet'!$A$62&gt;35,AI51+AH52-AQ51,IF(A52&lt;'Données projet'!$A$62,$AF$205^A52,IF(A52='Données projet'!$A$62,'Données projet'!$B$62,AI51+AH52-AQ51)))</f>
        <v>206.39999999999981</v>
      </c>
      <c r="AJ52" s="14">
        <f>AI52*VLOOKUP('Données projet'!$B$10,Paramètres!$A$1:$I$89,3,0)*VLOOKUP('Données projet'!$B$10,Paramètres!$A$1:$I$89,5,0)</f>
        <v>180.31103999999985</v>
      </c>
      <c r="AK52" s="14">
        <f t="shared" si="35"/>
        <v>45.391379880979571</v>
      </c>
      <c r="AL52" s="22">
        <f t="shared" si="4"/>
        <v>393.09838129270582</v>
      </c>
      <c r="AM52" s="60">
        <f t="shared" si="5"/>
        <v>686.43171462603914</v>
      </c>
      <c r="AN52" s="60">
        <f ca="1">AVERAGE(OFFSET($AM$3,0,0,'Données projet'!$E$10+1,1))-AVERAGE(OFFSET($H$3,0,0,'Données projet'!$E$10+1,1))</f>
        <v>233.41481265653817</v>
      </c>
      <c r="AO52" s="60">
        <f t="shared" si="36"/>
        <v>300.97465452084055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7.1199999999999992</v>
      </c>
      <c r="BD52" s="13">
        <f>IF('Données projet'!$A$88&gt;35,BD51+BC52-BL51,IF(A52&lt;'Données projet'!$A$88,$BA$205^A52,IF(A52='Données projet'!$A$88,'Données projet'!$B$88,BD51+BC52-BL51)))</f>
        <v>233.0800000000001</v>
      </c>
      <c r="BE52" s="14">
        <f>BD52*VLOOKUP('Données projet'!$B$11,Paramètres!$A$1:$I$89,3,0)*VLOOKUP('Données projet'!$B$11,Paramètres!$A$1:$I$89,5,0)</f>
        <v>185.43844800000008</v>
      </c>
      <c r="BF52" s="14">
        <f t="shared" si="37"/>
        <v>46.530036573537593</v>
      </c>
      <c r="BG52" s="22">
        <f t="shared" si="7"/>
        <v>404.01177729891145</v>
      </c>
      <c r="BH52" s="60">
        <f t="shared" si="8"/>
        <v>697.34511063224477</v>
      </c>
      <c r="BI52" s="60">
        <f ca="1">AVERAGE(OFFSET($BH$3,0,0,'Données projet'!$E$11+1,1))-AVERAGE(OFFSET($H$3,0,0,'Données projet'!$E$11+1,1))</f>
        <v>238.47463071449789</v>
      </c>
      <c r="BJ52" s="60">
        <f t="shared" si="38"/>
        <v>270.92950919803718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0" t="e">
        <f t="shared" si="11"/>
        <v>#N/A</v>
      </c>
      <c r="CD52" s="60" t="e">
        <f ca="1">AVERAGE(OFFSET($CC$3,0,0,'Données projet'!$E$12+1,1))-AVERAGE(OFFSET($H$3,0,0,'Données projet'!$E$12+1,1))</f>
        <v>#N/A</v>
      </c>
      <c r="CE52" s="60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0" t="e">
        <f t="shared" si="14"/>
        <v>#N/A</v>
      </c>
      <c r="CY52" s="60" t="e">
        <f ca="1">AVERAGE(OFFSET($CX$3,0,0,'Données projet'!$E$13+1,1))-AVERAGE(OFFSET($H$3,0,0,'Données projet'!$E$13+1,1))</f>
        <v>#N/A</v>
      </c>
      <c r="CZ52" s="60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0" t="e">
        <f t="shared" si="17"/>
        <v>#N/A</v>
      </c>
      <c r="DT52" s="60" t="e">
        <f ca="1">AVERAGE(OFFSET($DS$3,0,0,'Données projet'!$E$14+1,1))-AVERAGE(OFFSET($H$3,0,0,'Données projet'!$E$14+1,1))</f>
        <v>#N/A</v>
      </c>
      <c r="DU52" s="60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0" t="e">
        <f t="shared" si="20"/>
        <v>#N/A</v>
      </c>
      <c r="EO52" s="60" t="e">
        <f ca="1">AVERAGE(OFFSET($EN$3,0,0,'Données projet'!$E$15+1,1))-AVERAGE(OFFSET($H$3,0,0,'Données projet'!$E$15+1,1))</f>
        <v>#N/A</v>
      </c>
      <c r="EP52" s="60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8">
        <f t="shared" si="1"/>
        <v>348.55165185430155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16.227472527472521</v>
      </c>
      <c r="N53" s="14">
        <f>IF('Données projet'!$A$36&gt;35,N52+M53-V52,IF(A53&lt;'Données projet'!$A$36,$K$205^A53,IF(A53='Données projet'!$A$36,'Données projet'!$B$36,N52+M53-V52)))</f>
        <v>330.34285714285721</v>
      </c>
      <c r="O53" s="14">
        <f>N53*VLOOKUP('Données projet'!$B$9,Paramètres!$A$1:$I$89,3,0)*VLOOKUP('Données projet'!$B$9,Paramètres!$A$1:$I$89,5,0)</f>
        <v>184.66165714285719</v>
      </c>
      <c r="P53" s="14">
        <f t="shared" si="33"/>
        <v>46.357770619215231</v>
      </c>
      <c r="Q53" s="22">
        <f t="shared" si="53"/>
        <v>402.3588366856095</v>
      </c>
      <c r="R53" s="60">
        <f t="shared" si="0"/>
        <v>695.69217001894276</v>
      </c>
      <c r="S53" s="60">
        <f ca="1">AVERAGE(OFFSET($R$3,0,0,'Données projet'!$E$9+1,1))-AVERAGE(OFFSET($H$3,0,0,'Données projet'!$E$9+1,1))</f>
        <v>256.47911362806866</v>
      </c>
      <c r="T53" s="60">
        <f t="shared" si="34"/>
        <v>230.93438491511529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2.5127123259622439</v>
      </c>
      <c r="AB53" s="23">
        <f>EXP(-LN(2)/2)*AB52+(1-EXP(-LN(2)/2))/(LN(2)/2)*V53*Y53*VLOOKUP('Données projet'!$B$9,Paramètres!$A$1:$I$89,3,0)*0.475*44/12</f>
        <v>1.5742272487065796E-2</v>
      </c>
      <c r="AC53" s="24">
        <f t="shared" si="3"/>
        <v>2.5284545984493096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213</v>
      </c>
      <c r="AG53" s="13">
        <f>VLOOKUP(A53,'Données projet'!$A$61:$I$81,9,0)</f>
        <v>6.6</v>
      </c>
      <c r="AH53" s="13">
        <f t="array" ref="AH53">INDEX(AG:AG,MIN(IF(ISNUMBER(AG53:AG249),ROW(AG53:AG249),"")))</f>
        <v>6.6</v>
      </c>
      <c r="AI53" s="14">
        <f>IF('Données projet'!$A$62&gt;35,AI52+AH53-AQ52,IF(A53&lt;'Données projet'!$A$62,$AF$205^A53,IF(A53='Données projet'!$A$62,'Données projet'!$B$62,AI52+AH53-AQ52)))</f>
        <v>212.9999999999998</v>
      </c>
      <c r="AJ53" s="14">
        <f>AI53*VLOOKUP('Données projet'!$B$10,Paramètres!$A$1:$I$89,3,0)*VLOOKUP('Données projet'!$B$10,Paramètres!$A$1:$I$89,5,0)</f>
        <v>186.07679999999985</v>
      </c>
      <c r="AK53" s="14">
        <f t="shared" si="35"/>
        <v>46.67153859152863</v>
      </c>
      <c r="AL53" s="22">
        <f t="shared" si="4"/>
        <v>405.37002304691208</v>
      </c>
      <c r="AM53" s="60">
        <f t="shared" si="5"/>
        <v>698.7033563802454</v>
      </c>
      <c r="AN53" s="60">
        <f ca="1">AVERAGE(OFFSET($AM$3,0,0,'Données projet'!$E$10+1,1))-AVERAGE(OFFSET($H$3,0,0,'Données projet'!$E$10+1,1))</f>
        <v>233.41481265653817</v>
      </c>
      <c r="AO53" s="60">
        <f t="shared" si="36"/>
        <v>300.97465452084055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50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240.20000000000002</v>
      </c>
      <c r="BB53" s="13">
        <f>VLOOKUP(A53,'Données projet'!$A$87:$I$107,9,0)</f>
        <v>7.1199999999999992</v>
      </c>
      <c r="BC53" s="13">
        <f t="array" ref="BC53">INDEX(BB:BB,MIN(IF(ISNUMBER(BB53:BB249),ROW(BB53:BB249),"")))</f>
        <v>7.1199999999999992</v>
      </c>
      <c r="BD53" s="13">
        <f>IF('Données projet'!$A$88&gt;35,BD52+BC53-BL52,IF(A53&lt;'Données projet'!$A$88,$BA$205^A53,IF(A53='Données projet'!$A$88,'Données projet'!$B$88,BD52+BC53-BL52)))</f>
        <v>240.2000000000001</v>
      </c>
      <c r="BE53" s="14">
        <f>BD53*VLOOKUP('Données projet'!$B$11,Paramètres!$A$1:$I$89,3,0)*VLOOKUP('Données projet'!$B$11,Paramètres!$A$1:$I$89,5,0)</f>
        <v>191.10312000000008</v>
      </c>
      <c r="BF53" s="14">
        <f t="shared" si="37"/>
        <v>47.783754789189338</v>
      </c>
      <c r="BG53" s="22">
        <f t="shared" si="7"/>
        <v>416.06130692450489</v>
      </c>
      <c r="BH53" s="60">
        <f t="shared" si="8"/>
        <v>709.3946402578382</v>
      </c>
      <c r="BI53" s="60">
        <f ca="1">AVERAGE(OFFSET($BH$3,0,0,'Données projet'!$E$11+1,1))-AVERAGE(OFFSET($H$3,0,0,'Données projet'!$E$11+1,1))</f>
        <v>238.47463071449789</v>
      </c>
      <c r="BJ53" s="60">
        <f t="shared" si="38"/>
        <v>270.92950919803718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38.299999999999997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0" t="e">
        <f t="shared" si="11"/>
        <v>#N/A</v>
      </c>
      <c r="CD53" s="60" t="e">
        <f ca="1">AVERAGE(OFFSET($CC$3,0,0,'Données projet'!$E$12+1,1))-AVERAGE(OFFSET($H$3,0,0,'Données projet'!$E$12+1,1))</f>
        <v>#N/A</v>
      </c>
      <c r="CE53" s="60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0" t="e">
        <f t="shared" si="14"/>
        <v>#N/A</v>
      </c>
      <c r="CY53" s="60" t="e">
        <f ca="1">AVERAGE(OFFSET($CX$3,0,0,'Données projet'!$E$13+1,1))-AVERAGE(OFFSET($H$3,0,0,'Données projet'!$E$13+1,1))</f>
        <v>#N/A</v>
      </c>
      <c r="CZ53" s="60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0" t="e">
        <f t="shared" si="17"/>
        <v>#N/A</v>
      </c>
      <c r="DT53" s="60" t="e">
        <f ca="1">AVERAGE(OFFSET($DS$3,0,0,'Données projet'!$E$14+1,1))-AVERAGE(OFFSET($H$3,0,0,'Données projet'!$E$14+1,1))</f>
        <v>#N/A</v>
      </c>
      <c r="DU53" s="60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0" t="e">
        <f t="shared" si="20"/>
        <v>#N/A</v>
      </c>
      <c r="EO53" s="60" t="e">
        <f ca="1">AVERAGE(OFFSET($EN$3,0,0,'Données projet'!$E$15+1,1))-AVERAGE(OFFSET($H$3,0,0,'Données projet'!$E$15+1,1))</f>
        <v>#N/A</v>
      </c>
      <c r="EP53" s="60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8">
        <f t="shared" si="1"/>
        <v>349.62471090256616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16.227472527472521</v>
      </c>
      <c r="N54" s="14">
        <f>IF('Données projet'!$A$36&gt;35,N53+M54-V53,IF(A54&lt;'Données projet'!$A$36,$K$205^A54,IF(A54='Données projet'!$A$36,'Données projet'!$B$36,N53+M54-V53)))</f>
        <v>346.57032967032973</v>
      </c>
      <c r="O54" s="14">
        <f>N54*VLOOKUP('Données projet'!$B$9,Paramètres!$A$1:$I$89,3,0)*VLOOKUP('Données projet'!$B$9,Paramètres!$A$1:$I$89,5,0)</f>
        <v>193.73281428571431</v>
      </c>
      <c r="P54" s="14">
        <f t="shared" si="33"/>
        <v>48.364288285880889</v>
      </c>
      <c r="Q54" s="22">
        <f t="shared" si="53"/>
        <v>421.65245364552828</v>
      </c>
      <c r="R54" s="60">
        <f t="shared" si="0"/>
        <v>714.9857869788616</v>
      </c>
      <c r="S54" s="60">
        <f ca="1">AVERAGE(OFFSET($R$3,0,0,'Données projet'!$E$9+1,1))-AVERAGE(OFFSET($H$3,0,0,'Données projet'!$E$9+1,1))</f>
        <v>256.47911362806866</v>
      </c>
      <c r="T54" s="60">
        <f t="shared" si="34"/>
        <v>230.93438491511529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2.4440020752710079</v>
      </c>
      <c r="AB54" s="23">
        <f>EXP(-LN(2)/2)*AB53+(1-EXP(-LN(2)/2))/(LN(2)/2)*V54*Y54*VLOOKUP('Données projet'!$B$9,Paramètres!$A$1:$I$89,3,0)*0.475*44/12</f>
        <v>1.1131467626890641E-2</v>
      </c>
      <c r="AC54" s="24">
        <f t="shared" si="3"/>
        <v>2.4551335428978986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6.2</v>
      </c>
      <c r="AI54" s="14">
        <f>IF('Données projet'!$A$62&gt;35,AI53+AH54-AQ53,IF(A54&lt;'Données projet'!$A$62,$AF$205^A54,IF(A54='Données projet'!$A$62,'Données projet'!$B$62,AI53+AH54-AQ53)))</f>
        <v>169.19999999999979</v>
      </c>
      <c r="AJ54" s="14">
        <f>AI54*VLOOKUP('Données projet'!$B$10,Paramètres!$A$1:$I$89,3,0)*VLOOKUP('Données projet'!$B$10,Paramètres!$A$1:$I$89,5,0)</f>
        <v>147.81311999999986</v>
      </c>
      <c r="AK54" s="14">
        <f t="shared" si="35"/>
        <v>38.081185298782451</v>
      </c>
      <c r="AL54" s="22">
        <f t="shared" si="4"/>
        <v>323.76591506204585</v>
      </c>
      <c r="AM54" s="60">
        <f t="shared" si="5"/>
        <v>617.09924839537916</v>
      </c>
      <c r="AN54" s="60">
        <f ca="1">AVERAGE(OFFSET($AM$3,0,0,'Données projet'!$E$10+1,1))-AVERAGE(OFFSET($H$3,0,0,'Données projet'!$E$10+1,1))</f>
        <v>233.41481265653817</v>
      </c>
      <c r="AO54" s="60">
        <f t="shared" si="36"/>
        <v>300.97465452084055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6.119999999999993</v>
      </c>
      <c r="BD54" s="13">
        <f>IF('Données projet'!$A$88&gt;35,BD53+BC54-BL53,IF(A54&lt;'Données projet'!$A$88,$BA$205^A54,IF(A54='Données projet'!$A$88,'Données projet'!$B$88,BD53+BC54-BL53)))</f>
        <v>208.0200000000001</v>
      </c>
      <c r="BE54" s="14">
        <f>BD54*VLOOKUP('Données projet'!$B$11,Paramètres!$A$1:$I$89,3,0)*VLOOKUP('Données projet'!$B$11,Paramètres!$A$1:$I$89,5,0)</f>
        <v>165.50071200000008</v>
      </c>
      <c r="BF54" s="14">
        <f t="shared" si="37"/>
        <v>42.080765048766054</v>
      </c>
      <c r="BG54" s="22">
        <f t="shared" si="7"/>
        <v>361.53773919326767</v>
      </c>
      <c r="BH54" s="60">
        <f t="shared" si="8"/>
        <v>654.87107252660098</v>
      </c>
      <c r="BI54" s="60">
        <f ca="1">AVERAGE(OFFSET($BH$3,0,0,'Données projet'!$E$11+1,1))-AVERAGE(OFFSET($H$3,0,0,'Données projet'!$E$11+1,1))</f>
        <v>238.47463071449789</v>
      </c>
      <c r="BJ54" s="60">
        <f t="shared" si="38"/>
        <v>270.92950919803718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0" t="e">
        <f t="shared" si="11"/>
        <v>#N/A</v>
      </c>
      <c r="CD54" s="60" t="e">
        <f ca="1">AVERAGE(OFFSET($CC$3,0,0,'Données projet'!$E$12+1,1))-AVERAGE(OFFSET($H$3,0,0,'Données projet'!$E$12+1,1))</f>
        <v>#N/A</v>
      </c>
      <c r="CE54" s="60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0" t="e">
        <f t="shared" si="14"/>
        <v>#N/A</v>
      </c>
      <c r="CY54" s="60" t="e">
        <f ca="1">AVERAGE(OFFSET($CX$3,0,0,'Données projet'!$E$13+1,1))-AVERAGE(OFFSET($H$3,0,0,'Données projet'!$E$13+1,1))</f>
        <v>#N/A</v>
      </c>
      <c r="CZ54" s="60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0" t="e">
        <f t="shared" si="17"/>
        <v>#N/A</v>
      </c>
      <c r="DT54" s="60" t="e">
        <f ca="1">AVERAGE(OFFSET($DS$3,0,0,'Données projet'!$E$14+1,1))-AVERAGE(OFFSET($H$3,0,0,'Données projet'!$E$14+1,1))</f>
        <v>#N/A</v>
      </c>
      <c r="DU54" s="60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0" t="e">
        <f t="shared" si="20"/>
        <v>#N/A</v>
      </c>
      <c r="EO54" s="60" t="e">
        <f ca="1">AVERAGE(OFFSET($EN$3,0,0,'Données projet'!$E$15+1,1))-AVERAGE(OFFSET($H$3,0,0,'Données projet'!$E$15+1,1))</f>
        <v>#N/A</v>
      </c>
      <c r="EP54" s="60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8">
        <f t="shared" si="1"/>
        <v>350.69723344960619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16.227472527472521</v>
      </c>
      <c r="N55" s="14">
        <f>IF('Données projet'!$A$36&gt;35,N54+M55-V54,IF(A55&lt;'Données projet'!$A$36,$K$205^A55,IF(A55='Données projet'!$A$36,'Données projet'!$B$36,N54+M55-V54)))</f>
        <v>362.79780219780224</v>
      </c>
      <c r="O55" s="14">
        <f>N55*VLOOKUP('Données projet'!$B$9,Paramètres!$A$1:$I$89,3,0)*VLOOKUP('Données projet'!$B$9,Paramètres!$A$1:$I$89,5,0)</f>
        <v>202.80397142857146</v>
      </c>
      <c r="P55" s="14">
        <f t="shared" si="33"/>
        <v>50.359895566849652</v>
      </c>
      <c r="Q55" s="22">
        <f t="shared" si="53"/>
        <v>440.92706835035841</v>
      </c>
      <c r="R55" s="60">
        <f t="shared" si="0"/>
        <v>734.26040168369173</v>
      </c>
      <c r="S55" s="60">
        <f ca="1">AVERAGE(OFFSET($R$3,0,0,'Données projet'!$E$9+1,1))-AVERAGE(OFFSET($H$3,0,0,'Données projet'!$E$9+1,1))</f>
        <v>256.47911362806866</v>
      </c>
      <c r="T55" s="60">
        <f t="shared" si="34"/>
        <v>230.93438491511529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2.3771707099982389</v>
      </c>
      <c r="AB55" s="23">
        <f>EXP(-LN(2)/2)*AB54+(1-EXP(-LN(2)/2))/(LN(2)/2)*V55*Y55*VLOOKUP('Données projet'!$B$9,Paramètres!$A$1:$I$89,3,0)*0.475*44/12</f>
        <v>7.8711362435328978E-3</v>
      </c>
      <c r="AC55" s="24">
        <f t="shared" si="3"/>
        <v>2.385041846241772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6.2</v>
      </c>
      <c r="AI55" s="14">
        <f>IF('Données projet'!$A$62&gt;35,AI54+AH55-AQ54,IF(A55&lt;'Données projet'!$A$62,$AF$205^A55,IF(A55='Données projet'!$A$62,'Données projet'!$B$62,AI54+AH55-AQ54)))</f>
        <v>175.39999999999978</v>
      </c>
      <c r="AJ55" s="14">
        <f>AI55*VLOOKUP('Données projet'!$B$10,Paramètres!$A$1:$I$89,3,0)*VLOOKUP('Données projet'!$B$10,Paramètres!$A$1:$I$89,5,0)</f>
        <v>153.22943999999984</v>
      </c>
      <c r="AK55" s="14">
        <f t="shared" si="35"/>
        <v>39.311575138468292</v>
      </c>
      <c r="AL55" s="22">
        <f t="shared" si="4"/>
        <v>335.34226803283201</v>
      </c>
      <c r="AM55" s="60">
        <f t="shared" si="5"/>
        <v>628.67560136616532</v>
      </c>
      <c r="AN55" s="60">
        <f ca="1">AVERAGE(OFFSET($AM$3,0,0,'Données projet'!$E$10+1,1))-AVERAGE(OFFSET($H$3,0,0,'Données projet'!$E$10+1,1))</f>
        <v>233.41481265653817</v>
      </c>
      <c r="AO55" s="60">
        <f t="shared" si="36"/>
        <v>300.97465452084055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6.119999999999993</v>
      </c>
      <c r="BD55" s="13">
        <f>IF('Données projet'!$A$88&gt;35,BD54+BC55-BL54,IF(A55&lt;'Données projet'!$A$88,$BA$205^A55,IF(A55='Données projet'!$A$88,'Données projet'!$B$88,BD54+BC55-BL54)))</f>
        <v>214.1400000000001</v>
      </c>
      <c r="BE55" s="14">
        <f>BD55*VLOOKUP('Données projet'!$B$11,Paramètres!$A$1:$I$89,3,0)*VLOOKUP('Données projet'!$B$11,Paramètres!$A$1:$I$89,5,0)</f>
        <v>170.3697840000001</v>
      </c>
      <c r="BF55" s="14">
        <f t="shared" si="37"/>
        <v>43.172832424038276</v>
      </c>
      <c r="BG55" s="22">
        <f t="shared" si="7"/>
        <v>371.92005693853349</v>
      </c>
      <c r="BH55" s="60">
        <f t="shared" si="8"/>
        <v>665.25339027186681</v>
      </c>
      <c r="BI55" s="60">
        <f ca="1">AVERAGE(OFFSET($BH$3,0,0,'Données projet'!$E$11+1,1))-AVERAGE(OFFSET($H$3,0,0,'Données projet'!$E$11+1,1))</f>
        <v>238.47463071449789</v>
      </c>
      <c r="BJ55" s="60">
        <f t="shared" si="38"/>
        <v>270.92950919803718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0" t="e">
        <f t="shared" si="11"/>
        <v>#N/A</v>
      </c>
      <c r="CD55" s="60" t="e">
        <f ca="1">AVERAGE(OFFSET($CC$3,0,0,'Données projet'!$E$12+1,1))-AVERAGE(OFFSET($H$3,0,0,'Données projet'!$E$12+1,1))</f>
        <v>#N/A</v>
      </c>
      <c r="CE55" s="60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0" t="e">
        <f t="shared" si="14"/>
        <v>#N/A</v>
      </c>
      <c r="CY55" s="60" t="e">
        <f ca="1">AVERAGE(OFFSET($CX$3,0,0,'Données projet'!$E$13+1,1))-AVERAGE(OFFSET($H$3,0,0,'Données projet'!$E$13+1,1))</f>
        <v>#N/A</v>
      </c>
      <c r="CZ55" s="60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0" t="e">
        <f t="shared" si="17"/>
        <v>#N/A</v>
      </c>
      <c r="DT55" s="60" t="e">
        <f ca="1">AVERAGE(OFFSET($DS$3,0,0,'Données projet'!$E$14+1,1))-AVERAGE(OFFSET($H$3,0,0,'Données projet'!$E$14+1,1))</f>
        <v>#N/A</v>
      </c>
      <c r="DU55" s="60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0" t="e">
        <f t="shared" si="20"/>
        <v>#N/A</v>
      </c>
      <c r="EO55" s="60" t="e">
        <f ca="1">AVERAGE(OFFSET($EN$3,0,0,'Données projet'!$E$15+1,1))-AVERAGE(OFFSET($H$3,0,0,'Données projet'!$E$15+1,1))</f>
        <v>#N/A</v>
      </c>
      <c r="EP55" s="60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8">
        <f t="shared" si="1"/>
        <v>351.76923100223922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16.227472527472521</v>
      </c>
      <c r="N56" s="14">
        <f>IF('Données projet'!$A$36&gt;35,N55+M56-V55,IF(A56&lt;'Données projet'!$A$36,$K$205^A56,IF(A56='Données projet'!$A$36,'Données projet'!$B$36,N55+M56-V55)))</f>
        <v>379.02527472527476</v>
      </c>
      <c r="O56" s="14">
        <f>N56*VLOOKUP('Données projet'!$B$9,Paramètres!$A$1:$I$89,3,0)*VLOOKUP('Données projet'!$B$9,Paramètres!$A$1:$I$89,5,0)</f>
        <v>211.87512857142858</v>
      </c>
      <c r="P56" s="14">
        <f t="shared" si="33"/>
        <v>52.345136228066735</v>
      </c>
      <c r="Q56" s="22">
        <f t="shared" si="53"/>
        <v>460.18362785912103</v>
      </c>
      <c r="R56" s="60">
        <f t="shared" si="0"/>
        <v>753.51696119245435</v>
      </c>
      <c r="S56" s="60">
        <f ca="1">AVERAGE(OFFSET($R$3,0,0,'Données projet'!$E$9+1,1))-AVERAGE(OFFSET($H$3,0,0,'Données projet'!$E$9+1,1))</f>
        <v>256.47911362806866</v>
      </c>
      <c r="T56" s="60">
        <f t="shared" si="34"/>
        <v>230.93438491511529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2.3121668519233625</v>
      </c>
      <c r="AB56" s="23">
        <f>EXP(-LN(2)/2)*AB55+(1-EXP(-LN(2)/2))/(LN(2)/2)*V56*Y56*VLOOKUP('Données projet'!$B$9,Paramètres!$A$1:$I$89,3,0)*0.475*44/12</f>
        <v>5.5657338134453204E-3</v>
      </c>
      <c r="AC56" s="24">
        <f t="shared" si="3"/>
        <v>2.3177325857368078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6.2</v>
      </c>
      <c r="AI56" s="14">
        <f>IF('Données projet'!$A$62&gt;35,AI55+AH56-AQ55,IF(A56&lt;'Données projet'!$A$62,$AF$205^A56,IF(A56='Données projet'!$A$62,'Données projet'!$B$62,AI55+AH56-AQ55)))</f>
        <v>181.59999999999977</v>
      </c>
      <c r="AJ56" s="14">
        <f>AI56*VLOOKUP('Données projet'!$B$10,Paramètres!$A$1:$I$89,3,0)*VLOOKUP('Données projet'!$B$10,Paramètres!$A$1:$I$89,5,0)</f>
        <v>158.64575999999983</v>
      </c>
      <c r="AK56" s="14">
        <f t="shared" si="35"/>
        <v>40.536911851071018</v>
      </c>
      <c r="AL56" s="22">
        <f t="shared" si="4"/>
        <v>346.90982014061501</v>
      </c>
      <c r="AM56" s="60">
        <f t="shared" si="5"/>
        <v>640.24315347394827</v>
      </c>
      <c r="AN56" s="60">
        <f ca="1">AVERAGE(OFFSET($AM$3,0,0,'Données projet'!$E$10+1,1))-AVERAGE(OFFSET($H$3,0,0,'Données projet'!$E$10+1,1))</f>
        <v>233.41481265653817</v>
      </c>
      <c r="AO56" s="60">
        <f t="shared" si="36"/>
        <v>300.97465452084055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6.119999999999993</v>
      </c>
      <c r="BD56" s="13">
        <f>IF('Données projet'!$A$88&gt;35,BD55+BC56-BL55,IF(A56&lt;'Données projet'!$A$88,$BA$205^A56,IF(A56='Données projet'!$A$88,'Données projet'!$B$88,BD55+BC56-BL55)))</f>
        <v>220.2600000000001</v>
      </c>
      <c r="BE56" s="14">
        <f>BD56*VLOOKUP('Données projet'!$B$11,Paramètres!$A$1:$I$89,3,0)*VLOOKUP('Données projet'!$B$11,Paramètres!$A$1:$I$89,5,0)</f>
        <v>175.23885600000008</v>
      </c>
      <c r="BF56" s="14">
        <f t="shared" si="37"/>
        <v>44.261272391866463</v>
      </c>
      <c r="BG56" s="22">
        <f t="shared" si="7"/>
        <v>382.29605694916751</v>
      </c>
      <c r="BH56" s="60">
        <f t="shared" si="8"/>
        <v>675.62939028250082</v>
      </c>
      <c r="BI56" s="60">
        <f ca="1">AVERAGE(OFFSET($BH$3,0,0,'Données projet'!$E$11+1,1))-AVERAGE(OFFSET($H$3,0,0,'Données projet'!$E$11+1,1))</f>
        <v>238.47463071449789</v>
      </c>
      <c r="BJ56" s="60">
        <f t="shared" si="38"/>
        <v>270.92950919803718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0" t="e">
        <f t="shared" si="11"/>
        <v>#N/A</v>
      </c>
      <c r="CD56" s="60" t="e">
        <f ca="1">AVERAGE(OFFSET($CC$3,0,0,'Données projet'!$E$12+1,1))-AVERAGE(OFFSET($H$3,0,0,'Données projet'!$E$12+1,1))</f>
        <v>#N/A</v>
      </c>
      <c r="CE56" s="60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0" t="e">
        <f t="shared" si="14"/>
        <v>#N/A</v>
      </c>
      <c r="CY56" s="60" t="e">
        <f ca="1">AVERAGE(OFFSET($CX$3,0,0,'Données projet'!$E$13+1,1))-AVERAGE(OFFSET($H$3,0,0,'Données projet'!$E$13+1,1))</f>
        <v>#N/A</v>
      </c>
      <c r="CZ56" s="60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0" t="e">
        <f t="shared" si="17"/>
        <v>#N/A</v>
      </c>
      <c r="DT56" s="60" t="e">
        <f ca="1">AVERAGE(OFFSET($DS$3,0,0,'Données projet'!$E$14+1,1))-AVERAGE(OFFSET($H$3,0,0,'Données projet'!$E$14+1,1))</f>
        <v>#N/A</v>
      </c>
      <c r="DU56" s="60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0" t="e">
        <f t="shared" si="20"/>
        <v>#N/A</v>
      </c>
      <c r="EO56" s="60" t="e">
        <f ca="1">AVERAGE(OFFSET($EN$3,0,0,'Données projet'!$E$15+1,1))-AVERAGE(OFFSET($H$3,0,0,'Données projet'!$E$15+1,1))</f>
        <v>#N/A</v>
      </c>
      <c r="EP56" s="60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8">
        <f t="shared" si="1"/>
        <v>352.84071460821417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16.227472527472521</v>
      </c>
      <c r="N57" s="14">
        <f>IF('Données projet'!$A$36&gt;35,N56+M57-V56,IF(A57&lt;'Données projet'!$A$36,$K$205^A57,IF(A57='Données projet'!$A$36,'Données projet'!$B$36,N56+M57-V56)))</f>
        <v>395.25274725274727</v>
      </c>
      <c r="O57" s="14">
        <f>N57*VLOOKUP('Données projet'!$B$9,Paramètres!$A$1:$I$89,3,0)*VLOOKUP('Données projet'!$B$9,Paramètres!$A$1:$I$89,5,0)</f>
        <v>220.94628571428572</v>
      </c>
      <c r="P57" s="14">
        <f t="shared" si="33"/>
        <v>54.320504840756463</v>
      </c>
      <c r="Q57" s="22">
        <f t="shared" si="53"/>
        <v>479.42299355003178</v>
      </c>
      <c r="R57" s="60">
        <f t="shared" si="0"/>
        <v>772.75632688336509</v>
      </c>
      <c r="S57" s="60">
        <f ca="1">AVERAGE(OFFSET($R$3,0,0,'Données projet'!$E$9+1,1))-AVERAGE(OFFSET($H$3,0,0,'Données projet'!$E$9+1,1))</f>
        <v>256.47911362806866</v>
      </c>
      <c r="T57" s="60">
        <f t="shared" si="34"/>
        <v>230.93438491511529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2.248940527765948</v>
      </c>
      <c r="AB57" s="23">
        <f>EXP(-LN(2)/2)*AB56+(1-EXP(-LN(2)/2))/(LN(2)/2)*V57*Y57*VLOOKUP('Données projet'!$B$9,Paramètres!$A$1:$I$89,3,0)*0.475*44/12</f>
        <v>3.9355681217664489E-3</v>
      </c>
      <c r="AC57" s="24">
        <f t="shared" si="3"/>
        <v>2.2528760958877143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6.2</v>
      </c>
      <c r="AI57" s="14">
        <f>IF('Données projet'!$A$62&gt;35,AI56+AH57-AQ56,IF(A57&lt;'Données projet'!$A$62,$AF$205^A57,IF(A57='Données projet'!$A$62,'Données projet'!$B$62,AI56+AH57-AQ56)))</f>
        <v>187.79999999999976</v>
      </c>
      <c r="AJ57" s="14">
        <f>AI57*VLOOKUP('Données projet'!$B$10,Paramètres!$A$1:$I$89,3,0)*VLOOKUP('Données projet'!$B$10,Paramètres!$A$1:$I$89,5,0)</f>
        <v>164.06207999999981</v>
      </c>
      <c r="AK57" s="14">
        <f t="shared" si="35"/>
        <v>41.757387730134568</v>
      </c>
      <c r="AL57" s="22">
        <f t="shared" si="4"/>
        <v>358.46890629665069</v>
      </c>
      <c r="AM57" s="60">
        <f t="shared" si="5"/>
        <v>651.802239629984</v>
      </c>
      <c r="AN57" s="60">
        <f ca="1">AVERAGE(OFFSET($AM$3,0,0,'Données projet'!$E$10+1,1))-AVERAGE(OFFSET($H$3,0,0,'Données projet'!$E$10+1,1))</f>
        <v>233.41481265653817</v>
      </c>
      <c r="AO57" s="60">
        <f t="shared" si="36"/>
        <v>300.97465452084055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6.119999999999993</v>
      </c>
      <c r="BD57" s="13">
        <f>IF('Données projet'!$A$88&gt;35,BD56+BC57-BL56,IF(A57&lt;'Données projet'!$A$88,$BA$205^A57,IF(A57='Données projet'!$A$88,'Données projet'!$B$88,BD56+BC57-BL56)))</f>
        <v>226.38000000000011</v>
      </c>
      <c r="BE57" s="14">
        <f>BD57*VLOOKUP('Données projet'!$B$11,Paramètres!$A$1:$I$89,3,0)*VLOOKUP('Données projet'!$B$11,Paramètres!$A$1:$I$89,5,0)</f>
        <v>180.1079280000001</v>
      </c>
      <c r="BF57" s="14">
        <f t="shared" si="37"/>
        <v>45.34619732035577</v>
      </c>
      <c r="BG57" s="22">
        <f t="shared" si="7"/>
        <v>392.66593493295318</v>
      </c>
      <c r="BH57" s="60">
        <f t="shared" si="8"/>
        <v>685.99926826628644</v>
      </c>
      <c r="BI57" s="60">
        <f ca="1">AVERAGE(OFFSET($BH$3,0,0,'Données projet'!$E$11+1,1))-AVERAGE(OFFSET($H$3,0,0,'Données projet'!$E$11+1,1))</f>
        <v>238.47463071449789</v>
      </c>
      <c r="BJ57" s="60">
        <f t="shared" si="38"/>
        <v>270.92950919803718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0" t="e">
        <f t="shared" si="11"/>
        <v>#N/A</v>
      </c>
      <c r="CD57" s="60" t="e">
        <f ca="1">AVERAGE(OFFSET($CC$3,0,0,'Données projet'!$E$12+1,1))-AVERAGE(OFFSET($H$3,0,0,'Données projet'!$E$12+1,1))</f>
        <v>#N/A</v>
      </c>
      <c r="CE57" s="60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0" t="e">
        <f t="shared" si="14"/>
        <v>#N/A</v>
      </c>
      <c r="CY57" s="60" t="e">
        <f ca="1">AVERAGE(OFFSET($CX$3,0,0,'Données projet'!$E$13+1,1))-AVERAGE(OFFSET($H$3,0,0,'Données projet'!$E$13+1,1))</f>
        <v>#N/A</v>
      </c>
      <c r="CZ57" s="60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0" t="e">
        <f t="shared" si="17"/>
        <v>#N/A</v>
      </c>
      <c r="DT57" s="60" t="e">
        <f ca="1">AVERAGE(OFFSET($DS$3,0,0,'Données projet'!$E$14+1,1))-AVERAGE(OFFSET($H$3,0,0,'Données projet'!$E$14+1,1))</f>
        <v>#N/A</v>
      </c>
      <c r="DU57" s="60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0" t="e">
        <f t="shared" si="20"/>
        <v>#N/A</v>
      </c>
      <c r="EO57" s="60" t="e">
        <f ca="1">AVERAGE(OFFSET($EN$3,0,0,'Données projet'!$E$15+1,1))-AVERAGE(OFFSET($H$3,0,0,'Données projet'!$E$15+1,1))</f>
        <v>#N/A</v>
      </c>
      <c r="EP57" s="60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8">
        <f t="shared" si="1"/>
        <v>353.91169488268253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16.227472527472521</v>
      </c>
      <c r="N58" s="14">
        <f>IF('Données projet'!$A$36&gt;35,N57+M58-V57,IF(A58&lt;'Données projet'!$A$36,$K$205^A58,IF(A58='Données projet'!$A$36,'Données projet'!$B$36,N57+M58-V57)))</f>
        <v>411.48021978021978</v>
      </c>
      <c r="O58" s="14">
        <f>N58*VLOOKUP('Données projet'!$B$9,Paramètres!$A$1:$I$89,3,0)*VLOOKUP('Données projet'!$B$9,Paramètres!$A$1:$I$89,5,0)</f>
        <v>230.01744285714284</v>
      </c>
      <c r="P58" s="14">
        <f t="shared" si="33"/>
        <v>56.286453068022915</v>
      </c>
      <c r="Q58" s="22">
        <f t="shared" si="53"/>
        <v>498.64595206966368</v>
      </c>
      <c r="R58" s="60">
        <f t="shared" si="0"/>
        <v>791.97928540299699</v>
      </c>
      <c r="S58" s="60">
        <f ca="1">AVERAGE(OFFSET($R$3,0,0,'Données projet'!$E$9+1,1))-AVERAGE(OFFSET($H$3,0,0,'Données projet'!$E$9+1,1))</f>
        <v>256.47911362806866</v>
      </c>
      <c r="T58" s="60">
        <f t="shared" si="34"/>
        <v>230.93438491511529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2.1874431307675457</v>
      </c>
      <c r="AB58" s="23">
        <f>EXP(-LN(2)/2)*AB57+(1-EXP(-LN(2)/2))/(LN(2)/2)*V58*Y58*VLOOKUP('Données projet'!$B$9,Paramètres!$A$1:$I$89,3,0)*0.475*44/12</f>
        <v>2.7828669067226602E-3</v>
      </c>
      <c r="AC58" s="24">
        <f t="shared" si="3"/>
        <v>2.1902259976742684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194</v>
      </c>
      <c r="AG58" s="13">
        <f>VLOOKUP(A58,'Données projet'!$A$61:$I$81,9,0)</f>
        <v>6.2</v>
      </c>
      <c r="AH58" s="13">
        <f t="array" ref="AH58">INDEX(AG:AG,MIN(IF(ISNUMBER(AG58:AG254),ROW(AG58:AG254),"")))</f>
        <v>6.2</v>
      </c>
      <c r="AI58" s="14">
        <f>IF('Données projet'!$A$62&gt;35,AI57+AH58-AQ57,IF(A58&lt;'Données projet'!$A$62,$AF$205^A58,IF(A58='Données projet'!$A$62,'Données projet'!$B$62,AI57+AH58-AQ57)))</f>
        <v>193.99999999999974</v>
      </c>
      <c r="AJ58" s="14">
        <f>AI58*VLOOKUP('Données projet'!$B$10,Paramètres!$A$1:$I$89,3,0)*VLOOKUP('Données projet'!$B$10,Paramètres!$A$1:$I$89,5,0)</f>
        <v>169.47839999999979</v>
      </c>
      <c r="AK58" s="14">
        <f t="shared" si="35"/>
        <v>42.973181651930254</v>
      </c>
      <c r="AL58" s="22">
        <f t="shared" si="4"/>
        <v>370.01983804377818</v>
      </c>
      <c r="AM58" s="60">
        <f t="shared" si="5"/>
        <v>663.35317137711149</v>
      </c>
      <c r="AN58" s="60">
        <f ca="1">AVERAGE(OFFSET($AM$3,0,0,'Données projet'!$E$10+1,1))-AVERAGE(OFFSET($H$3,0,0,'Données projet'!$E$10+1,1))</f>
        <v>233.41481265653817</v>
      </c>
      <c r="AO58" s="60">
        <f t="shared" si="36"/>
        <v>300.97465452084055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232.5</v>
      </c>
      <c r="BB58" s="13">
        <f>VLOOKUP(A58,'Données projet'!$A$87:$I$107,9,0)</f>
        <v>6.119999999999993</v>
      </c>
      <c r="BC58" s="13">
        <f t="array" ref="BC58">INDEX(BB:BB,MIN(IF(ISNUMBER(BB58:BB254),ROW(BB58:BB254),"")))</f>
        <v>6.119999999999993</v>
      </c>
      <c r="BD58" s="13">
        <f>IF('Données projet'!$A$88&gt;35,BD57+BC58-BL57,IF(A58&lt;'Données projet'!$A$88,$BA$205^A58,IF(A58='Données projet'!$A$88,'Données projet'!$B$88,BD57+BC58-BL57)))</f>
        <v>232.50000000000011</v>
      </c>
      <c r="BE58" s="14">
        <f>BD58*VLOOKUP('Données projet'!$B$11,Paramètres!$A$1:$I$89,3,0)*VLOOKUP('Données projet'!$B$11,Paramètres!$A$1:$I$89,5,0)</f>
        <v>184.97700000000009</v>
      </c>
      <c r="BF58" s="14">
        <f t="shared" si="37"/>
        <v>46.427713156194159</v>
      </c>
      <c r="BG58" s="22">
        <f t="shared" si="7"/>
        <v>403.02987541370499</v>
      </c>
      <c r="BH58" s="60">
        <f t="shared" si="8"/>
        <v>696.36320874703824</v>
      </c>
      <c r="BI58" s="60">
        <f ca="1">AVERAGE(OFFSET($BH$3,0,0,'Données projet'!$E$11+1,1))-AVERAGE(OFFSET($H$3,0,0,'Données projet'!$E$11+1,1))</f>
        <v>238.47463071449789</v>
      </c>
      <c r="BJ58" s="60">
        <f t="shared" si="38"/>
        <v>270.92950919803718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0" t="e">
        <f t="shared" si="11"/>
        <v>#N/A</v>
      </c>
      <c r="CD58" s="60" t="e">
        <f ca="1">AVERAGE(OFFSET($CC$3,0,0,'Données projet'!$E$12+1,1))-AVERAGE(OFFSET($H$3,0,0,'Données projet'!$E$12+1,1))</f>
        <v>#N/A</v>
      </c>
      <c r="CE58" s="60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0" t="e">
        <f t="shared" si="14"/>
        <v>#N/A</v>
      </c>
      <c r="CY58" s="60" t="e">
        <f ca="1">AVERAGE(OFFSET($CX$3,0,0,'Données projet'!$E$13+1,1))-AVERAGE(OFFSET($H$3,0,0,'Données projet'!$E$13+1,1))</f>
        <v>#N/A</v>
      </c>
      <c r="CZ58" s="60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0" t="e">
        <f t="shared" si="17"/>
        <v>#N/A</v>
      </c>
      <c r="DT58" s="60" t="e">
        <f ca="1">AVERAGE(OFFSET($DS$3,0,0,'Données projet'!$E$14+1,1))-AVERAGE(OFFSET($H$3,0,0,'Données projet'!$E$14+1,1))</f>
        <v>#N/A</v>
      </c>
      <c r="DU58" s="60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0" t="e">
        <f t="shared" si="20"/>
        <v>#N/A</v>
      </c>
      <c r="EO58" s="60" t="e">
        <f ca="1">AVERAGE(OFFSET($EN$3,0,0,'Données projet'!$E$15+1,1))-AVERAGE(OFFSET($H$3,0,0,'Données projet'!$E$15+1,1))</f>
        <v>#N/A</v>
      </c>
      <c r="EP58" s="60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8">
        <f t="shared" si="1"/>
        <v>354.98218203268914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427.7076923076923</v>
      </c>
      <c r="L59" s="13">
        <f>VLOOKUP(A59,'Données projet'!$A$35:$I$55,9,0)</f>
        <v>16.227472527472521</v>
      </c>
      <c r="M59" s="13">
        <f t="array" ref="M59">INDEX(L:L,MIN(IF(ISNUMBER(L59:L255),ROW(L59:L255),"")))</f>
        <v>16.227472527472521</v>
      </c>
      <c r="N59" s="14">
        <f>IF('Données projet'!$A$36&gt;35,N58+M59-V58,IF(A59&lt;'Données projet'!$A$36,$K$205^A59,IF(A59='Données projet'!$A$36,'Données projet'!$B$36,N58+M59-V58)))</f>
        <v>427.7076923076923</v>
      </c>
      <c r="O59" s="14">
        <f>N59*VLOOKUP('Données projet'!$B$9,Paramètres!$A$1:$I$89,3,0)*VLOOKUP('Données projet'!$B$9,Paramètres!$A$1:$I$89,5,0)</f>
        <v>239.08860000000001</v>
      </c>
      <c r="P59" s="14">
        <f t="shared" si="33"/>
        <v>58.243394931850105</v>
      </c>
      <c r="Q59" s="22">
        <f t="shared" si="53"/>
        <v>517.85322450630554</v>
      </c>
      <c r="R59" s="60">
        <f t="shared" si="0"/>
        <v>811.18655783963891</v>
      </c>
      <c r="S59" s="60">
        <f ca="1">AVERAGE(OFFSET($R$3,0,0,'Données projet'!$E$9+1,1))-AVERAGE(OFFSET($H$3,0,0,'Données projet'!$E$9+1,1))</f>
        <v>256.47911362806866</v>
      </c>
      <c r="T59" s="60">
        <f t="shared" si="34"/>
        <v>230.93438491511529</v>
      </c>
      <c r="U59" s="16">
        <f>IF(ISNA(VLOOKUP(A59,'Données projet'!$A$35:$I$55,3,0)),0,VLOOKUP(A59,'Données projet'!$A$35:$I$55,3,0))</f>
        <v>6</v>
      </c>
      <c r="V59" s="16">
        <f>IF(ISNA(VLOOKUP(A59,'Données projet'!$A$35:$I$55,4,0)),0,VLOOKUP(A59,'Données projet'!$A$35:$I$55,4,0))</f>
        <v>75.869230769230768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2.1276273833240724</v>
      </c>
      <c r="AB59" s="23">
        <f>EXP(-LN(2)/2)*AB58+(1-EXP(-LN(2)/2))/(LN(2)/2)*V59*Y59*VLOOKUP('Données projet'!$B$9,Paramètres!$A$1:$I$89,3,0)*0.475*44/12</f>
        <v>1.9677840608832244E-3</v>
      </c>
      <c r="AC59" s="24">
        <f t="shared" si="3"/>
        <v>2.1295951673849558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5.2</v>
      </c>
      <c r="AI59" s="14">
        <f>IF('Données projet'!$A$62&gt;35,AI58+AH59-AQ58,IF(A59&lt;'Données projet'!$A$62,$AF$205^A59,IF(A59='Données projet'!$A$62,'Données projet'!$B$62,AI58+AH59-AQ58)))</f>
        <v>199.19999999999973</v>
      </c>
      <c r="AJ59" s="14">
        <f>AI59*VLOOKUP('Données projet'!$B$10,Paramètres!$A$1:$I$89,3,0)*VLOOKUP('Données projet'!$B$10,Paramètres!$A$1:$I$89,5,0)</f>
        <v>174.0211199999998</v>
      </c>
      <c r="AK59" s="14">
        <f t="shared" si="35"/>
        <v>43.989391678613842</v>
      </c>
      <c r="AL59" s="22">
        <f t="shared" si="4"/>
        <v>379.70164117358536</v>
      </c>
      <c r="AM59" s="60">
        <f t="shared" si="5"/>
        <v>673.03497450691862</v>
      </c>
      <c r="AN59" s="60">
        <f ca="1">AVERAGE(OFFSET($AM$3,0,0,'Données projet'!$E$10+1,1))-AVERAGE(OFFSET($H$3,0,0,'Données projet'!$E$10+1,1))</f>
        <v>233.41481265653817</v>
      </c>
      <c r="AO59" s="60">
        <f t="shared" si="36"/>
        <v>300.97465452084055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5.1600000000000019</v>
      </c>
      <c r="BD59" s="13">
        <f>IF('Données projet'!$A$88&gt;35,BD58+BC59-BL58,IF(A59&lt;'Données projet'!$A$88,$BA$205^A59,IF(A59='Données projet'!$A$88,'Données projet'!$B$88,BD58+BC59-BL58)))</f>
        <v>237.66000000000011</v>
      </c>
      <c r="BE59" s="14">
        <f>BD59*VLOOKUP('Données projet'!$B$11,Paramètres!$A$1:$I$89,3,0)*VLOOKUP('Données projet'!$B$11,Paramètres!$A$1:$I$89,5,0)</f>
        <v>189.0822960000001</v>
      </c>
      <c r="BF59" s="14">
        <f t="shared" si="37"/>
        <v>47.337004389591748</v>
      </c>
      <c r="BG59" s="22">
        <f t="shared" si="7"/>
        <v>411.76361484520572</v>
      </c>
      <c r="BH59" s="60">
        <f t="shared" si="8"/>
        <v>705.09694817853904</v>
      </c>
      <c r="BI59" s="60">
        <f ca="1">AVERAGE(OFFSET($BH$3,0,0,'Données projet'!$E$11+1,1))-AVERAGE(OFFSET($H$3,0,0,'Données projet'!$E$11+1,1))</f>
        <v>238.47463071449789</v>
      </c>
      <c r="BJ59" s="60">
        <f t="shared" si="38"/>
        <v>270.92950919803718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0" t="e">
        <f t="shared" si="11"/>
        <v>#N/A</v>
      </c>
      <c r="CD59" s="60" t="e">
        <f ca="1">AVERAGE(OFFSET($CC$3,0,0,'Données projet'!$E$12+1,1))-AVERAGE(OFFSET($H$3,0,0,'Données projet'!$E$12+1,1))</f>
        <v>#N/A</v>
      </c>
      <c r="CE59" s="60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0" t="e">
        <f t="shared" si="14"/>
        <v>#N/A</v>
      </c>
      <c r="CY59" s="60" t="e">
        <f ca="1">AVERAGE(OFFSET($CX$3,0,0,'Données projet'!$E$13+1,1))-AVERAGE(OFFSET($H$3,0,0,'Données projet'!$E$13+1,1))</f>
        <v>#N/A</v>
      </c>
      <c r="CZ59" s="60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0" t="e">
        <f t="shared" si="17"/>
        <v>#N/A</v>
      </c>
      <c r="DT59" s="60" t="e">
        <f ca="1">AVERAGE(OFFSET($DS$3,0,0,'Données projet'!$E$14+1,1))-AVERAGE(OFFSET($H$3,0,0,'Données projet'!$E$14+1,1))</f>
        <v>#N/A</v>
      </c>
      <c r="DU59" s="60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0" t="e">
        <f t="shared" si="20"/>
        <v>#N/A</v>
      </c>
      <c r="EO59" s="60" t="e">
        <f ca="1">AVERAGE(OFFSET($EN$3,0,0,'Données projet'!$E$15+1,1))-AVERAGE(OFFSET($H$3,0,0,'Données projet'!$E$15+1,1))</f>
        <v>#N/A</v>
      </c>
      <c r="EP59" s="60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8">
        <f t="shared" si="1"/>
        <v>356.05218587986496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14.839560439560435</v>
      </c>
      <c r="N60" s="14">
        <f>IF('Données projet'!$A$36&gt;35,N59+M60-V59,IF(A60&lt;'Données projet'!$A$36,$K$205^A60,IF(A60='Données projet'!$A$36,'Données projet'!$B$36,N59+M60-V59)))</f>
        <v>366.678021978022</v>
      </c>
      <c r="O60" s="14">
        <f>N60*VLOOKUP('Données projet'!$B$9,Paramètres!$A$1:$I$89,3,0)*VLOOKUP('Données projet'!$B$9,Paramètres!$A$1:$I$89,5,0)</f>
        <v>204.9730142857143</v>
      </c>
      <c r="P60" s="14">
        <f t="shared" si="33"/>
        <v>50.835518579260878</v>
      </c>
      <c r="Q60" s="22">
        <f t="shared" si="53"/>
        <v>445.53319473983174</v>
      </c>
      <c r="R60" s="60">
        <f t="shared" si="0"/>
        <v>738.866528073165</v>
      </c>
      <c r="S60" s="60">
        <f ca="1">AVERAGE(OFFSET($R$3,0,0,'Données projet'!$E$9+1,1))-AVERAGE(OFFSET($H$3,0,0,'Données projet'!$E$9+1,1))</f>
        <v>256.47911362806866</v>
      </c>
      <c r="T60" s="60">
        <f t="shared" si="34"/>
        <v>230.93438491511529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2.0694473006400145</v>
      </c>
      <c r="AB60" s="23">
        <f>EXP(-LN(2)/2)*AB59+(1-EXP(-LN(2)/2))/(LN(2)/2)*V60*Y60*VLOOKUP('Données projet'!$B$9,Paramètres!$A$1:$I$89,3,0)*0.475*44/12</f>
        <v>1.3914334533613301E-3</v>
      </c>
      <c r="AC60" s="24">
        <f t="shared" si="3"/>
        <v>2.0708387340933756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5.2</v>
      </c>
      <c r="AI60" s="14">
        <f>IF('Données projet'!$A$62&gt;35,AI59+AH60-AQ59,IF(A60&lt;'Données projet'!$A$62,$AF$205^A60,IF(A60='Données projet'!$A$62,'Données projet'!$B$62,AI59+AH60-AQ59)))</f>
        <v>204.39999999999972</v>
      </c>
      <c r="AJ60" s="14">
        <f>AI60*VLOOKUP('Données projet'!$B$10,Paramètres!$A$1:$I$89,3,0)*VLOOKUP('Données projet'!$B$10,Paramètres!$A$1:$I$89,5,0)</f>
        <v>178.56383999999977</v>
      </c>
      <c r="AK60" s="14">
        <f t="shared" si="35"/>
        <v>45.00251821244251</v>
      </c>
      <c r="AL60" s="22">
        <f t="shared" si="4"/>
        <v>389.37807388667028</v>
      </c>
      <c r="AM60" s="60">
        <f t="shared" si="5"/>
        <v>682.71140722000359</v>
      </c>
      <c r="AN60" s="60">
        <f ca="1">AVERAGE(OFFSET($AM$3,0,0,'Données projet'!$E$10+1,1))-AVERAGE(OFFSET($H$3,0,0,'Données projet'!$E$10+1,1))</f>
        <v>233.41481265653817</v>
      </c>
      <c r="AO60" s="60">
        <f t="shared" si="36"/>
        <v>300.97465452084055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5.1600000000000019</v>
      </c>
      <c r="BD60" s="13">
        <f>IF('Données projet'!$A$88&gt;35,BD59+BC60-BL59,IF(A60&lt;'Données projet'!$A$88,$BA$205^A60,IF(A60='Données projet'!$A$88,'Données projet'!$B$88,BD59+BC60-BL59)))</f>
        <v>242.82000000000011</v>
      </c>
      <c r="BE60" s="14">
        <f>BD60*VLOOKUP('Données projet'!$B$11,Paramètres!$A$1:$I$89,3,0)*VLOOKUP('Données projet'!$B$11,Paramètres!$A$1:$I$89,5,0)</f>
        <v>193.18759200000011</v>
      </c>
      <c r="BF60" s="14">
        <f t="shared" si="37"/>
        <v>48.244000336014693</v>
      </c>
      <c r="BG60" s="22">
        <f t="shared" si="7"/>
        <v>420.49335665189238</v>
      </c>
      <c r="BH60" s="60">
        <f t="shared" si="8"/>
        <v>713.8266899852257</v>
      </c>
      <c r="BI60" s="60">
        <f ca="1">AVERAGE(OFFSET($BH$3,0,0,'Données projet'!$E$11+1,1))-AVERAGE(OFFSET($H$3,0,0,'Données projet'!$E$11+1,1))</f>
        <v>238.47463071449789</v>
      </c>
      <c r="BJ60" s="60">
        <f t="shared" si="38"/>
        <v>270.92950919803718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0" t="e">
        <f t="shared" si="11"/>
        <v>#N/A</v>
      </c>
      <c r="CD60" s="60" t="e">
        <f ca="1">AVERAGE(OFFSET($CC$3,0,0,'Données projet'!$E$12+1,1))-AVERAGE(OFFSET($H$3,0,0,'Données projet'!$E$12+1,1))</f>
        <v>#N/A</v>
      </c>
      <c r="CE60" s="60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0" t="e">
        <f t="shared" si="14"/>
        <v>#N/A</v>
      </c>
      <c r="CY60" s="60" t="e">
        <f ca="1">AVERAGE(OFFSET($CX$3,0,0,'Données projet'!$E$13+1,1))-AVERAGE(OFFSET($H$3,0,0,'Données projet'!$E$13+1,1))</f>
        <v>#N/A</v>
      </c>
      <c r="CZ60" s="60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0" t="e">
        <f t="shared" si="17"/>
        <v>#N/A</v>
      </c>
      <c r="DT60" s="60" t="e">
        <f ca="1">AVERAGE(OFFSET($DS$3,0,0,'Données projet'!$E$14+1,1))-AVERAGE(OFFSET($H$3,0,0,'Données projet'!$E$14+1,1))</f>
        <v>#N/A</v>
      </c>
      <c r="DU60" s="60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0" t="e">
        <f t="shared" si="20"/>
        <v>#N/A</v>
      </c>
      <c r="EO60" s="60" t="e">
        <f ca="1">AVERAGE(OFFSET($EN$3,0,0,'Données projet'!$E$15+1,1))-AVERAGE(OFFSET($H$3,0,0,'Données projet'!$E$15+1,1))</f>
        <v>#N/A</v>
      </c>
      <c r="EP60" s="60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8">
        <f t="shared" si="1"/>
        <v>357.12171588148163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14.839560439560435</v>
      </c>
      <c r="N61" s="14">
        <f>IF('Données projet'!$A$36&gt;35,N60+M61-V60,IF(A61&lt;'Données projet'!$A$36,$K$205^A61,IF(A61='Données projet'!$A$36,'Données projet'!$B$36,N60+M61-V60)))</f>
        <v>381.51758241758245</v>
      </c>
      <c r="O61" s="14">
        <f>N61*VLOOKUP('Données projet'!$B$9,Paramètres!$A$1:$I$89,3,0)*VLOOKUP('Données projet'!$B$9,Paramètres!$A$1:$I$89,5,0)</f>
        <v>213.26832857142858</v>
      </c>
      <c r="P61" s="14">
        <f t="shared" si="33"/>
        <v>52.649154508451623</v>
      </c>
      <c r="Q61" s="22">
        <f t="shared" si="53"/>
        <v>463.13961636412461</v>
      </c>
      <c r="R61" s="60">
        <f t="shared" si="0"/>
        <v>756.47294969745792</v>
      </c>
      <c r="S61" s="60">
        <f ca="1">AVERAGE(OFFSET($R$3,0,0,'Données projet'!$E$9+1,1))-AVERAGE(OFFSET($H$3,0,0,'Données projet'!$E$9+1,1))</f>
        <v>256.47911362806866</v>
      </c>
      <c r="T61" s="60">
        <f t="shared" si="34"/>
        <v>230.93438491511529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2.0128581553765095</v>
      </c>
      <c r="AB61" s="23">
        <f>EXP(-LN(2)/2)*AB60+(1-EXP(-LN(2)/2))/(LN(2)/2)*V61*Y61*VLOOKUP('Données projet'!$B$9,Paramètres!$A$1:$I$89,3,0)*0.475*44/12</f>
        <v>9.8389203044161222E-4</v>
      </c>
      <c r="AC61" s="24">
        <f t="shared" si="3"/>
        <v>2.0138420474069512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5.2</v>
      </c>
      <c r="AI61" s="14">
        <f>IF('Données projet'!$A$62&gt;35,AI60+AH61-AQ60,IF(A61&lt;'Données projet'!$A$62,$AF$205^A61,IF(A61='Données projet'!$A$62,'Données projet'!$B$62,AI60+AH61-AQ60)))</f>
        <v>209.59999999999971</v>
      </c>
      <c r="AJ61" s="14">
        <f>AI61*VLOOKUP('Données projet'!$B$10,Paramètres!$A$1:$I$89,3,0)*VLOOKUP('Données projet'!$B$10,Paramètres!$A$1:$I$89,5,0)</f>
        <v>183.10655999999977</v>
      </c>
      <c r="AK61" s="14">
        <f t="shared" si="35"/>
        <v>46.012648718992004</v>
      </c>
      <c r="AL61" s="22">
        <f t="shared" si="4"/>
        <v>399.04928851891071</v>
      </c>
      <c r="AM61" s="60">
        <f t="shared" si="5"/>
        <v>692.38262185224403</v>
      </c>
      <c r="AN61" s="60">
        <f ca="1">AVERAGE(OFFSET($AM$3,0,0,'Données projet'!$E$10+1,1))-AVERAGE(OFFSET($H$3,0,0,'Données projet'!$E$10+1,1))</f>
        <v>233.41481265653817</v>
      </c>
      <c r="AO61" s="60">
        <f t="shared" si="36"/>
        <v>300.97465452084055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5.1600000000000019</v>
      </c>
      <c r="BD61" s="13">
        <f>IF('Données projet'!$A$88&gt;35,BD60+BC61-BL60,IF(A61&lt;'Données projet'!$A$88,$BA$205^A61,IF(A61='Données projet'!$A$88,'Données projet'!$B$88,BD60+BC61-BL60)))</f>
        <v>247.9800000000001</v>
      </c>
      <c r="BE61" s="14">
        <f>BD61*VLOOKUP('Données projet'!$B$11,Paramètres!$A$1:$I$89,3,0)*VLOOKUP('Données projet'!$B$11,Paramètres!$A$1:$I$89,5,0)</f>
        <v>197.29288800000009</v>
      </c>
      <c r="BF61" s="14">
        <f t="shared" si="37"/>
        <v>49.148755389471887</v>
      </c>
      <c r="BG61" s="22">
        <f t="shared" si="7"/>
        <v>429.219195569997</v>
      </c>
      <c r="BH61" s="60">
        <f t="shared" si="8"/>
        <v>722.55252890333031</v>
      </c>
      <c r="BI61" s="60">
        <f ca="1">AVERAGE(OFFSET($BH$3,0,0,'Données projet'!$E$11+1,1))-AVERAGE(OFFSET($H$3,0,0,'Données projet'!$E$11+1,1))</f>
        <v>238.47463071449789</v>
      </c>
      <c r="BJ61" s="60">
        <f t="shared" si="38"/>
        <v>270.92950919803718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0" t="e">
        <f t="shared" si="11"/>
        <v>#N/A</v>
      </c>
      <c r="CD61" s="60" t="e">
        <f ca="1">AVERAGE(OFFSET($CC$3,0,0,'Données projet'!$E$12+1,1))-AVERAGE(OFFSET($H$3,0,0,'Données projet'!$E$12+1,1))</f>
        <v>#N/A</v>
      </c>
      <c r="CE61" s="60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0" t="e">
        <f t="shared" si="14"/>
        <v>#N/A</v>
      </c>
      <c r="CY61" s="60" t="e">
        <f ca="1">AVERAGE(OFFSET($CX$3,0,0,'Données projet'!$E$13+1,1))-AVERAGE(OFFSET($H$3,0,0,'Données projet'!$E$13+1,1))</f>
        <v>#N/A</v>
      </c>
      <c r="CZ61" s="60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0" t="e">
        <f t="shared" si="17"/>
        <v>#N/A</v>
      </c>
      <c r="DT61" s="60" t="e">
        <f ca="1">AVERAGE(OFFSET($DS$3,0,0,'Données projet'!$E$14+1,1))-AVERAGE(OFFSET($H$3,0,0,'Données projet'!$E$14+1,1))</f>
        <v>#N/A</v>
      </c>
      <c r="DU61" s="60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0" t="e">
        <f t="shared" si="20"/>
        <v>#N/A</v>
      </c>
      <c r="EO61" s="60" t="e">
        <f ca="1">AVERAGE(OFFSET($EN$3,0,0,'Données projet'!$E$15+1,1))-AVERAGE(OFFSET($H$3,0,0,'Données projet'!$E$15+1,1))</f>
        <v>#N/A</v>
      </c>
      <c r="EP61" s="60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8">
        <f t="shared" si="1"/>
        <v>358.19078115001309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14.839560439560435</v>
      </c>
      <c r="N62" s="14">
        <f>IF('Données projet'!$A$36&gt;35,N61+M62-V61,IF(A62&lt;'Données projet'!$A$36,$K$205^A62,IF(A62='Données projet'!$A$36,'Données projet'!$B$36,N61+M62-V61)))</f>
        <v>396.35714285714289</v>
      </c>
      <c r="O62" s="14">
        <f>N62*VLOOKUP('Données projet'!$B$9,Paramètres!$A$1:$I$89,3,0)*VLOOKUP('Données projet'!$B$9,Paramètres!$A$1:$I$89,5,0)</f>
        <v>221.56364285714287</v>
      </c>
      <c r="P62" s="14">
        <f t="shared" si="33"/>
        <v>54.45459555983345</v>
      </c>
      <c r="Q62" s="22">
        <f t="shared" si="53"/>
        <v>480.73176524290039</v>
      </c>
      <c r="R62" s="60">
        <f t="shared" si="0"/>
        <v>774.06509857623371</v>
      </c>
      <c r="S62" s="60">
        <f ca="1">AVERAGE(OFFSET($R$3,0,0,'Données projet'!$E$9+1,1))-AVERAGE(OFFSET($H$3,0,0,'Données projet'!$E$9+1,1))</f>
        <v>256.47911362806866</v>
      </c>
      <c r="T62" s="60">
        <f t="shared" si="34"/>
        <v>230.93438491511529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1.9578164432661289</v>
      </c>
      <c r="AB62" s="23">
        <f>EXP(-LN(2)/2)*AB61+(1-EXP(-LN(2)/2))/(LN(2)/2)*V62*Y62*VLOOKUP('Données projet'!$B$9,Paramètres!$A$1:$I$89,3,0)*0.475*44/12</f>
        <v>6.9571672668066506E-4</v>
      </c>
      <c r="AC62" s="24">
        <f t="shared" si="3"/>
        <v>1.9585121599928095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5.2</v>
      </c>
      <c r="AI62" s="14">
        <f>IF('Données projet'!$A$62&gt;35,AI61+AH62-AQ61,IF(A62&lt;'Données projet'!$A$62,$AF$205^A62,IF(A62='Données projet'!$A$62,'Données projet'!$B$62,AI61+AH62-AQ61)))</f>
        <v>214.7999999999997</v>
      </c>
      <c r="AJ62" s="14">
        <f>AI62*VLOOKUP('Données projet'!$B$10,Paramètres!$A$1:$I$89,3,0)*VLOOKUP('Données projet'!$B$10,Paramètres!$A$1:$I$89,5,0)</f>
        <v>187.64927999999975</v>
      </c>
      <c r="AK62" s="14">
        <f t="shared" si="35"/>
        <v>47.01986607656746</v>
      </c>
      <c r="AL62" s="22">
        <f t="shared" si="4"/>
        <v>408.71542941668787</v>
      </c>
      <c r="AM62" s="60">
        <f t="shared" si="5"/>
        <v>702.04876275002118</v>
      </c>
      <c r="AN62" s="60">
        <f ca="1">AVERAGE(OFFSET($AM$3,0,0,'Données projet'!$E$10+1,1))-AVERAGE(OFFSET($H$3,0,0,'Données projet'!$E$10+1,1))</f>
        <v>233.41481265653817</v>
      </c>
      <c r="AO62" s="60">
        <f t="shared" si="36"/>
        <v>300.97465452084055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5.1600000000000019</v>
      </c>
      <c r="BD62" s="13">
        <f>IF('Données projet'!$A$88&gt;35,BD61+BC62-BL61,IF(A62&lt;'Données projet'!$A$88,$BA$205^A62,IF(A62='Données projet'!$A$88,'Données projet'!$B$88,BD61+BC62-BL61)))</f>
        <v>253.1400000000001</v>
      </c>
      <c r="BE62" s="14">
        <f>BD62*VLOOKUP('Données projet'!$B$11,Paramètres!$A$1:$I$89,3,0)*VLOOKUP('Données projet'!$B$11,Paramètres!$A$1:$I$89,5,0)</f>
        <v>201.39818400000007</v>
      </c>
      <c r="BF62" s="14">
        <f t="shared" si="37"/>
        <v>50.051321550931391</v>
      </c>
      <c r="BG62" s="22">
        <f t="shared" si="7"/>
        <v>437.94122216787235</v>
      </c>
      <c r="BH62" s="60">
        <f t="shared" si="8"/>
        <v>731.27455550120567</v>
      </c>
      <c r="BI62" s="60">
        <f ca="1">AVERAGE(OFFSET($BH$3,0,0,'Données projet'!$E$11+1,1))-AVERAGE(OFFSET($H$3,0,0,'Données projet'!$E$11+1,1))</f>
        <v>238.47463071449789</v>
      </c>
      <c r="BJ62" s="60">
        <f t="shared" si="38"/>
        <v>270.92950919803718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0" t="e">
        <f t="shared" si="11"/>
        <v>#N/A</v>
      </c>
      <c r="CD62" s="60" t="e">
        <f ca="1">AVERAGE(OFFSET($CC$3,0,0,'Données projet'!$E$12+1,1))-AVERAGE(OFFSET($H$3,0,0,'Données projet'!$E$12+1,1))</f>
        <v>#N/A</v>
      </c>
      <c r="CE62" s="60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0" t="e">
        <f t="shared" si="14"/>
        <v>#N/A</v>
      </c>
      <c r="CY62" s="60" t="e">
        <f ca="1">AVERAGE(OFFSET($CX$3,0,0,'Données projet'!$E$13+1,1))-AVERAGE(OFFSET($H$3,0,0,'Données projet'!$E$13+1,1))</f>
        <v>#N/A</v>
      </c>
      <c r="CZ62" s="60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0" t="e">
        <f t="shared" si="17"/>
        <v>#N/A</v>
      </c>
      <c r="DT62" s="60" t="e">
        <f ca="1">AVERAGE(OFFSET($DS$3,0,0,'Données projet'!$E$14+1,1))-AVERAGE(OFFSET($H$3,0,0,'Données projet'!$E$14+1,1))</f>
        <v>#N/A</v>
      </c>
      <c r="DU62" s="60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0" t="e">
        <f t="shared" si="20"/>
        <v>#N/A</v>
      </c>
      <c r="EO62" s="60" t="e">
        <f ca="1">AVERAGE(OFFSET($EN$3,0,0,'Données projet'!$E$15+1,1))-AVERAGE(OFFSET($H$3,0,0,'Données projet'!$E$15+1,1))</f>
        <v>#N/A</v>
      </c>
      <c r="EP62" s="60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8">
        <f t="shared" si="1"/>
        <v>359.25939047133363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14.839560439560435</v>
      </c>
      <c r="N63" s="14">
        <f>IF('Données projet'!$A$36&gt;35,N62+M63-V62,IF(A63&lt;'Données projet'!$A$36,$K$205^A63,IF(A63='Données projet'!$A$36,'Données projet'!$B$36,N62+M63-V62)))</f>
        <v>411.19670329670333</v>
      </c>
      <c r="O63" s="14">
        <f>N63*VLOOKUP('Données projet'!$B$9,Paramètres!$A$1:$I$89,3,0)*VLOOKUP('Données projet'!$B$9,Paramètres!$A$1:$I$89,5,0)</f>
        <v>229.85895714285718</v>
      </c>
      <c r="P63" s="14">
        <f t="shared" si="33"/>
        <v>56.252183679167004</v>
      </c>
      <c r="Q63" s="22">
        <f t="shared" si="53"/>
        <v>498.31023693169209</v>
      </c>
      <c r="R63" s="60">
        <f t="shared" si="0"/>
        <v>791.64357026502535</v>
      </c>
      <c r="S63" s="60">
        <f ca="1">AVERAGE(OFFSET($R$3,0,0,'Données projet'!$E$9+1,1))-AVERAGE(OFFSET($H$3,0,0,'Données projet'!$E$9+1,1))</f>
        <v>256.47911362806866</v>
      </c>
      <c r="T63" s="60">
        <f t="shared" si="34"/>
        <v>230.93438491511529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1.9042798496679245</v>
      </c>
      <c r="AB63" s="23">
        <f>EXP(-LN(2)/2)*AB62+(1-EXP(-LN(2)/2))/(LN(2)/2)*V63*Y63*VLOOKUP('Données projet'!$B$9,Paramètres!$A$1:$I$89,3,0)*0.475*44/12</f>
        <v>4.9194601522080611E-4</v>
      </c>
      <c r="AC63" s="24">
        <f t="shared" si="3"/>
        <v>1.9047717956831454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220</v>
      </c>
      <c r="AG63" s="13">
        <f>VLOOKUP(A63,'Données projet'!$A$61:$I$81,9,0)</f>
        <v>5.2</v>
      </c>
      <c r="AH63" s="13">
        <f t="array" ref="AH63">INDEX(AG:AG,MIN(IF(ISNUMBER(AG63:AG259),ROW(AG63:AG259),"")))</f>
        <v>5.2</v>
      </c>
      <c r="AI63" s="14">
        <f>IF('Données projet'!$A$62&gt;35,AI62+AH63-AQ62,IF(A63&lt;'Données projet'!$A$62,$AF$205^A63,IF(A63='Données projet'!$A$62,'Données projet'!$B$62,AI62+AH63-AQ62)))</f>
        <v>219.99999999999969</v>
      </c>
      <c r="AJ63" s="14">
        <f>AI63*VLOOKUP('Données projet'!$B$10,Paramètres!$A$1:$I$89,3,0)*VLOOKUP('Données projet'!$B$10,Paramètres!$A$1:$I$89,5,0)</f>
        <v>192.19199999999975</v>
      </c>
      <c r="AK63" s="14">
        <f t="shared" si="35"/>
        <v>48.024248921932397</v>
      </c>
      <c r="AL63" s="22">
        <f t="shared" si="4"/>
        <v>418.37663353903184</v>
      </c>
      <c r="AM63" s="60">
        <f t="shared" si="5"/>
        <v>711.70996687236516</v>
      </c>
      <c r="AN63" s="60">
        <f ca="1">AVERAGE(OFFSET($AM$3,0,0,'Données projet'!$E$10+1,1))-AVERAGE(OFFSET($H$3,0,0,'Données projet'!$E$10+1,1))</f>
        <v>233.41481265653817</v>
      </c>
      <c r="AO63" s="60">
        <f t="shared" si="36"/>
        <v>300.97465452084055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40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258.3</v>
      </c>
      <c r="BB63" s="13">
        <f>VLOOKUP(A63,'Données projet'!$A$87:$I$107,9,0)</f>
        <v>5.1600000000000019</v>
      </c>
      <c r="BC63" s="13">
        <f t="array" ref="BC63">INDEX(BB:BB,MIN(IF(ISNUMBER(BB63:BB259),ROW(BB63:BB259),"")))</f>
        <v>5.1600000000000019</v>
      </c>
      <c r="BD63" s="13">
        <f>IF('Données projet'!$A$88&gt;35,BD62+BC63-BL62,IF(A63&lt;'Données projet'!$A$88,$BA$205^A63,IF(A63='Données projet'!$A$88,'Données projet'!$B$88,BD62+BC63-BL62)))</f>
        <v>258.30000000000013</v>
      </c>
      <c r="BE63" s="14">
        <f>BD63*VLOOKUP('Données projet'!$B$11,Paramètres!$A$1:$I$89,3,0)*VLOOKUP('Données projet'!$B$11,Paramètres!$A$1:$I$89,5,0)</f>
        <v>205.50348000000011</v>
      </c>
      <c r="BF63" s="14">
        <f t="shared" si="37"/>
        <v>50.951748580199457</v>
      </c>
      <c r="BG63" s="22">
        <f t="shared" si="7"/>
        <v>446.65952311051416</v>
      </c>
      <c r="BH63" s="60">
        <f t="shared" si="8"/>
        <v>739.99285644384747</v>
      </c>
      <c r="BI63" s="60">
        <f ca="1">AVERAGE(OFFSET($BH$3,0,0,'Données projet'!$E$11+1,1))-AVERAGE(OFFSET($H$3,0,0,'Données projet'!$E$11+1,1))</f>
        <v>238.47463071449789</v>
      </c>
      <c r="BJ63" s="60">
        <f t="shared" si="38"/>
        <v>270.92950919803718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25.200000000000003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0" t="e">
        <f t="shared" si="11"/>
        <v>#N/A</v>
      </c>
      <c r="CD63" s="60" t="e">
        <f ca="1">AVERAGE(OFFSET($CC$3,0,0,'Données projet'!$E$12+1,1))-AVERAGE(OFFSET($H$3,0,0,'Données projet'!$E$12+1,1))</f>
        <v>#N/A</v>
      </c>
      <c r="CE63" s="60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0" t="e">
        <f t="shared" si="14"/>
        <v>#N/A</v>
      </c>
      <c r="CY63" s="60" t="e">
        <f ca="1">AVERAGE(OFFSET($CX$3,0,0,'Données projet'!$E$13+1,1))-AVERAGE(OFFSET($H$3,0,0,'Données projet'!$E$13+1,1))</f>
        <v>#N/A</v>
      </c>
      <c r="CZ63" s="60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0" t="e">
        <f t="shared" si="17"/>
        <v>#N/A</v>
      </c>
      <c r="DT63" s="60" t="e">
        <f ca="1">AVERAGE(OFFSET($DS$3,0,0,'Données projet'!$E$14+1,1))-AVERAGE(OFFSET($H$3,0,0,'Données projet'!$E$14+1,1))</f>
        <v>#N/A</v>
      </c>
      <c r="DU63" s="60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0" t="e">
        <f t="shared" si="20"/>
        <v>#N/A</v>
      </c>
      <c r="EO63" s="60" t="e">
        <f ca="1">AVERAGE(OFFSET($EN$3,0,0,'Données projet'!$E$15+1,1))-AVERAGE(OFFSET($H$3,0,0,'Données projet'!$E$15+1,1))</f>
        <v>#N/A</v>
      </c>
      <c r="EP63" s="60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8">
        <f t="shared" si="1"/>
        <v>360.32755232166795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14.839560439560435</v>
      </c>
      <c r="N64" s="14">
        <f>IF('Données projet'!$A$36&gt;35,N63+M64-V63,IF(A64&lt;'Données projet'!$A$36,$K$205^A64,IF(A64='Données projet'!$A$36,'Données projet'!$B$36,N63+M64-V63)))</f>
        <v>426.03626373626378</v>
      </c>
      <c r="O64" s="14">
        <f>N64*VLOOKUP('Données projet'!$B$9,Paramètres!$A$1:$I$89,3,0)*VLOOKUP('Données projet'!$B$9,Paramètres!$A$1:$I$89,5,0)</f>
        <v>238.15427142857146</v>
      </c>
      <c r="P64" s="14">
        <f t="shared" si="33"/>
        <v>58.042234732541061</v>
      </c>
      <c r="Q64" s="22">
        <f t="shared" si="53"/>
        <v>515.87558156393777</v>
      </c>
      <c r="R64" s="60">
        <f t="shared" si="0"/>
        <v>809.20891489727114</v>
      </c>
      <c r="S64" s="60">
        <f ca="1">AVERAGE(OFFSET($R$3,0,0,'Données projet'!$E$9+1,1))-AVERAGE(OFFSET($H$3,0,0,'Données projet'!$E$9+1,1))</f>
        <v>256.47911362806866</v>
      </c>
      <c r="T64" s="60">
        <f t="shared" si="34"/>
        <v>230.93438491511529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1.8522072170370301</v>
      </c>
      <c r="AB64" s="23">
        <f>EXP(-LN(2)/2)*AB63+(1-EXP(-LN(2)/2))/(LN(2)/2)*V64*Y64*VLOOKUP('Données projet'!$B$9,Paramètres!$A$1:$I$89,3,0)*0.475*44/12</f>
        <v>3.4785836334033253E-4</v>
      </c>
      <c r="AC64" s="24">
        <f t="shared" si="3"/>
        <v>1.8525550754003703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4.5999999999999996</v>
      </c>
      <c r="AI64" s="14">
        <f>IF('Données projet'!$A$62&gt;35,AI63+AH64-AQ63,IF(A64&lt;'Données projet'!$A$62,$AF$205^A64,IF(A64='Données projet'!$A$62,'Données projet'!$B$62,AI63+AH64-AQ63)))</f>
        <v>184.59999999999968</v>
      </c>
      <c r="AJ64" s="14">
        <f>AI64*VLOOKUP('Données projet'!$B$10,Paramètres!$A$1:$I$89,3,0)*VLOOKUP('Données projet'!$B$10,Paramètres!$A$1:$I$89,5,0)</f>
        <v>161.26655999999974</v>
      </c>
      <c r="AK64" s="14">
        <f t="shared" si="35"/>
        <v>41.128060321982446</v>
      </c>
      <c r="AL64" s="22">
        <f t="shared" si="4"/>
        <v>352.50396372745234</v>
      </c>
      <c r="AM64" s="60">
        <f t="shared" si="5"/>
        <v>645.83729706078566</v>
      </c>
      <c r="AN64" s="60">
        <f ca="1">AVERAGE(OFFSET($AM$3,0,0,'Données projet'!$E$10+1,1))-AVERAGE(OFFSET($H$3,0,0,'Données projet'!$E$10+1,1))</f>
        <v>233.41481265653817</v>
      </c>
      <c r="AO64" s="60">
        <f t="shared" si="36"/>
        <v>300.97465452084055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4.3399999999999981</v>
      </c>
      <c r="BD64" s="13">
        <f>IF('Données projet'!$A$88&gt;35,BD63+BC64-BL63,IF(A64&lt;'Données projet'!$A$88,$BA$205^A64,IF(A64='Données projet'!$A$88,'Données projet'!$B$88,BD63+BC64-BL63)))</f>
        <v>237.44000000000011</v>
      </c>
      <c r="BE64" s="14">
        <f>BD64*VLOOKUP('Données projet'!$B$11,Paramètres!$A$1:$I$89,3,0)*VLOOKUP('Données projet'!$B$11,Paramètres!$A$1:$I$89,5,0)</f>
        <v>188.90726400000011</v>
      </c>
      <c r="BF64" s="14">
        <f t="shared" si="37"/>
        <v>47.298283397901834</v>
      </c>
      <c r="BG64" s="22">
        <f t="shared" si="7"/>
        <v>411.39132838467918</v>
      </c>
      <c r="BH64" s="60">
        <f t="shared" si="8"/>
        <v>704.7246617180125</v>
      </c>
      <c r="BI64" s="60">
        <f ca="1">AVERAGE(OFFSET($BH$3,0,0,'Données projet'!$E$11+1,1))-AVERAGE(OFFSET($H$3,0,0,'Données projet'!$E$11+1,1))</f>
        <v>238.47463071449789</v>
      </c>
      <c r="BJ64" s="60">
        <f t="shared" si="38"/>
        <v>270.92950919803718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0" t="e">
        <f t="shared" si="11"/>
        <v>#N/A</v>
      </c>
      <c r="CD64" s="60" t="e">
        <f ca="1">AVERAGE(OFFSET($CC$3,0,0,'Données projet'!$E$12+1,1))-AVERAGE(OFFSET($H$3,0,0,'Données projet'!$E$12+1,1))</f>
        <v>#N/A</v>
      </c>
      <c r="CE64" s="60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0" t="e">
        <f t="shared" si="14"/>
        <v>#N/A</v>
      </c>
      <c r="CY64" s="60" t="e">
        <f ca="1">AVERAGE(OFFSET($CX$3,0,0,'Données projet'!$E$13+1,1))-AVERAGE(OFFSET($H$3,0,0,'Données projet'!$E$13+1,1))</f>
        <v>#N/A</v>
      </c>
      <c r="CZ64" s="60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0" t="e">
        <f t="shared" si="17"/>
        <v>#N/A</v>
      </c>
      <c r="DT64" s="60" t="e">
        <f ca="1">AVERAGE(OFFSET($DS$3,0,0,'Données projet'!$E$14+1,1))-AVERAGE(OFFSET($H$3,0,0,'Données projet'!$E$14+1,1))</f>
        <v>#N/A</v>
      </c>
      <c r="DU64" s="60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0" t="e">
        <f t="shared" si="20"/>
        <v>#N/A</v>
      </c>
      <c r="EO64" s="60" t="e">
        <f ca="1">AVERAGE(OFFSET($EN$3,0,0,'Données projet'!$E$15+1,1))-AVERAGE(OFFSET($H$3,0,0,'Données projet'!$E$15+1,1))</f>
        <v>#N/A</v>
      </c>
      <c r="EP64" s="60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8">
        <f t="shared" si="1"/>
        <v>361.39527488339854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14.839560439560435</v>
      </c>
      <c r="N65" s="14">
        <f>IF('Données projet'!$A$36&gt;35,N64+M65-V64,IF(A65&lt;'Données projet'!$A$36,$K$205^A65,IF(A65='Données projet'!$A$36,'Données projet'!$B$36,N64+M65-V64)))</f>
        <v>440.87582417582422</v>
      </c>
      <c r="O65" s="14">
        <f>N65*VLOOKUP('Données projet'!$B$9,Paramètres!$A$1:$I$89,3,0)*VLOOKUP('Données projet'!$B$9,Paramètres!$A$1:$I$89,5,0)</f>
        <v>246.44958571428575</v>
      </c>
      <c r="P65" s="14">
        <f t="shared" si="33"/>
        <v>59.825041333918982</v>
      </c>
      <c r="Q65" s="22">
        <f t="shared" si="53"/>
        <v>533.42830877562324</v>
      </c>
      <c r="R65" s="60">
        <f t="shared" si="0"/>
        <v>826.76164210895649</v>
      </c>
      <c r="S65" s="60">
        <f ca="1">AVERAGE(OFFSET($R$3,0,0,'Données projet'!$E$9+1,1))-AVERAGE(OFFSET($H$3,0,0,'Données projet'!$E$9+1,1))</f>
        <v>256.47911362806866</v>
      </c>
      <c r="T65" s="60">
        <f t="shared" si="34"/>
        <v>230.93438491511529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1.8015585132838081</v>
      </c>
      <c r="AB65" s="23">
        <f>EXP(-LN(2)/2)*AB64+(1-EXP(-LN(2)/2))/(LN(2)/2)*V65*Y65*VLOOKUP('Données projet'!$B$9,Paramètres!$A$1:$I$89,3,0)*0.475*44/12</f>
        <v>2.4597300761040306E-4</v>
      </c>
      <c r="AC65" s="24">
        <f t="shared" si="3"/>
        <v>1.8018044862914184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4.5999999999999996</v>
      </c>
      <c r="AI65" s="14">
        <f>IF('Données projet'!$A$62&gt;35,AI64+AH65-AQ64,IF(A65&lt;'Données projet'!$A$62,$AF$205^A65,IF(A65='Données projet'!$A$62,'Données projet'!$B$62,AI64+AH65-AQ64)))</f>
        <v>189.19999999999968</v>
      </c>
      <c r="AJ65" s="14">
        <f>AI65*VLOOKUP('Données projet'!$B$10,Paramètres!$A$1:$I$89,3,0)*VLOOKUP('Données projet'!$B$10,Paramètres!$A$1:$I$89,5,0)</f>
        <v>165.28511999999975</v>
      </c>
      <c r="AK65" s="14">
        <f t="shared" si="35"/>
        <v>42.0323249466717</v>
      </c>
      <c r="AL65" s="22">
        <f t="shared" si="4"/>
        <v>361.07788328211944</v>
      </c>
      <c r="AM65" s="60">
        <f t="shared" si="5"/>
        <v>654.41121661545276</v>
      </c>
      <c r="AN65" s="60">
        <f ca="1">AVERAGE(OFFSET($AM$3,0,0,'Données projet'!$E$10+1,1))-AVERAGE(OFFSET($H$3,0,0,'Données projet'!$E$10+1,1))</f>
        <v>233.41481265653817</v>
      </c>
      <c r="AO65" s="60">
        <f t="shared" si="36"/>
        <v>300.97465452084055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4.3399999999999981</v>
      </c>
      <c r="BD65" s="13">
        <f>IF('Données projet'!$A$88&gt;35,BD64+BC65-BL64,IF(A65&lt;'Données projet'!$A$88,$BA$205^A65,IF(A65='Données projet'!$A$88,'Données projet'!$B$88,BD64+BC65-BL64)))</f>
        <v>241.78000000000011</v>
      </c>
      <c r="BE65" s="14">
        <f>BD65*VLOOKUP('Données projet'!$B$11,Paramètres!$A$1:$I$89,3,0)*VLOOKUP('Données projet'!$B$11,Paramètres!$A$1:$I$89,5,0)</f>
        <v>192.3601680000001</v>
      </c>
      <c r="BF65" s="14">
        <f t="shared" si="37"/>
        <v>48.061376979759274</v>
      </c>
      <c r="BG65" s="22">
        <f t="shared" si="7"/>
        <v>418.73419083974755</v>
      </c>
      <c r="BH65" s="60">
        <f t="shared" si="8"/>
        <v>712.06752417308087</v>
      </c>
      <c r="BI65" s="60">
        <f ca="1">AVERAGE(OFFSET($BH$3,0,0,'Données projet'!$E$11+1,1))-AVERAGE(OFFSET($H$3,0,0,'Données projet'!$E$11+1,1))</f>
        <v>238.47463071449789</v>
      </c>
      <c r="BJ65" s="60">
        <f t="shared" si="38"/>
        <v>270.92950919803718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0" t="e">
        <f t="shared" si="11"/>
        <v>#N/A</v>
      </c>
      <c r="CD65" s="60" t="e">
        <f ca="1">AVERAGE(OFFSET($CC$3,0,0,'Données projet'!$E$12+1,1))-AVERAGE(OFFSET($H$3,0,0,'Données projet'!$E$12+1,1))</f>
        <v>#N/A</v>
      </c>
      <c r="CE65" s="60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0" t="e">
        <f t="shared" si="14"/>
        <v>#N/A</v>
      </c>
      <c r="CY65" s="60" t="e">
        <f ca="1">AVERAGE(OFFSET($CX$3,0,0,'Données projet'!$E$13+1,1))-AVERAGE(OFFSET($H$3,0,0,'Données projet'!$E$13+1,1))</f>
        <v>#N/A</v>
      </c>
      <c r="CZ65" s="60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0" t="e">
        <f t="shared" si="17"/>
        <v>#N/A</v>
      </c>
      <c r="DT65" s="60" t="e">
        <f ca="1">AVERAGE(OFFSET($DS$3,0,0,'Données projet'!$E$14+1,1))-AVERAGE(OFFSET($H$3,0,0,'Données projet'!$E$14+1,1))</f>
        <v>#N/A</v>
      </c>
      <c r="DU65" s="60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0" t="e">
        <f t="shared" si="20"/>
        <v>#N/A</v>
      </c>
      <c r="EO65" s="60" t="e">
        <f ca="1">AVERAGE(OFFSET($EN$3,0,0,'Données projet'!$E$15+1,1))-AVERAGE(OFFSET($H$3,0,0,'Données projet'!$E$15+1,1))</f>
        <v>#N/A</v>
      </c>
      <c r="EP65" s="60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8">
        <f t="shared" si="1"/>
        <v>362.46256605982404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455.71538461538455</v>
      </c>
      <c r="L66" s="13">
        <f>VLOOKUP(A66,'Données projet'!$A$35:$I$55,9,0)</f>
        <v>14.839560439560435</v>
      </c>
      <c r="M66" s="13">
        <f t="array" ref="M66">INDEX(L:L,MIN(IF(ISNUMBER(L66:L262),ROW(L66:L262),"")))</f>
        <v>14.839560439560435</v>
      </c>
      <c r="N66" s="14">
        <f>IF('Données projet'!$A$36&gt;35,N65+M66-V65,IF(A66&lt;'Données projet'!$A$36,$K$205^A66,IF(A66='Données projet'!$A$36,'Données projet'!$B$36,N65+M66-V65)))</f>
        <v>455.71538461538466</v>
      </c>
      <c r="O66" s="14">
        <f>N66*VLOOKUP('Données projet'!$B$9,Paramètres!$A$1:$I$89,3,0)*VLOOKUP('Données projet'!$B$9,Paramètres!$A$1:$I$89,5,0)</f>
        <v>254.74490000000003</v>
      </c>
      <c r="P66" s="14">
        <f t="shared" si="33"/>
        <v>61.600875281297732</v>
      </c>
      <c r="Q66" s="22">
        <f t="shared" si="53"/>
        <v>550.96889194826019</v>
      </c>
      <c r="R66" s="60">
        <f t="shared" si="0"/>
        <v>844.30222528159356</v>
      </c>
      <c r="S66" s="60">
        <f ca="1">AVERAGE(OFFSET($R$3,0,0,'Données projet'!$E$9+1,1))-AVERAGE(OFFSET($H$3,0,0,'Données projet'!$E$9+1,1))</f>
        <v>256.47911362806866</v>
      </c>
      <c r="T66" s="60">
        <f t="shared" si="34"/>
        <v>230.93438491511529</v>
      </c>
      <c r="U66" s="16">
        <f>IF(ISNA(VLOOKUP(A66,'Données projet'!$A$35:$I$55,3,0)),0,VLOOKUP(A66,'Données projet'!$A$35:$I$55,3,0))</f>
        <v>7</v>
      </c>
      <c r="V66" s="16">
        <f>IF(ISNA(VLOOKUP(A66,'Données projet'!$A$35:$I$55,4,0)),0,VLOOKUP(A66,'Données projet'!$A$35:$I$55,4,0))</f>
        <v>79.723076923076917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1.7522948009982178</v>
      </c>
      <c r="AB66" s="23">
        <f>EXP(-LN(2)/2)*AB65+(1-EXP(-LN(2)/2))/(LN(2)/2)*V66*Y66*VLOOKUP('Données projet'!$B$9,Paramètres!$A$1:$I$89,3,0)*0.475*44/12</f>
        <v>1.7392918167016626E-4</v>
      </c>
      <c r="AC66" s="24">
        <f t="shared" si="3"/>
        <v>1.752468730179888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4.5999999999999996</v>
      </c>
      <c r="AI66" s="14">
        <f>IF('Données projet'!$A$62&gt;35,AI65+AH66-AQ65,IF(A66&lt;'Données projet'!$A$62,$AF$205^A66,IF(A66='Données projet'!$A$62,'Données projet'!$B$62,AI65+AH66-AQ65)))</f>
        <v>193.79999999999967</v>
      </c>
      <c r="AJ66" s="14">
        <f>AI66*VLOOKUP('Données projet'!$B$10,Paramètres!$A$1:$I$89,3,0)*VLOOKUP('Données projet'!$B$10,Paramètres!$A$1:$I$89,5,0)</f>
        <v>169.30367999999973</v>
      </c>
      <c r="AK66" s="14">
        <f t="shared" si="35"/>
        <v>42.934033834973178</v>
      </c>
      <c r="AL66" s="22">
        <f t="shared" si="4"/>
        <v>369.64735159591118</v>
      </c>
      <c r="AM66" s="60">
        <f t="shared" si="5"/>
        <v>662.98068492924449</v>
      </c>
      <c r="AN66" s="60">
        <f ca="1">AVERAGE(OFFSET($AM$3,0,0,'Données projet'!$E$10+1,1))-AVERAGE(OFFSET($H$3,0,0,'Données projet'!$E$10+1,1))</f>
        <v>233.41481265653817</v>
      </c>
      <c r="AO66" s="60">
        <f t="shared" si="36"/>
        <v>300.97465452084055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4.3399999999999981</v>
      </c>
      <c r="BD66" s="13">
        <f>IF('Données projet'!$A$88&gt;35,BD65+BC66-BL65,IF(A66&lt;'Données projet'!$A$88,$BA$205^A66,IF(A66='Données projet'!$A$88,'Données projet'!$B$88,BD65+BC66-BL65)))</f>
        <v>246.12000000000012</v>
      </c>
      <c r="BE66" s="14">
        <f>BD66*VLOOKUP('Données projet'!$B$11,Paramètres!$A$1:$I$89,3,0)*VLOOKUP('Données projet'!$B$11,Paramètres!$A$1:$I$89,5,0)</f>
        <v>195.81307200000012</v>
      </c>
      <c r="BF66" s="14">
        <f t="shared" si="37"/>
        <v>48.822877725242478</v>
      </c>
      <c r="BG66" s="22">
        <f t="shared" si="7"/>
        <v>426.07427910479754</v>
      </c>
      <c r="BH66" s="60">
        <f t="shared" si="8"/>
        <v>719.40761243813085</v>
      </c>
      <c r="BI66" s="60">
        <f ca="1">AVERAGE(OFFSET($BH$3,0,0,'Données projet'!$E$11+1,1))-AVERAGE(OFFSET($H$3,0,0,'Données projet'!$E$11+1,1))</f>
        <v>238.47463071449789</v>
      </c>
      <c r="BJ66" s="60">
        <f t="shared" si="38"/>
        <v>270.92950919803718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0" t="e">
        <f t="shared" si="11"/>
        <v>#N/A</v>
      </c>
      <c r="CD66" s="60" t="e">
        <f ca="1">AVERAGE(OFFSET($CC$3,0,0,'Données projet'!$E$12+1,1))-AVERAGE(OFFSET($H$3,0,0,'Données projet'!$E$12+1,1))</f>
        <v>#N/A</v>
      </c>
      <c r="CE66" s="60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0" t="e">
        <f t="shared" si="14"/>
        <v>#N/A</v>
      </c>
      <c r="CY66" s="60" t="e">
        <f ca="1">AVERAGE(OFFSET($CX$3,0,0,'Données projet'!$E$13+1,1))-AVERAGE(OFFSET($H$3,0,0,'Données projet'!$E$13+1,1))</f>
        <v>#N/A</v>
      </c>
      <c r="CZ66" s="60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0" t="e">
        <f t="shared" si="17"/>
        <v>#N/A</v>
      </c>
      <c r="DT66" s="60" t="e">
        <f ca="1">AVERAGE(OFFSET($DS$3,0,0,'Données projet'!$E$14+1,1))-AVERAGE(OFFSET($H$3,0,0,'Données projet'!$E$14+1,1))</f>
        <v>#N/A</v>
      </c>
      <c r="DU66" s="60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0" t="e">
        <f t="shared" si="20"/>
        <v>#N/A</v>
      </c>
      <c r="EO66" s="60" t="e">
        <f ca="1">AVERAGE(OFFSET($EN$3,0,0,'Données projet'!$E$15+1,1))-AVERAGE(OFFSET($H$3,0,0,'Données projet'!$E$15+1,1))</f>
        <v>#N/A</v>
      </c>
      <c r="EP66" s="60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8">
        <f t="shared" si="1"/>
        <v>363.52943348895451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13.373076923076932</v>
      </c>
      <c r="N67" s="14">
        <f>IF('Données projet'!$A$36&gt;35,N66+M67-V66,IF(A67&lt;'Données projet'!$A$36,$K$205^A67,IF(A67='Données projet'!$A$36,'Données projet'!$B$36,N66+M67-V66)))</f>
        <v>389.3653846153847</v>
      </c>
      <c r="O67" s="14">
        <f>N67*VLOOKUP('Données projet'!$B$9,Paramètres!$A$1:$I$89,3,0)*VLOOKUP('Données projet'!$B$9,Paramètres!$A$1:$I$89,5,0)</f>
        <v>217.65525000000002</v>
      </c>
      <c r="P67" s="14">
        <f t="shared" si="33"/>
        <v>53.604948518581054</v>
      </c>
      <c r="Q67" s="22">
        <f t="shared" ref="Q67:Q98" si="54">(O67+P67)*0.475*44/12</f>
        <v>472.44484575319535</v>
      </c>
      <c r="R67" s="60">
        <f t="shared" ref="R67:R130" si="55">Q67+(I67+J67)*44/12</f>
        <v>765.77817908652867</v>
      </c>
      <c r="S67" s="60">
        <f ca="1">AVERAGE(OFFSET($R$3,0,0,'Données projet'!$E$9+1,1))-AVERAGE(OFFSET($H$3,0,0,'Données projet'!$E$9+1,1))</f>
        <v>256.47911362806866</v>
      </c>
      <c r="T67" s="60">
        <f t="shared" si="34"/>
        <v>230.93438491511529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1.7043782075157428</v>
      </c>
      <c r="AB67" s="23">
        <f>EXP(-LN(2)/2)*AB66+(1-EXP(-LN(2)/2))/(LN(2)/2)*V67*Y67*VLOOKUP('Données projet'!$B$9,Paramètres!$A$1:$I$89,3,0)*0.475*44/12</f>
        <v>1.2298650380520153E-4</v>
      </c>
      <c r="AC67" s="24">
        <f t="shared" si="3"/>
        <v>1.704501194019548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4.5999999999999996</v>
      </c>
      <c r="AI67" s="14">
        <f>IF('Données projet'!$A$62&gt;35,AI66+AH67-AQ66,IF(A67&lt;'Données projet'!$A$62,$AF$205^A67,IF(A67='Données projet'!$A$62,'Données projet'!$B$62,AI66+AH67-AQ66)))</f>
        <v>198.39999999999966</v>
      </c>
      <c r="AJ67" s="14">
        <f>AI67*VLOOKUP('Données projet'!$B$10,Paramètres!$A$1:$I$89,3,0)*VLOOKUP('Données projet'!$B$10,Paramètres!$A$1:$I$89,5,0)</f>
        <v>173.32223999999974</v>
      </c>
      <c r="AK67" s="14">
        <f t="shared" si="35"/>
        <v>43.833254629845044</v>
      </c>
      <c r="AL67" s="22">
        <f t="shared" si="4"/>
        <v>378.21248648031298</v>
      </c>
      <c r="AM67" s="60">
        <f t="shared" si="5"/>
        <v>671.54581981364629</v>
      </c>
      <c r="AN67" s="60">
        <f ca="1">AVERAGE(OFFSET($AM$3,0,0,'Données projet'!$E$10+1,1))-AVERAGE(OFFSET($H$3,0,0,'Données projet'!$E$10+1,1))</f>
        <v>233.41481265653817</v>
      </c>
      <c r="AO67" s="60">
        <f t="shared" si="36"/>
        <v>300.97465452084055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4.3399999999999981</v>
      </c>
      <c r="BD67" s="13">
        <f>IF('Données projet'!$A$88&gt;35,BD66+BC67-BL66,IF(A67&lt;'Données projet'!$A$88,$BA$205^A67,IF(A67='Données projet'!$A$88,'Données projet'!$B$88,BD66+BC67-BL66)))</f>
        <v>250.46000000000012</v>
      </c>
      <c r="BE67" s="14">
        <f>BD67*VLOOKUP('Données projet'!$B$11,Paramètres!$A$1:$I$89,3,0)*VLOOKUP('Données projet'!$B$11,Paramètres!$A$1:$I$89,5,0)</f>
        <v>199.26597600000011</v>
      </c>
      <c r="BF67" s="14">
        <f t="shared" si="37"/>
        <v>49.582816962415684</v>
      </c>
      <c r="BG67" s="22">
        <f t="shared" si="7"/>
        <v>433.4116477428741</v>
      </c>
      <c r="BH67" s="60">
        <f t="shared" si="8"/>
        <v>726.74498107620741</v>
      </c>
      <c r="BI67" s="60">
        <f ca="1">AVERAGE(OFFSET($BH$3,0,0,'Données projet'!$E$11+1,1))-AVERAGE(OFFSET($H$3,0,0,'Données projet'!$E$11+1,1))</f>
        <v>238.47463071449789</v>
      </c>
      <c r="BJ67" s="60">
        <f t="shared" si="38"/>
        <v>270.92950919803718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0" t="e">
        <f t="shared" si="11"/>
        <v>#N/A</v>
      </c>
      <c r="CD67" s="60" t="e">
        <f ca="1">AVERAGE(OFFSET($CC$3,0,0,'Données projet'!$E$12+1,1))-AVERAGE(OFFSET($H$3,0,0,'Données projet'!$E$12+1,1))</f>
        <v>#N/A</v>
      </c>
      <c r="CE67" s="60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0" t="e">
        <f t="shared" si="14"/>
        <v>#N/A</v>
      </c>
      <c r="CY67" s="60" t="e">
        <f ca="1">AVERAGE(OFFSET($CX$3,0,0,'Données projet'!$E$13+1,1))-AVERAGE(OFFSET($H$3,0,0,'Données projet'!$E$13+1,1))</f>
        <v>#N/A</v>
      </c>
      <c r="CZ67" s="60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0" t="e">
        <f t="shared" si="17"/>
        <v>#N/A</v>
      </c>
      <c r="DT67" s="60" t="e">
        <f ca="1">AVERAGE(OFFSET($DS$3,0,0,'Données projet'!$E$14+1,1))-AVERAGE(OFFSET($H$3,0,0,'Données projet'!$E$14+1,1))</f>
        <v>#N/A</v>
      </c>
      <c r="DU67" s="60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0" t="e">
        <f t="shared" si="20"/>
        <v>#N/A</v>
      </c>
      <c r="EO67" s="60" t="e">
        <f ca="1">AVERAGE(OFFSET($EN$3,0,0,'Données projet'!$E$15+1,1))-AVERAGE(OFFSET($H$3,0,0,'Données projet'!$E$15+1,1))</f>
        <v>#N/A</v>
      </c>
      <c r="EP67" s="60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8">
        <f t="shared" ref="H68:H131" si="56">(B68+E68+F68)*44/12+(C68+D68)*0.475*44/12</f>
        <v>364.59588455641932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13.373076923076932</v>
      </c>
      <c r="N68" s="14">
        <f>IF('Données projet'!$A$36&gt;35,N67+M68-V67,IF(A68&lt;'Données projet'!$A$36,$K$205^A68,IF(A68='Données projet'!$A$36,'Données projet'!$B$36,N67+M68-V67)))</f>
        <v>402.73846153846165</v>
      </c>
      <c r="O68" s="14">
        <f>N68*VLOOKUP('Données projet'!$B$9,Paramètres!$A$1:$I$89,3,0)*VLOOKUP('Données projet'!$B$9,Paramètres!$A$1:$I$89,5,0)</f>
        <v>225.13080000000008</v>
      </c>
      <c r="P68" s="14">
        <f t="shared" si="33"/>
        <v>55.228539095259954</v>
      </c>
      <c r="Q68" s="22">
        <f t="shared" si="54"/>
        <v>488.29251559091125</v>
      </c>
      <c r="R68" s="60">
        <f t="shared" si="55"/>
        <v>781.62584892424456</v>
      </c>
      <c r="S68" s="60">
        <f ca="1">AVERAGE(OFFSET($R$3,0,0,'Données projet'!$E$9+1,1))-AVERAGE(OFFSET($H$3,0,0,'Données projet'!$E$9+1,1))</f>
        <v>256.47911362806866</v>
      </c>
      <c r="T68" s="60">
        <f t="shared" si="34"/>
        <v>230.93438491511529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1.6577718958018703</v>
      </c>
      <c r="AB68" s="23">
        <f>EXP(-LN(2)/2)*AB67+(1-EXP(-LN(2)/2))/(LN(2)/2)*V68*Y68*VLOOKUP('Données projet'!$B$9,Paramètres!$A$1:$I$89,3,0)*0.475*44/12</f>
        <v>8.6964590835083132E-5</v>
      </c>
      <c r="AC68" s="24">
        <f t="shared" ref="AC68:AC131" si="57">SUM(Z68:AB68)</f>
        <v>1.6578588603927054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203</v>
      </c>
      <c r="AG68" s="13">
        <f>VLOOKUP(A68,'Données projet'!$A$61:$I$81,9,0)</f>
        <v>4.5999999999999996</v>
      </c>
      <c r="AH68" s="13">
        <f t="array" ref="AH68">INDEX(AG:AG,MIN(IF(ISNUMBER(AG68:AG264),ROW(AG68:AG264),"")))</f>
        <v>4.5999999999999996</v>
      </c>
      <c r="AI68" s="14">
        <f>IF('Données projet'!$A$62&gt;35,AI67+AH68-AQ67,IF(A68&lt;'Données projet'!$A$62,$AF$205^A68,IF(A68='Données projet'!$A$62,'Données projet'!$B$62,AI67+AH68-AQ67)))</f>
        <v>202.99999999999966</v>
      </c>
      <c r="AJ68" s="14">
        <f>AI68*VLOOKUP('Données projet'!$B$10,Paramètres!$A$1:$I$89,3,0)*VLOOKUP('Données projet'!$B$10,Paramètres!$A$1:$I$89,5,0)</f>
        <v>177.34079999999972</v>
      </c>
      <c r="AK68" s="14">
        <f t="shared" si="35"/>
        <v>44.730051658603024</v>
      </c>
      <c r="AL68" s="22">
        <f t="shared" ref="AL68:AL131" si="58">(AJ68+AK68)*0.475*44/12</f>
        <v>386.77339997206644</v>
      </c>
      <c r="AM68" s="60">
        <f t="shared" ref="AM68:AM131" si="59">AL68+(AD68+AE68)*44/12</f>
        <v>680.10673330539976</v>
      </c>
      <c r="AN68" s="60">
        <f ca="1">AVERAGE(OFFSET($AM$3,0,0,'Données projet'!$E$10+1,1))-AVERAGE(OFFSET($H$3,0,0,'Données projet'!$E$10+1,1))</f>
        <v>233.41481265653817</v>
      </c>
      <c r="AO68" s="60">
        <f t="shared" si="36"/>
        <v>300.97465452084055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254.8</v>
      </c>
      <c r="BB68" s="13">
        <f>VLOOKUP(A68,'Données projet'!$A$87:$I$107,9,0)</f>
        <v>4.3399999999999981</v>
      </c>
      <c r="BC68" s="13">
        <f t="array" ref="BC68">INDEX(BB:BB,MIN(IF(ISNUMBER(BB68:BB264),ROW(BB68:BB264),"")))</f>
        <v>4.3399999999999981</v>
      </c>
      <c r="BD68" s="13">
        <f>IF('Données projet'!$A$88&gt;35,BD67+BC68-BL67,IF(A68&lt;'Données projet'!$A$88,$BA$205^A68,IF(A68='Données projet'!$A$88,'Données projet'!$B$88,BD67+BC68-BL67)))</f>
        <v>254.80000000000013</v>
      </c>
      <c r="BE68" s="14">
        <f>BD68*VLOOKUP('Données projet'!$B$11,Paramètres!$A$1:$I$89,3,0)*VLOOKUP('Données projet'!$B$11,Paramètres!$A$1:$I$89,5,0)</f>
        <v>202.7188800000001</v>
      </c>
      <c r="BF68" s="14">
        <f t="shared" si="37"/>
        <v>50.341224871428125</v>
      </c>
      <c r="BG68" s="22">
        <f t="shared" ref="BG68:BG131" si="61">(BE68+BF68)*0.475*44/12</f>
        <v>440.7463493177375</v>
      </c>
      <c r="BH68" s="60">
        <f t="shared" ref="BH68:BH131" si="62">BG68+(AY68+AZ68)*44/12</f>
        <v>734.07968265107081</v>
      </c>
      <c r="BI68" s="60">
        <f ca="1">AVERAGE(OFFSET($BH$3,0,0,'Données projet'!$E$11+1,1))-AVERAGE(OFFSET($H$3,0,0,'Données projet'!$E$11+1,1))</f>
        <v>238.47463071449789</v>
      </c>
      <c r="BJ68" s="60">
        <f t="shared" si="38"/>
        <v>270.92950919803718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0" t="e">
        <f t="shared" ref="CC68:CC131" si="65">CB68+(BT68+BU68)*44/12</f>
        <v>#N/A</v>
      </c>
      <c r="CD68" s="60" t="e">
        <f ca="1">AVERAGE(OFFSET($CC$3,0,0,'Données projet'!$E$12+1,1))-AVERAGE(OFFSET($H$3,0,0,'Données projet'!$E$12+1,1))</f>
        <v>#N/A</v>
      </c>
      <c r="CE68" s="60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0" t="e">
        <f t="shared" ref="CX68:CX131" si="68">CW68+(CO68+CP68)*44/12</f>
        <v>#N/A</v>
      </c>
      <c r="CY68" s="60" t="e">
        <f ca="1">AVERAGE(OFFSET($CX$3,0,0,'Données projet'!$E$13+1,1))-AVERAGE(OFFSET($H$3,0,0,'Données projet'!$E$13+1,1))</f>
        <v>#N/A</v>
      </c>
      <c r="CZ68" s="60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0" t="e">
        <f t="shared" ref="DS68:DS131" si="71">DR68+(DJ68+DK68)*44/12</f>
        <v>#N/A</v>
      </c>
      <c r="DT68" s="60" t="e">
        <f ca="1">AVERAGE(OFFSET($DS$3,0,0,'Données projet'!$E$14+1,1))-AVERAGE(OFFSET($H$3,0,0,'Données projet'!$E$14+1,1))</f>
        <v>#N/A</v>
      </c>
      <c r="DU68" s="60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0" t="e">
        <f t="shared" ref="EN68:EN131" si="74">EM68+(EE68+EF68)*44/12</f>
        <v>#N/A</v>
      </c>
      <c r="EO68" s="60" t="e">
        <f ca="1">AVERAGE(OFFSET($EN$3,0,0,'Données projet'!$E$15+1,1))-AVERAGE(OFFSET($H$3,0,0,'Données projet'!$E$15+1,1))</f>
        <v>#N/A</v>
      </c>
      <c r="EP68" s="60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8">
        <f t="shared" si="56"/>
        <v>365.66192640755855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13.373076923076932</v>
      </c>
      <c r="N69" s="14">
        <f>IF('Données projet'!$A$36&gt;35,N68+M69-V68,IF(A69&lt;'Données projet'!$A$36,$K$205^A69,IF(A69='Données projet'!$A$36,'Données projet'!$B$36,N68+M69-V68)))</f>
        <v>416.1115384615386</v>
      </c>
      <c r="O69" s="14">
        <f>N69*VLOOKUP('Données projet'!$B$9,Paramètres!$A$1:$I$89,3,0)*VLOOKUP('Données projet'!$B$9,Paramètres!$A$1:$I$89,5,0)</f>
        <v>232.60635000000008</v>
      </c>
      <c r="P69" s="14">
        <f t="shared" ref="P69:P132" si="87">EXP(-1.0587+0.8836*LN(O69)+0.284)</f>
        <v>56.845865220702599</v>
      </c>
      <c r="Q69" s="22">
        <f t="shared" si="54"/>
        <v>504.12927484272382</v>
      </c>
      <c r="R69" s="60">
        <f t="shared" si="55"/>
        <v>797.46260817605707</v>
      </c>
      <c r="S69" s="60">
        <f ca="1">AVERAGE(OFFSET($R$3,0,0,'Données projet'!$E$9+1,1))-AVERAGE(OFFSET($H$3,0,0,'Données projet'!$E$9+1,1))</f>
        <v>256.47911362806866</v>
      </c>
      <c r="T69" s="60">
        <f t="shared" ref="T69:T132" si="88">$T$3</f>
        <v>230.93438491511529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1.6124400361327331</v>
      </c>
      <c r="AB69" s="23">
        <f>EXP(-LN(2)/2)*AB68+(1-EXP(-LN(2)/2))/(LN(2)/2)*V69*Y69*VLOOKUP('Données projet'!$B$9,Paramètres!$A$1:$I$89,3,0)*0.475*44/12</f>
        <v>6.1493251902600764E-5</v>
      </c>
      <c r="AC69" s="24">
        <f t="shared" si="57"/>
        <v>1.6125015293846356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</v>
      </c>
      <c r="AI69" s="14">
        <f>IF('Données projet'!$A$62&gt;35,AI68+AH69-AQ68,IF(A69&lt;'Données projet'!$A$62,$AF$205^A69,IF(A69='Données projet'!$A$62,'Données projet'!$B$62,AI68+AH69-AQ68)))</f>
        <v>206.99999999999966</v>
      </c>
      <c r="AJ69" s="14">
        <f>AI69*VLOOKUP('Données projet'!$B$10,Paramètres!$A$1:$I$89,3,0)*VLOOKUP('Données projet'!$B$10,Paramètres!$A$1:$I$89,5,0)</f>
        <v>180.83519999999973</v>
      </c>
      <c r="AK69" s="14">
        <f t="shared" ref="AK69:AK132" si="89">EXP(-1.0587+0.8836*LN(AJ69)+0.284)</f>
        <v>45.507952685945057</v>
      </c>
      <c r="AL69" s="22">
        <f t="shared" si="58"/>
        <v>394.21432426135385</v>
      </c>
      <c r="AM69" s="60">
        <f t="shared" si="59"/>
        <v>687.54765759468717</v>
      </c>
      <c r="AN69" s="60">
        <f ca="1">AVERAGE(OFFSET($AM$3,0,0,'Données projet'!$E$10+1,1))-AVERAGE(OFFSET($H$3,0,0,'Données projet'!$E$10+1,1))</f>
        <v>233.41481265653817</v>
      </c>
      <c r="AO69" s="60">
        <f t="shared" ref="AO69:AO132" si="90">$AO$3</f>
        <v>300.97465452084055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3.7599999999999909</v>
      </c>
      <c r="BD69" s="13">
        <f>IF('Données projet'!$A$88&gt;35,BD68+BC69-BL68,IF(A69&lt;'Données projet'!$A$88,$BA$205^A69,IF(A69='Données projet'!$A$88,'Données projet'!$B$88,BD68+BC69-BL68)))</f>
        <v>258.56000000000012</v>
      </c>
      <c r="BE69" s="14">
        <f>BD69*VLOOKUP('Données projet'!$B$11,Paramètres!$A$1:$I$89,3,0)*VLOOKUP('Données projet'!$B$11,Paramètres!$A$1:$I$89,5,0)</f>
        <v>205.7103360000001</v>
      </c>
      <c r="BF69" s="14">
        <f t="shared" ref="BF69:BF132" si="91">EXP(-1.0587+0.8836*LN(BE69)+0.284)</f>
        <v>50.99706319664395</v>
      </c>
      <c r="BG69" s="22">
        <f t="shared" si="61"/>
        <v>447.09872026748832</v>
      </c>
      <c r="BH69" s="60">
        <f t="shared" si="62"/>
        <v>740.43205360082163</v>
      </c>
      <c r="BI69" s="60">
        <f ca="1">AVERAGE(OFFSET($BH$3,0,0,'Données projet'!$E$11+1,1))-AVERAGE(OFFSET($H$3,0,0,'Données projet'!$E$11+1,1))</f>
        <v>238.47463071449789</v>
      </c>
      <c r="BJ69" s="60">
        <f t="shared" ref="BJ69:BJ132" si="92">$BJ$3</f>
        <v>270.92950919803718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0" t="e">
        <f t="shared" si="65"/>
        <v>#N/A</v>
      </c>
      <c r="CD69" s="60" t="e">
        <f ca="1">AVERAGE(OFFSET($CC$3,0,0,'Données projet'!$E$12+1,1))-AVERAGE(OFFSET($H$3,0,0,'Données projet'!$E$12+1,1))</f>
        <v>#N/A</v>
      </c>
      <c r="CE69" s="60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0" t="e">
        <f t="shared" si="68"/>
        <v>#N/A</v>
      </c>
      <c r="CY69" s="60" t="e">
        <f ca="1">AVERAGE(OFFSET($CX$3,0,0,'Données projet'!$E$13+1,1))-AVERAGE(OFFSET($H$3,0,0,'Données projet'!$E$13+1,1))</f>
        <v>#N/A</v>
      </c>
      <c r="CZ69" s="60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0" t="e">
        <f t="shared" si="71"/>
        <v>#N/A</v>
      </c>
      <c r="DT69" s="60" t="e">
        <f ca="1">AVERAGE(OFFSET($DS$3,0,0,'Données projet'!$E$14+1,1))-AVERAGE(OFFSET($H$3,0,0,'Données projet'!$E$14+1,1))</f>
        <v>#N/A</v>
      </c>
      <c r="DU69" s="60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0" t="e">
        <f t="shared" si="74"/>
        <v>#N/A</v>
      </c>
      <c r="EO69" s="60" t="e">
        <f ca="1">AVERAGE(OFFSET($EN$3,0,0,'Données projet'!$E$15+1,1))-AVERAGE(OFFSET($H$3,0,0,'Données projet'!$E$15+1,1))</f>
        <v>#N/A</v>
      </c>
      <c r="EP69" s="60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8">
        <f t="shared" si="56"/>
        <v>366.72756595876103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13.373076923076932</v>
      </c>
      <c r="N70" s="14">
        <f>IF('Données projet'!$A$36&gt;35,N69+M70-V69,IF(A70&lt;'Données projet'!$A$36,$K$205^A70,IF(A70='Données projet'!$A$36,'Données projet'!$B$36,N69+M70-V69)))</f>
        <v>429.48461538461555</v>
      </c>
      <c r="O70" s="14">
        <f>N70*VLOOKUP('Données projet'!$B$9,Paramètres!$A$1:$I$89,3,0)*VLOOKUP('Données projet'!$B$9,Paramètres!$A$1:$I$89,5,0)</f>
        <v>240.0819000000001</v>
      </c>
      <c r="P70" s="14">
        <f t="shared" si="87"/>
        <v>58.457151316256045</v>
      </c>
      <c r="Q70" s="22">
        <f t="shared" si="54"/>
        <v>519.95551437581287</v>
      </c>
      <c r="R70" s="60">
        <f t="shared" si="55"/>
        <v>813.28884770914624</v>
      </c>
      <c r="S70" s="60">
        <f ca="1">AVERAGE(OFFSET($R$3,0,0,'Données projet'!$E$9+1,1))-AVERAGE(OFFSET($H$3,0,0,'Données projet'!$E$9+1,1))</f>
        <v>256.47911362806866</v>
      </c>
      <c r="T70" s="60">
        <f t="shared" si="88"/>
        <v>230.93438491511529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1.5683477785501474</v>
      </c>
      <c r="AB70" s="23">
        <f>EXP(-LN(2)/2)*AB69+(1-EXP(-LN(2)/2))/(LN(2)/2)*V70*Y70*VLOOKUP('Données projet'!$B$9,Paramètres!$A$1:$I$89,3,0)*0.475*44/12</f>
        <v>4.3482295417541566E-5</v>
      </c>
      <c r="AC70" s="24">
        <f t="shared" si="57"/>
        <v>1.568391260845565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</v>
      </c>
      <c r="AI70" s="14">
        <f>IF('Données projet'!$A$62&gt;35,AI69+AH70-AQ69,IF(A70&lt;'Données projet'!$A$62,$AF$205^A70,IF(A70='Données projet'!$A$62,'Données projet'!$B$62,AI69+AH70-AQ69)))</f>
        <v>210.99999999999966</v>
      </c>
      <c r="AJ70" s="14">
        <f>AI70*VLOOKUP('Données projet'!$B$10,Paramètres!$A$1:$I$89,3,0)*VLOOKUP('Données projet'!$B$10,Paramètres!$A$1:$I$89,5,0)</f>
        <v>184.32959999999974</v>
      </c>
      <c r="AK70" s="14">
        <f t="shared" si="89"/>
        <v>46.284105851003019</v>
      </c>
      <c r="AL70" s="22">
        <f t="shared" si="58"/>
        <v>401.6522043571631</v>
      </c>
      <c r="AM70" s="60">
        <f t="shared" si="59"/>
        <v>694.98553769049636</v>
      </c>
      <c r="AN70" s="60">
        <f ca="1">AVERAGE(OFFSET($AM$3,0,0,'Données projet'!$E$10+1,1))-AVERAGE(OFFSET($H$3,0,0,'Données projet'!$E$10+1,1))</f>
        <v>233.41481265653817</v>
      </c>
      <c r="AO70" s="60">
        <f t="shared" si="90"/>
        <v>300.97465452084055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3.7599999999999909</v>
      </c>
      <c r="BD70" s="13">
        <f>IF('Données projet'!$A$88&gt;35,BD69+BC70-BL69,IF(A70&lt;'Données projet'!$A$88,$BA$205^A70,IF(A70='Données projet'!$A$88,'Données projet'!$B$88,BD69+BC70-BL69)))</f>
        <v>262.32000000000011</v>
      </c>
      <c r="BE70" s="14">
        <f>BD70*VLOOKUP('Données projet'!$B$11,Paramètres!$A$1:$I$89,3,0)*VLOOKUP('Données projet'!$B$11,Paramètres!$A$1:$I$89,5,0)</f>
        <v>208.7017920000001</v>
      </c>
      <c r="BF70" s="14">
        <f t="shared" si="91"/>
        <v>51.651792283320177</v>
      </c>
      <c r="BG70" s="22">
        <f t="shared" si="61"/>
        <v>453.44915929344944</v>
      </c>
      <c r="BH70" s="60">
        <f t="shared" si="62"/>
        <v>746.78249262678275</v>
      </c>
      <c r="BI70" s="60">
        <f ca="1">AVERAGE(OFFSET($BH$3,0,0,'Données projet'!$E$11+1,1))-AVERAGE(OFFSET($H$3,0,0,'Données projet'!$E$11+1,1))</f>
        <v>238.47463071449789</v>
      </c>
      <c r="BJ70" s="60">
        <f t="shared" si="92"/>
        <v>270.92950919803718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0" t="e">
        <f t="shared" si="65"/>
        <v>#N/A</v>
      </c>
      <c r="CD70" s="60" t="e">
        <f ca="1">AVERAGE(OFFSET($CC$3,0,0,'Données projet'!$E$12+1,1))-AVERAGE(OFFSET($H$3,0,0,'Données projet'!$E$12+1,1))</f>
        <v>#N/A</v>
      </c>
      <c r="CE70" s="60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0" t="e">
        <f t="shared" si="68"/>
        <v>#N/A</v>
      </c>
      <c r="CY70" s="60" t="e">
        <f ca="1">AVERAGE(OFFSET($CX$3,0,0,'Données projet'!$E$13+1,1))-AVERAGE(OFFSET($H$3,0,0,'Données projet'!$E$13+1,1))</f>
        <v>#N/A</v>
      </c>
      <c r="CZ70" s="60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0" t="e">
        <f t="shared" si="71"/>
        <v>#N/A</v>
      </c>
      <c r="DT70" s="60" t="e">
        <f ca="1">AVERAGE(OFFSET($DS$3,0,0,'Données projet'!$E$14+1,1))-AVERAGE(OFFSET($H$3,0,0,'Données projet'!$E$14+1,1))</f>
        <v>#N/A</v>
      </c>
      <c r="DU70" s="60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0" t="e">
        <f t="shared" si="74"/>
        <v>#N/A</v>
      </c>
      <c r="EO70" s="60" t="e">
        <f ca="1">AVERAGE(OFFSET($EN$3,0,0,'Données projet'!$E$15+1,1))-AVERAGE(OFFSET($H$3,0,0,'Données projet'!$E$15+1,1))</f>
        <v>#N/A</v>
      </c>
      <c r="EP70" s="60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8">
        <f t="shared" si="56"/>
        <v>367.7928099081056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13.373076923076932</v>
      </c>
      <c r="N71" s="14">
        <f>IF('Données projet'!$A$36&gt;35,N70+M71-V70,IF(A71&lt;'Données projet'!$A$36,$K$205^A71,IF(A71='Données projet'!$A$36,'Données projet'!$B$36,N70+M71-V70)))</f>
        <v>442.8576923076925</v>
      </c>
      <c r="O71" s="14">
        <f>N71*VLOOKUP('Données projet'!$B$9,Paramètres!$A$1:$I$89,3,0)*VLOOKUP('Données projet'!$B$9,Paramètres!$A$1:$I$89,5,0)</f>
        <v>247.5574500000001</v>
      </c>
      <c r="P71" s="14">
        <f t="shared" si="87"/>
        <v>60.062607033562486</v>
      </c>
      <c r="Q71" s="22">
        <f t="shared" si="54"/>
        <v>535.7715993334549</v>
      </c>
      <c r="R71" s="60">
        <f t="shared" si="55"/>
        <v>829.10493266678827</v>
      </c>
      <c r="S71" s="60">
        <f ca="1">AVERAGE(OFFSET($R$3,0,0,'Données projet'!$E$9+1,1))-AVERAGE(OFFSET($H$3,0,0,'Données projet'!$E$9+1,1))</f>
        <v>256.47911362806866</v>
      </c>
      <c r="T71" s="60">
        <f t="shared" si="88"/>
        <v>230.93438491511529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1.5254612260698686</v>
      </c>
      <c r="AB71" s="23">
        <f>EXP(-LN(2)/2)*AB70+(1-EXP(-LN(2)/2))/(LN(2)/2)*V71*Y71*VLOOKUP('Données projet'!$B$9,Paramètres!$A$1:$I$89,3,0)*0.475*44/12</f>
        <v>3.0746625951300382E-5</v>
      </c>
      <c r="AC71" s="24">
        <f t="shared" si="57"/>
        <v>1.5254919726958198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</v>
      </c>
      <c r="AI71" s="14">
        <f>IF('Données projet'!$A$62&gt;35,AI70+AH71-AQ70,IF(A71&lt;'Données projet'!$A$62,$AF$205^A71,IF(A71='Données projet'!$A$62,'Données projet'!$B$62,AI70+AH71-AQ70)))</f>
        <v>214.99999999999966</v>
      </c>
      <c r="AJ71" s="14">
        <f>AI71*VLOOKUP('Données projet'!$B$10,Paramètres!$A$1:$I$89,3,0)*VLOOKUP('Données projet'!$B$10,Paramètres!$A$1:$I$89,5,0)</f>
        <v>187.82399999999973</v>
      </c>
      <c r="AK71" s="14">
        <f t="shared" si="89"/>
        <v>47.058548109182645</v>
      </c>
      <c r="AL71" s="22">
        <f t="shared" si="58"/>
        <v>409.08710462349262</v>
      </c>
      <c r="AM71" s="60">
        <f t="shared" si="59"/>
        <v>702.42043795682594</v>
      </c>
      <c r="AN71" s="60">
        <f ca="1">AVERAGE(OFFSET($AM$3,0,0,'Données projet'!$E$10+1,1))-AVERAGE(OFFSET($H$3,0,0,'Données projet'!$E$10+1,1))</f>
        <v>233.41481265653817</v>
      </c>
      <c r="AO71" s="60">
        <f t="shared" si="90"/>
        <v>300.97465452084055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3.7599999999999909</v>
      </c>
      <c r="BD71" s="13">
        <f>IF('Données projet'!$A$88&gt;35,BD70+BC71-BL70,IF(A71&lt;'Données projet'!$A$88,$BA$205^A71,IF(A71='Données projet'!$A$88,'Données projet'!$B$88,BD70+BC71-BL70)))</f>
        <v>266.0800000000001</v>
      </c>
      <c r="BE71" s="14">
        <f>BD71*VLOOKUP('Données projet'!$B$11,Paramètres!$A$1:$I$89,3,0)*VLOOKUP('Données projet'!$B$11,Paramètres!$A$1:$I$89,5,0)</f>
        <v>211.69324800000007</v>
      </c>
      <c r="BF71" s="14">
        <f t="shared" si="91"/>
        <v>52.305429867997155</v>
      </c>
      <c r="BG71" s="22">
        <f t="shared" si="61"/>
        <v>459.79769728676183</v>
      </c>
      <c r="BH71" s="60">
        <f t="shared" si="62"/>
        <v>753.13103062009509</v>
      </c>
      <c r="BI71" s="60">
        <f ca="1">AVERAGE(OFFSET($BH$3,0,0,'Données projet'!$E$11+1,1))-AVERAGE(OFFSET($H$3,0,0,'Données projet'!$E$11+1,1))</f>
        <v>238.47463071449789</v>
      </c>
      <c r="BJ71" s="60">
        <f t="shared" si="92"/>
        <v>270.92950919803718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0" t="e">
        <f t="shared" si="65"/>
        <v>#N/A</v>
      </c>
      <c r="CD71" s="60" t="e">
        <f ca="1">AVERAGE(OFFSET($CC$3,0,0,'Données projet'!$E$12+1,1))-AVERAGE(OFFSET($H$3,0,0,'Données projet'!$E$12+1,1))</f>
        <v>#N/A</v>
      </c>
      <c r="CE71" s="60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0" t="e">
        <f t="shared" si="68"/>
        <v>#N/A</v>
      </c>
      <c r="CY71" s="60" t="e">
        <f ca="1">AVERAGE(OFFSET($CX$3,0,0,'Données projet'!$E$13+1,1))-AVERAGE(OFFSET($H$3,0,0,'Données projet'!$E$13+1,1))</f>
        <v>#N/A</v>
      </c>
      <c r="CZ71" s="60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0" t="e">
        <f t="shared" si="71"/>
        <v>#N/A</v>
      </c>
      <c r="DT71" s="60" t="e">
        <f ca="1">AVERAGE(OFFSET($DS$3,0,0,'Données projet'!$E$14+1,1))-AVERAGE(OFFSET($H$3,0,0,'Données projet'!$E$14+1,1))</f>
        <v>#N/A</v>
      </c>
      <c r="DU71" s="60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0" t="e">
        <f t="shared" si="74"/>
        <v>#N/A</v>
      </c>
      <c r="EO71" s="60" t="e">
        <f ca="1">AVERAGE(OFFSET($EN$3,0,0,'Données projet'!$E$15+1,1))-AVERAGE(OFFSET($H$3,0,0,'Données projet'!$E$15+1,1))</f>
        <v>#N/A</v>
      </c>
      <c r="EP71" s="60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8">
        <f t="shared" si="56"/>
        <v>368.85766474535927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>
        <f>VLOOKUP(A72,'Données projet'!$A$35:$I$55,2,0)</f>
        <v>456.23076923076923</v>
      </c>
      <c r="L72" s="13">
        <f>VLOOKUP(A72,'Données projet'!$A$35:$I$55,9,0)</f>
        <v>13.373076923076932</v>
      </c>
      <c r="M72" s="13">
        <f t="array" ref="M72">INDEX(L:L,MIN(IF(ISNUMBER(L72:L268),ROW(L72:L268),"")))</f>
        <v>13.373076923076932</v>
      </c>
      <c r="N72" s="14">
        <f>IF('Données projet'!$A$36&gt;35,N71+M72-V71,IF(A72&lt;'Données projet'!$A$36,$K$205^A72,IF(A72='Données projet'!$A$36,'Données projet'!$B$36,N71+M72-V71)))</f>
        <v>456.23076923076945</v>
      </c>
      <c r="O72" s="14">
        <f>N72*VLOOKUP('Données projet'!$B$9,Paramètres!$A$1:$I$89,3,0)*VLOOKUP('Données projet'!$B$9,Paramètres!$A$1:$I$89,5,0)</f>
        <v>255.03300000000013</v>
      </c>
      <c r="P72" s="14">
        <f t="shared" si="87"/>
        <v>61.662428642904949</v>
      </c>
      <c r="Q72" s="22">
        <f t="shared" si="54"/>
        <v>551.57787155305971</v>
      </c>
      <c r="R72" s="60">
        <f t="shared" si="55"/>
        <v>844.91120488639308</v>
      </c>
      <c r="S72" s="60">
        <f ca="1">AVERAGE(OFFSET($R$3,0,0,'Données projet'!$E$9+1,1))-AVERAGE(OFFSET($H$3,0,0,'Données projet'!$E$9+1,1))</f>
        <v>256.47911362806866</v>
      </c>
      <c r="T72" s="60">
        <f t="shared" si="88"/>
        <v>230.93438491511529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1.4837474086224687</v>
      </c>
      <c r="AB72" s="23">
        <f>EXP(-LN(2)/2)*AB71+(1-EXP(-LN(2)/2))/(LN(2)/2)*V72*Y72*VLOOKUP('Données projet'!$B$9,Paramètres!$A$1:$I$89,3,0)*0.475*44/12</f>
        <v>2.1741147708770783E-5</v>
      </c>
      <c r="AC72" s="24">
        <f t="shared" si="57"/>
        <v>1.4837691497701775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</v>
      </c>
      <c r="AI72" s="14">
        <f>IF('Données projet'!$A$62&gt;35,AI71+AH72-AQ71,IF(A72&lt;'Données projet'!$A$62,$AF$205^A72,IF(A72='Données projet'!$A$62,'Données projet'!$B$62,AI71+AH72-AQ71)))</f>
        <v>218.99999999999966</v>
      </c>
      <c r="AJ72" s="14">
        <f>AI72*VLOOKUP('Données projet'!$B$10,Paramètres!$A$1:$I$89,3,0)*VLOOKUP('Données projet'!$B$10,Paramètres!$A$1:$I$89,5,0)</f>
        <v>191.31839999999971</v>
      </c>
      <c r="AK72" s="14">
        <f t="shared" si="89"/>
        <v>47.831314962098354</v>
      </c>
      <c r="AL72" s="22">
        <f t="shared" si="58"/>
        <v>416.51908689232079</v>
      </c>
      <c r="AM72" s="60">
        <f t="shared" si="59"/>
        <v>709.8524202256541</v>
      </c>
      <c r="AN72" s="60">
        <f ca="1">AVERAGE(OFFSET($AM$3,0,0,'Données projet'!$E$10+1,1))-AVERAGE(OFFSET($H$3,0,0,'Données projet'!$E$10+1,1))</f>
        <v>233.41481265653817</v>
      </c>
      <c r="AO72" s="60">
        <f t="shared" si="90"/>
        <v>300.97465452084055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3.7599999999999909</v>
      </c>
      <c r="BD72" s="13">
        <f>IF('Données projet'!$A$88&gt;35,BD71+BC72-BL71,IF(A72&lt;'Données projet'!$A$88,$BA$205^A72,IF(A72='Données projet'!$A$88,'Données projet'!$B$88,BD71+BC72-BL71)))</f>
        <v>269.84000000000009</v>
      </c>
      <c r="BE72" s="14">
        <f>BD72*VLOOKUP('Données projet'!$B$11,Paramètres!$A$1:$I$89,3,0)*VLOOKUP('Données projet'!$B$11,Paramètres!$A$1:$I$89,5,0)</f>
        <v>214.68470400000007</v>
      </c>
      <c r="BF72" s="14">
        <f t="shared" si="91"/>
        <v>52.957993157151179</v>
      </c>
      <c r="BG72" s="22">
        <f t="shared" si="61"/>
        <v>466.14436421537175</v>
      </c>
      <c r="BH72" s="60">
        <f t="shared" si="62"/>
        <v>759.47769754870501</v>
      </c>
      <c r="BI72" s="60">
        <f ca="1">AVERAGE(OFFSET($BH$3,0,0,'Données projet'!$E$11+1,1))-AVERAGE(OFFSET($H$3,0,0,'Données projet'!$E$11+1,1))</f>
        <v>238.47463071449789</v>
      </c>
      <c r="BJ72" s="60">
        <f t="shared" si="92"/>
        <v>270.92950919803718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0" t="e">
        <f t="shared" si="65"/>
        <v>#N/A</v>
      </c>
      <c r="CD72" s="60" t="e">
        <f ca="1">AVERAGE(OFFSET($CC$3,0,0,'Données projet'!$E$12+1,1))-AVERAGE(OFFSET($H$3,0,0,'Données projet'!$E$12+1,1))</f>
        <v>#N/A</v>
      </c>
      <c r="CE72" s="60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0" t="e">
        <f t="shared" si="68"/>
        <v>#N/A</v>
      </c>
      <c r="CY72" s="60" t="e">
        <f ca="1">AVERAGE(OFFSET($CX$3,0,0,'Données projet'!$E$13+1,1))-AVERAGE(OFFSET($H$3,0,0,'Données projet'!$E$13+1,1))</f>
        <v>#N/A</v>
      </c>
      <c r="CZ72" s="60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0" t="e">
        <f t="shared" si="71"/>
        <v>#N/A</v>
      </c>
      <c r="DT72" s="60" t="e">
        <f ca="1">AVERAGE(OFFSET($DS$3,0,0,'Données projet'!$E$14+1,1))-AVERAGE(OFFSET($H$3,0,0,'Données projet'!$E$14+1,1))</f>
        <v>#N/A</v>
      </c>
      <c r="DU72" s="60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0" t="e">
        <f t="shared" si="74"/>
        <v>#N/A</v>
      </c>
      <c r="EO72" s="60" t="e">
        <f ca="1">AVERAGE(OFFSET($EN$3,0,0,'Données projet'!$E$15+1,1))-AVERAGE(OFFSET($H$3,0,0,'Données projet'!$E$15+1,1))</f>
        <v>#N/A</v>
      </c>
      <c r="EP72" s="60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8">
        <f t="shared" si="56"/>
        <v>369.92213676137879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469.06923076923073</v>
      </c>
      <c r="L73" s="13">
        <f>VLOOKUP(A73,'Données projet'!$A$35:$I$55,9,0)</f>
        <v>12.838461538461502</v>
      </c>
      <c r="M73" s="13">
        <f t="array" ref="M73">INDEX(L:L,MIN(IF(ISNUMBER(L73:L269),ROW(L73:L269),"")))</f>
        <v>12.838461538461502</v>
      </c>
      <c r="N73" s="14">
        <f>IF('Données projet'!$A$36&gt;35,N72+M73-V72,IF(A73&lt;'Données projet'!$A$36,$K$205^A73,IF(A73='Données projet'!$A$36,'Données projet'!$B$36,N72+M73-V72)))</f>
        <v>469.06923076923096</v>
      </c>
      <c r="O73" s="14">
        <f>N73*VLOOKUP('Données projet'!$B$9,Paramètres!$A$1:$I$89,3,0)*VLOOKUP('Données projet'!$B$9,Paramètres!$A$1:$I$89,5,0)</f>
        <v>262.20970000000011</v>
      </c>
      <c r="P73" s="14">
        <f t="shared" si="87"/>
        <v>63.193164452376678</v>
      </c>
      <c r="Q73" s="22">
        <f t="shared" si="54"/>
        <v>566.74332225455612</v>
      </c>
      <c r="R73" s="60">
        <f t="shared" si="55"/>
        <v>860.07665558788949</v>
      </c>
      <c r="S73" s="60">
        <f ca="1">AVERAGE(OFFSET($R$3,0,0,'Données projet'!$E$9+1,1))-AVERAGE(OFFSET($H$3,0,0,'Données projet'!$E$9+1,1))</f>
        <v>256.47911362806866</v>
      </c>
      <c r="T73" s="60">
        <f t="shared" si="88"/>
        <v>230.93438491511529</v>
      </c>
      <c r="U73" s="16">
        <f>IF(ISNA(VLOOKUP(A73,'Données projet'!$A$35:$I$55,3,0)),0,VLOOKUP(A73,'Données projet'!$A$35:$I$55,3,0))</f>
        <v>8</v>
      </c>
      <c r="V73" s="16">
        <f>IF(ISNA(VLOOKUP(A73,'Données projet'!$A$35:$I$55,4,0)),0,VLOOKUP(A73,'Données projet'!$A$35:$I$55,4,0))</f>
        <v>469.06923076923073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1.4431742577068023</v>
      </c>
      <c r="AB73" s="23">
        <f>EXP(-LN(2)/2)*AB72+(1-EXP(-LN(2)/2))/(LN(2)/2)*V73*Y73*VLOOKUP('Données projet'!$B$9,Paramètres!$A$1:$I$89,3,0)*0.475*44/12</f>
        <v>1.5373312975650191E-5</v>
      </c>
      <c r="AC73" s="24">
        <f t="shared" si="57"/>
        <v>1.443189631019778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223</v>
      </c>
      <c r="AG73" s="13">
        <f>VLOOKUP(A73,'Données projet'!$A$61:$I$81,9,0)</f>
        <v>4</v>
      </c>
      <c r="AH73" s="13">
        <f t="array" ref="AH73">INDEX(AG:AG,MIN(IF(ISNUMBER(AG73:AG269),ROW(AG73:AG269),"")))</f>
        <v>4</v>
      </c>
      <c r="AI73" s="14">
        <f>IF('Données projet'!$A$62&gt;35,AI72+AH73-AQ72,IF(A73&lt;'Données projet'!$A$62,$AF$205^A73,IF(A73='Données projet'!$A$62,'Données projet'!$B$62,AI72+AH73-AQ72)))</f>
        <v>222.99999999999966</v>
      </c>
      <c r="AJ73" s="14">
        <f>AI73*VLOOKUP('Données projet'!$B$10,Paramètres!$A$1:$I$89,3,0)*VLOOKUP('Données projet'!$B$10,Paramètres!$A$1:$I$89,5,0)</f>
        <v>194.81279999999973</v>
      </c>
      <c r="AK73" s="14">
        <f t="shared" si="89"/>
        <v>48.602440540253809</v>
      </c>
      <c r="AL73" s="22">
        <f t="shared" si="58"/>
        <v>423.94821060760819</v>
      </c>
      <c r="AM73" s="60">
        <f t="shared" si="59"/>
        <v>717.28154394094145</v>
      </c>
      <c r="AN73" s="60">
        <f ca="1">AVERAGE(OFFSET($AM$3,0,0,'Données projet'!$E$10+1,1))-AVERAGE(OFFSET($H$3,0,0,'Données projet'!$E$10+1,1))</f>
        <v>233.41481265653817</v>
      </c>
      <c r="AO73" s="60">
        <f t="shared" si="90"/>
        <v>300.97465452084055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32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273.59999999999997</v>
      </c>
      <c r="BB73" s="13">
        <f>VLOOKUP(A73,'Données projet'!$A$87:$I$107,9,0)</f>
        <v>3.7599999999999909</v>
      </c>
      <c r="BC73" s="13">
        <f t="array" ref="BC73">INDEX(BB:BB,MIN(IF(ISNUMBER(BB73:BB269),ROW(BB73:BB269),"")))</f>
        <v>3.7599999999999909</v>
      </c>
      <c r="BD73" s="13">
        <f>IF('Données projet'!$A$88&gt;35,BD72+BC73-BL72,IF(A73&lt;'Données projet'!$A$88,$BA$205^A73,IF(A73='Données projet'!$A$88,'Données projet'!$B$88,BD72+BC73-BL72)))</f>
        <v>273.60000000000008</v>
      </c>
      <c r="BE73" s="14">
        <f>BD73*VLOOKUP('Données projet'!$B$11,Paramètres!$A$1:$I$89,3,0)*VLOOKUP('Données projet'!$B$11,Paramètres!$A$1:$I$89,5,0)</f>
        <v>217.67616000000007</v>
      </c>
      <c r="BF73" s="14">
        <f t="shared" si="91"/>
        <v>53.609498850196708</v>
      </c>
      <c r="BG73" s="22">
        <f t="shared" si="61"/>
        <v>472.48918916409275</v>
      </c>
      <c r="BH73" s="60">
        <f t="shared" si="62"/>
        <v>765.82252249742601</v>
      </c>
      <c r="BI73" s="60">
        <f ca="1">AVERAGE(OFFSET($BH$3,0,0,'Données projet'!$E$11+1,1))-AVERAGE(OFFSET($H$3,0,0,'Données projet'!$E$11+1,1))</f>
        <v>238.47463071449789</v>
      </c>
      <c r="BJ73" s="60">
        <f t="shared" si="92"/>
        <v>270.92950919803718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20.9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0" t="e">
        <f t="shared" si="65"/>
        <v>#N/A</v>
      </c>
      <c r="CD73" s="60" t="e">
        <f ca="1">AVERAGE(OFFSET($CC$3,0,0,'Données projet'!$E$12+1,1))-AVERAGE(OFFSET($H$3,0,0,'Données projet'!$E$12+1,1))</f>
        <v>#N/A</v>
      </c>
      <c r="CE73" s="60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0" t="e">
        <f t="shared" si="68"/>
        <v>#N/A</v>
      </c>
      <c r="CY73" s="60" t="e">
        <f ca="1">AVERAGE(OFFSET($CX$3,0,0,'Données projet'!$E$13+1,1))-AVERAGE(OFFSET($H$3,0,0,'Données projet'!$E$13+1,1))</f>
        <v>#N/A</v>
      </c>
      <c r="CZ73" s="60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0" t="e">
        <f t="shared" si="71"/>
        <v>#N/A</v>
      </c>
      <c r="DT73" s="60" t="e">
        <f ca="1">AVERAGE(OFFSET($DS$3,0,0,'Données projet'!$E$14+1,1))-AVERAGE(OFFSET($H$3,0,0,'Données projet'!$E$14+1,1))</f>
        <v>#N/A</v>
      </c>
      <c r="DU73" s="60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0" t="e">
        <f t="shared" si="74"/>
        <v>#N/A</v>
      </c>
      <c r="EO73" s="60" t="e">
        <f ca="1">AVERAGE(OFFSET($EN$3,0,0,'Données projet'!$E$15+1,1))-AVERAGE(OFFSET($H$3,0,0,'Données projet'!$E$15+1,1))</f>
        <v>#N/A</v>
      </c>
      <c r="EP73" s="60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8">
        <f t="shared" si="56"/>
        <v>370.98623205696038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2.2737367544323206E-13</v>
      </c>
      <c r="O74" s="14">
        <f>N74*VLOOKUP('Données projet'!$B$9,Paramètres!$A$1:$I$89,3,0)*VLOOKUP('Données projet'!$B$9,Paramètres!$A$1:$I$89,5,0)</f>
        <v>1.2710188457276673E-13</v>
      </c>
      <c r="P74" s="14">
        <f t="shared" si="87"/>
        <v>1.856866851063998E-12</v>
      </c>
      <c r="Q74" s="22">
        <f t="shared" si="54"/>
        <v>3.4554122145673649E-12</v>
      </c>
      <c r="R74" s="60">
        <f t="shared" si="55"/>
        <v>293.33333333333678</v>
      </c>
      <c r="S74" s="60">
        <f ca="1">AVERAGE(OFFSET($R$3,0,0,'Données projet'!$E$9+1,1))-AVERAGE(OFFSET($H$3,0,0,'Données projet'!$E$9+1,1))</f>
        <v>256.47911362806866</v>
      </c>
      <c r="T74" s="60">
        <f t="shared" si="88"/>
        <v>230.93438491511529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1.403710581736574</v>
      </c>
      <c r="AB74" s="23">
        <f>EXP(-LN(2)/2)*AB73+(1-EXP(-LN(2)/2))/(LN(2)/2)*V74*Y74*VLOOKUP('Données projet'!$B$9,Paramètres!$A$1:$I$89,3,0)*0.475*44/12</f>
        <v>1.0870573854385391E-5</v>
      </c>
      <c r="AC74" s="24">
        <f t="shared" si="57"/>
        <v>1.4037214523104284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3.6</v>
      </c>
      <c r="AI74" s="14">
        <f>IF('Données projet'!$A$62&gt;35,AI73+AH74-AQ73,IF(A74&lt;'Données projet'!$A$62,$AF$205^A74,IF(A74='Données projet'!$A$62,'Données projet'!$B$62,AI73+AH74-AQ73)))</f>
        <v>194.59999999999965</v>
      </c>
      <c r="AJ74" s="14">
        <f>AI74*VLOOKUP('Données projet'!$B$10,Paramètres!$A$1:$I$89,3,0)*VLOOKUP('Données projet'!$B$10,Paramètres!$A$1:$I$89,5,0)</f>
        <v>170.0025599999997</v>
      </c>
      <c r="AK74" s="14">
        <f t="shared" si="89"/>
        <v>43.090596939649508</v>
      </c>
      <c r="AL74" s="22">
        <f t="shared" si="58"/>
        <v>371.13724833655573</v>
      </c>
      <c r="AM74" s="60">
        <f t="shared" si="59"/>
        <v>664.47058166988904</v>
      </c>
      <c r="AN74" s="60">
        <f ca="1">AVERAGE(OFFSET($AM$3,0,0,'Données projet'!$E$10+1,1))-AVERAGE(OFFSET($H$3,0,0,'Données projet'!$E$10+1,1))</f>
        <v>233.41481265653817</v>
      </c>
      <c r="AO74" s="60">
        <f t="shared" si="90"/>
        <v>300.97465452084055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3.4000000000000172</v>
      </c>
      <c r="BD74" s="13">
        <f>IF('Données projet'!$A$88&gt;35,BD73+BC74-BL73,IF(A74&lt;'Données projet'!$A$88,$BA$205^A74,IF(A74='Données projet'!$A$88,'Données projet'!$B$88,BD73+BC74-BL73)))</f>
        <v>256.10000000000014</v>
      </c>
      <c r="BE74" s="14">
        <f>BD74*VLOOKUP('Données projet'!$B$11,Paramètres!$A$1:$I$89,3,0)*VLOOKUP('Données projet'!$B$11,Paramètres!$A$1:$I$89,5,0)</f>
        <v>203.75316000000012</v>
      </c>
      <c r="BF74" s="14">
        <f t="shared" si="91"/>
        <v>50.568104070523368</v>
      </c>
      <c r="BG74" s="22">
        <f t="shared" si="61"/>
        <v>442.94286825616172</v>
      </c>
      <c r="BH74" s="60">
        <f t="shared" si="62"/>
        <v>736.27620158949503</v>
      </c>
      <c r="BI74" s="60">
        <f ca="1">AVERAGE(OFFSET($BH$3,0,0,'Données projet'!$E$11+1,1))-AVERAGE(OFFSET($H$3,0,0,'Données projet'!$E$11+1,1))</f>
        <v>238.47463071449789</v>
      </c>
      <c r="BJ74" s="60">
        <f t="shared" si="92"/>
        <v>270.92950919803718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0" t="e">
        <f t="shared" si="65"/>
        <v>#N/A</v>
      </c>
      <c r="CD74" s="60" t="e">
        <f ca="1">AVERAGE(OFFSET($CC$3,0,0,'Données projet'!$E$12+1,1))-AVERAGE(OFFSET($H$3,0,0,'Données projet'!$E$12+1,1))</f>
        <v>#N/A</v>
      </c>
      <c r="CE74" s="60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0" t="e">
        <f t="shared" si="68"/>
        <v>#N/A</v>
      </c>
      <c r="CY74" s="60" t="e">
        <f ca="1">AVERAGE(OFFSET($CX$3,0,0,'Données projet'!$E$13+1,1))-AVERAGE(OFFSET($H$3,0,0,'Données projet'!$E$13+1,1))</f>
        <v>#N/A</v>
      </c>
      <c r="CZ74" s="60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0" t="e">
        <f t="shared" si="71"/>
        <v>#N/A</v>
      </c>
      <c r="DT74" s="60" t="e">
        <f ca="1">AVERAGE(OFFSET($DS$3,0,0,'Données projet'!$E$14+1,1))-AVERAGE(OFFSET($H$3,0,0,'Données projet'!$E$14+1,1))</f>
        <v>#N/A</v>
      </c>
      <c r="DU74" s="60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0" t="e">
        <f t="shared" si="74"/>
        <v>#N/A</v>
      </c>
      <c r="EO74" s="60" t="e">
        <f ca="1">AVERAGE(OFFSET($EN$3,0,0,'Données projet'!$E$15+1,1))-AVERAGE(OFFSET($H$3,0,0,'Données projet'!$E$15+1,1))</f>
        <v>#N/A</v>
      </c>
      <c r="EP74" s="60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8">
        <f t="shared" si="56"/>
        <v>372.04995655117574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2.2737367544323206E-13</v>
      </c>
      <c r="O75" s="14">
        <f>N75*VLOOKUP('Données projet'!$B$9,Paramètres!$A$1:$I$89,3,0)*VLOOKUP('Données projet'!$B$9,Paramètres!$A$1:$I$89,5,0)</f>
        <v>1.2710188457276673E-13</v>
      </c>
      <c r="P75" s="14">
        <f t="shared" si="87"/>
        <v>1.856866851063998E-12</v>
      </c>
      <c r="Q75" s="22">
        <f t="shared" si="54"/>
        <v>3.4554122145673649E-12</v>
      </c>
      <c r="R75" s="60">
        <f t="shared" si="55"/>
        <v>293.33333333333678</v>
      </c>
      <c r="S75" s="60">
        <f ca="1">AVERAGE(OFFSET($R$3,0,0,'Données projet'!$E$9+1,1))-AVERAGE(OFFSET($H$3,0,0,'Données projet'!$E$9+1,1))</f>
        <v>256.47911362806866</v>
      </c>
      <c r="T75" s="60">
        <f t="shared" si="88"/>
        <v>230.93438491511529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1.3653260420610562</v>
      </c>
      <c r="AB75" s="23">
        <f>EXP(-LN(2)/2)*AB74+(1-EXP(-LN(2)/2))/(LN(2)/2)*V75*Y75*VLOOKUP('Données projet'!$B$9,Paramètres!$A$1:$I$89,3,0)*0.475*44/12</f>
        <v>7.6866564878250955E-6</v>
      </c>
      <c r="AC75" s="24">
        <f t="shared" si="57"/>
        <v>1.365333728717544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3.6</v>
      </c>
      <c r="AI75" s="14">
        <f>IF('Données projet'!$A$62&gt;35,AI74+AH75-AQ74,IF(A75&lt;'Données projet'!$A$62,$AF$205^A75,IF(A75='Données projet'!$A$62,'Données projet'!$B$62,AI74+AH75-AQ74)))</f>
        <v>198.19999999999965</v>
      </c>
      <c r="AJ75" s="14">
        <f>AI75*VLOOKUP('Données projet'!$B$10,Paramètres!$A$1:$I$89,3,0)*VLOOKUP('Données projet'!$B$10,Paramètres!$A$1:$I$89,5,0)</f>
        <v>173.14751999999973</v>
      </c>
      <c r="AK75" s="14">
        <f t="shared" si="89"/>
        <v>43.794208927254033</v>
      </c>
      <c r="AL75" s="22">
        <f t="shared" si="58"/>
        <v>377.84017788163356</v>
      </c>
      <c r="AM75" s="60">
        <f t="shared" si="59"/>
        <v>671.17351121496688</v>
      </c>
      <c r="AN75" s="60">
        <f ca="1">AVERAGE(OFFSET($AM$3,0,0,'Données projet'!$E$10+1,1))-AVERAGE(OFFSET($H$3,0,0,'Données projet'!$E$10+1,1))</f>
        <v>233.41481265653817</v>
      </c>
      <c r="AO75" s="60">
        <f t="shared" si="90"/>
        <v>300.97465452084055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3.4000000000000172</v>
      </c>
      <c r="BD75" s="13">
        <f>IF('Données projet'!$A$88&gt;35,BD74+BC75-BL74,IF(A75&lt;'Données projet'!$A$88,$BA$205^A75,IF(A75='Données projet'!$A$88,'Données projet'!$B$88,BD74+BC75-BL74)))</f>
        <v>259.50000000000017</v>
      </c>
      <c r="BE75" s="14">
        <f>BD75*VLOOKUP('Données projet'!$B$11,Paramètres!$A$1:$I$89,3,0)*VLOOKUP('Données projet'!$B$11,Paramètres!$A$1:$I$89,5,0)</f>
        <v>206.45820000000015</v>
      </c>
      <c r="BF75" s="14">
        <f t="shared" si="91"/>
        <v>51.160848757309601</v>
      </c>
      <c r="BG75" s="22">
        <f t="shared" si="61"/>
        <v>448.68650991898113</v>
      </c>
      <c r="BH75" s="60">
        <f t="shared" si="62"/>
        <v>742.01984325231444</v>
      </c>
      <c r="BI75" s="60">
        <f ca="1">AVERAGE(OFFSET($BH$3,0,0,'Données projet'!$E$11+1,1))-AVERAGE(OFFSET($H$3,0,0,'Données projet'!$E$11+1,1))</f>
        <v>238.47463071449789</v>
      </c>
      <c r="BJ75" s="60">
        <f t="shared" si="92"/>
        <v>270.92950919803718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0" t="e">
        <f t="shared" si="65"/>
        <v>#N/A</v>
      </c>
      <c r="CD75" s="60" t="e">
        <f ca="1">AVERAGE(OFFSET($CC$3,0,0,'Données projet'!$E$12+1,1))-AVERAGE(OFFSET($H$3,0,0,'Données projet'!$E$12+1,1))</f>
        <v>#N/A</v>
      </c>
      <c r="CE75" s="60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0" t="e">
        <f t="shared" si="68"/>
        <v>#N/A</v>
      </c>
      <c r="CY75" s="60" t="e">
        <f ca="1">AVERAGE(OFFSET($CX$3,0,0,'Données projet'!$E$13+1,1))-AVERAGE(OFFSET($H$3,0,0,'Données projet'!$E$13+1,1))</f>
        <v>#N/A</v>
      </c>
      <c r="CZ75" s="60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0" t="e">
        <f t="shared" si="71"/>
        <v>#N/A</v>
      </c>
      <c r="DT75" s="60" t="e">
        <f ca="1">AVERAGE(OFFSET($DS$3,0,0,'Données projet'!$E$14+1,1))-AVERAGE(OFFSET($H$3,0,0,'Données projet'!$E$14+1,1))</f>
        <v>#N/A</v>
      </c>
      <c r="DU75" s="60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0" t="e">
        <f t="shared" si="74"/>
        <v>#N/A</v>
      </c>
      <c r="EO75" s="60" t="e">
        <f ca="1">AVERAGE(OFFSET($EN$3,0,0,'Données projet'!$E$15+1,1))-AVERAGE(OFFSET($H$3,0,0,'Données projet'!$E$15+1,1))</f>
        <v>#N/A</v>
      </c>
      <c r="EP75" s="60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8">
        <f t="shared" si="56"/>
        <v>373.11331598923283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2.2737367544323206E-13</v>
      </c>
      <c r="O76" s="14">
        <f>N76*VLOOKUP('Données projet'!$B$9,Paramètres!$A$1:$I$89,3,0)*VLOOKUP('Données projet'!$B$9,Paramètres!$A$1:$I$89,5,0)</f>
        <v>1.2710188457276673E-13</v>
      </c>
      <c r="P76" s="14">
        <f t="shared" si="87"/>
        <v>1.856866851063998E-12</v>
      </c>
      <c r="Q76" s="22">
        <f t="shared" si="54"/>
        <v>3.4554122145673649E-12</v>
      </c>
      <c r="R76" s="60">
        <f t="shared" si="55"/>
        <v>293.33333333333678</v>
      </c>
      <c r="S76" s="60">
        <f ca="1">AVERAGE(OFFSET($R$3,0,0,'Données projet'!$E$9+1,1))-AVERAGE(OFFSET($H$3,0,0,'Données projet'!$E$9+1,1))</f>
        <v>256.47911362806866</v>
      </c>
      <c r="T76" s="60">
        <f t="shared" si="88"/>
        <v>230.93438491511529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1.3279911296415206</v>
      </c>
      <c r="AB76" s="23">
        <f>EXP(-LN(2)/2)*AB75+(1-EXP(-LN(2)/2))/(LN(2)/2)*V76*Y76*VLOOKUP('Données projet'!$B$9,Paramètres!$A$1:$I$89,3,0)*0.475*44/12</f>
        <v>5.4352869271926957E-6</v>
      </c>
      <c r="AC76" s="24">
        <f t="shared" si="57"/>
        <v>1.3279965649284478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3.6</v>
      </c>
      <c r="AI76" s="14">
        <f>IF('Données projet'!$A$62&gt;35,AI75+AH76-AQ75,IF(A76&lt;'Données projet'!$A$62,$AF$205^A76,IF(A76='Données projet'!$A$62,'Données projet'!$B$62,AI75+AH76-AQ75)))</f>
        <v>201.79999999999964</v>
      </c>
      <c r="AJ76" s="14">
        <f>AI76*VLOOKUP('Données projet'!$B$10,Paramètres!$A$1:$I$89,3,0)*VLOOKUP('Données projet'!$B$10,Paramètres!$A$1:$I$89,5,0)</f>
        <v>176.2924799999997</v>
      </c>
      <c r="AK76" s="14">
        <f t="shared" si="89"/>
        <v>44.496334803721815</v>
      </c>
      <c r="AL76" s="22">
        <f t="shared" si="58"/>
        <v>384.54051911648162</v>
      </c>
      <c r="AM76" s="60">
        <f t="shared" si="59"/>
        <v>677.87385244981488</v>
      </c>
      <c r="AN76" s="60">
        <f ca="1">AVERAGE(OFFSET($AM$3,0,0,'Données projet'!$E$10+1,1))-AVERAGE(OFFSET($H$3,0,0,'Données projet'!$E$10+1,1))</f>
        <v>233.41481265653817</v>
      </c>
      <c r="AO76" s="60">
        <f t="shared" si="90"/>
        <v>300.97465452084055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3.4000000000000172</v>
      </c>
      <c r="BD76" s="13">
        <f>IF('Données projet'!$A$88&gt;35,BD75+BC76-BL75,IF(A76&lt;'Données projet'!$A$88,$BA$205^A76,IF(A76='Données projet'!$A$88,'Données projet'!$B$88,BD75+BC76-BL75)))</f>
        <v>262.9000000000002</v>
      </c>
      <c r="BE76" s="14">
        <f>BD76*VLOOKUP('Données projet'!$B$11,Paramètres!$A$1:$I$89,3,0)*VLOOKUP('Données projet'!$B$11,Paramètres!$A$1:$I$89,5,0)</f>
        <v>209.16324000000014</v>
      </c>
      <c r="BF76" s="14">
        <f t="shared" si="91"/>
        <v>51.752690118703946</v>
      </c>
      <c r="BG76" s="22">
        <f t="shared" si="61"/>
        <v>454.42857829007625</v>
      </c>
      <c r="BH76" s="60">
        <f t="shared" si="62"/>
        <v>747.76191162340956</v>
      </c>
      <c r="BI76" s="60">
        <f ca="1">AVERAGE(OFFSET($BH$3,0,0,'Données projet'!$E$11+1,1))-AVERAGE(OFFSET($H$3,0,0,'Données projet'!$E$11+1,1))</f>
        <v>238.47463071449789</v>
      </c>
      <c r="BJ76" s="60">
        <f t="shared" si="92"/>
        <v>270.92950919803718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0" t="e">
        <f t="shared" si="65"/>
        <v>#N/A</v>
      </c>
      <c r="CD76" s="60" t="e">
        <f ca="1">AVERAGE(OFFSET($CC$3,0,0,'Données projet'!$E$12+1,1))-AVERAGE(OFFSET($H$3,0,0,'Données projet'!$E$12+1,1))</f>
        <v>#N/A</v>
      </c>
      <c r="CE76" s="60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0" t="e">
        <f t="shared" si="68"/>
        <v>#N/A</v>
      </c>
      <c r="CY76" s="60" t="e">
        <f ca="1">AVERAGE(OFFSET($CX$3,0,0,'Données projet'!$E$13+1,1))-AVERAGE(OFFSET($H$3,0,0,'Données projet'!$E$13+1,1))</f>
        <v>#N/A</v>
      </c>
      <c r="CZ76" s="60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0" t="e">
        <f t="shared" si="71"/>
        <v>#N/A</v>
      </c>
      <c r="DT76" s="60" t="e">
        <f ca="1">AVERAGE(OFFSET($DS$3,0,0,'Données projet'!$E$14+1,1))-AVERAGE(OFFSET($H$3,0,0,'Données projet'!$E$14+1,1))</f>
        <v>#N/A</v>
      </c>
      <c r="DU76" s="60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0" t="e">
        <f t="shared" si="74"/>
        <v>#N/A</v>
      </c>
      <c r="EO76" s="60" t="e">
        <f ca="1">AVERAGE(OFFSET($EN$3,0,0,'Données projet'!$E$15+1,1))-AVERAGE(OFFSET($H$3,0,0,'Données projet'!$E$15+1,1))</f>
        <v>#N/A</v>
      </c>
      <c r="EP76" s="60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8">
        <f t="shared" si="56"/>
        <v>374.17631594989302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2.2737367544323206E-13</v>
      </c>
      <c r="O77" s="14">
        <f>N77*VLOOKUP('Données projet'!$B$9,Paramètres!$A$1:$I$89,3,0)*VLOOKUP('Données projet'!$B$9,Paramètres!$A$1:$I$89,5,0)</f>
        <v>1.2710188457276673E-13</v>
      </c>
      <c r="P77" s="14">
        <f t="shared" si="87"/>
        <v>1.856866851063998E-12</v>
      </c>
      <c r="Q77" s="22">
        <f t="shared" si="54"/>
        <v>3.4554122145673649E-12</v>
      </c>
      <c r="R77" s="60">
        <f t="shared" si="55"/>
        <v>293.33333333333678</v>
      </c>
      <c r="S77" s="60">
        <f ca="1">AVERAGE(OFFSET($R$3,0,0,'Données projet'!$E$9+1,1))-AVERAGE(OFFSET($H$3,0,0,'Données projet'!$E$9+1,1))</f>
        <v>256.47911362806866</v>
      </c>
      <c r="T77" s="60">
        <f t="shared" si="88"/>
        <v>230.93438491511529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1.2916771423654547</v>
      </c>
      <c r="AB77" s="23">
        <f>EXP(-LN(2)/2)*AB76+(1-EXP(-LN(2)/2))/(LN(2)/2)*V77*Y77*VLOOKUP('Données projet'!$B$9,Paramètres!$A$1:$I$89,3,0)*0.475*44/12</f>
        <v>3.8433282439125477E-6</v>
      </c>
      <c r="AC77" s="24">
        <f t="shared" si="57"/>
        <v>1.2916809856936986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3.6</v>
      </c>
      <c r="AI77" s="14">
        <f>IF('Données projet'!$A$62&gt;35,AI76+AH77-AQ76,IF(A77&lt;'Données projet'!$A$62,$AF$205^A77,IF(A77='Données projet'!$A$62,'Données projet'!$B$62,AI76+AH77-AQ76)))</f>
        <v>205.39999999999964</v>
      </c>
      <c r="AJ77" s="14">
        <f>AI77*VLOOKUP('Données projet'!$B$10,Paramètres!$A$1:$I$89,3,0)*VLOOKUP('Données projet'!$B$10,Paramètres!$A$1:$I$89,5,0)</f>
        <v>179.4374399999997</v>
      </c>
      <c r="AK77" s="14">
        <f t="shared" si="89"/>
        <v>45.197004138831538</v>
      </c>
      <c r="AL77" s="22">
        <f t="shared" si="58"/>
        <v>391.23832354179768</v>
      </c>
      <c r="AM77" s="60">
        <f t="shared" si="59"/>
        <v>684.571656875131</v>
      </c>
      <c r="AN77" s="60">
        <f ca="1">AVERAGE(OFFSET($AM$3,0,0,'Données projet'!$E$10+1,1))-AVERAGE(OFFSET($H$3,0,0,'Données projet'!$E$10+1,1))</f>
        <v>233.41481265653817</v>
      </c>
      <c r="AO77" s="60">
        <f t="shared" si="90"/>
        <v>300.97465452084055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3.4000000000000172</v>
      </c>
      <c r="BD77" s="13">
        <f>IF('Données projet'!$A$88&gt;35,BD76+BC77-BL76,IF(A77&lt;'Données projet'!$A$88,$BA$205^A77,IF(A77='Données projet'!$A$88,'Données projet'!$B$88,BD76+BC77-BL76)))</f>
        <v>266.30000000000024</v>
      </c>
      <c r="BE77" s="14">
        <f>BD77*VLOOKUP('Données projet'!$B$11,Paramètres!$A$1:$I$89,3,0)*VLOOKUP('Données projet'!$B$11,Paramètres!$A$1:$I$89,5,0)</f>
        <v>211.8682800000002</v>
      </c>
      <c r="BF77" s="14">
        <f t="shared" si="91"/>
        <v>52.343641187871285</v>
      </c>
      <c r="BG77" s="22">
        <f t="shared" si="61"/>
        <v>460.16909606887612</v>
      </c>
      <c r="BH77" s="60">
        <f t="shared" si="62"/>
        <v>753.50242940220937</v>
      </c>
      <c r="BI77" s="60">
        <f ca="1">AVERAGE(OFFSET($BH$3,0,0,'Données projet'!$E$11+1,1))-AVERAGE(OFFSET($H$3,0,0,'Données projet'!$E$11+1,1))</f>
        <v>238.47463071449789</v>
      </c>
      <c r="BJ77" s="60">
        <f t="shared" si="92"/>
        <v>270.92950919803718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0" t="e">
        <f t="shared" si="65"/>
        <v>#N/A</v>
      </c>
      <c r="CD77" s="60" t="e">
        <f ca="1">AVERAGE(OFFSET($CC$3,0,0,'Données projet'!$E$12+1,1))-AVERAGE(OFFSET($H$3,0,0,'Données projet'!$E$12+1,1))</f>
        <v>#N/A</v>
      </c>
      <c r="CE77" s="60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0" t="e">
        <f t="shared" si="68"/>
        <v>#N/A</v>
      </c>
      <c r="CY77" s="60" t="e">
        <f ca="1">AVERAGE(OFFSET($CX$3,0,0,'Données projet'!$E$13+1,1))-AVERAGE(OFFSET($H$3,0,0,'Données projet'!$E$13+1,1))</f>
        <v>#N/A</v>
      </c>
      <c r="CZ77" s="60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0" t="e">
        <f t="shared" si="71"/>
        <v>#N/A</v>
      </c>
      <c r="DT77" s="60" t="e">
        <f ca="1">AVERAGE(OFFSET($DS$3,0,0,'Données projet'!$E$14+1,1))-AVERAGE(OFFSET($H$3,0,0,'Données projet'!$E$14+1,1))</f>
        <v>#N/A</v>
      </c>
      <c r="DU77" s="60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0" t="e">
        <f t="shared" si="74"/>
        <v>#N/A</v>
      </c>
      <c r="EO77" s="60" t="e">
        <f ca="1">AVERAGE(OFFSET($EN$3,0,0,'Données projet'!$E$15+1,1))-AVERAGE(OFFSET($H$3,0,0,'Données projet'!$E$15+1,1))</f>
        <v>#N/A</v>
      </c>
      <c r="EP77" s="60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8">
        <f t="shared" si="56"/>
        <v>375.238961852476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2.2737367544323206E-13</v>
      </c>
      <c r="O78" s="14">
        <f>N78*VLOOKUP('Données projet'!$B$9,Paramètres!$A$1:$I$89,3,0)*VLOOKUP('Données projet'!$B$9,Paramètres!$A$1:$I$89,5,0)</f>
        <v>1.2710188457276673E-13</v>
      </c>
      <c r="P78" s="14">
        <f t="shared" si="87"/>
        <v>1.856866851063998E-12</v>
      </c>
      <c r="Q78" s="22">
        <f t="shared" si="54"/>
        <v>3.4554122145673649E-12</v>
      </c>
      <c r="R78" s="60">
        <f t="shared" si="55"/>
        <v>293.33333333333678</v>
      </c>
      <c r="S78" s="60">
        <f ca="1">AVERAGE(OFFSET($R$3,0,0,'Données projet'!$E$9+1,1))-AVERAGE(OFFSET($H$3,0,0,'Données projet'!$E$9+1,1))</f>
        <v>256.47911362806866</v>
      </c>
      <c r="T78" s="60">
        <f t="shared" si="88"/>
        <v>230.93438491511529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1.2563561629811226</v>
      </c>
      <c r="AB78" s="23">
        <f>EXP(-LN(2)/2)*AB77+(1-EXP(-LN(2)/2))/(LN(2)/2)*V78*Y78*VLOOKUP('Données projet'!$B$9,Paramètres!$A$1:$I$89,3,0)*0.475*44/12</f>
        <v>2.7176434635963479E-6</v>
      </c>
      <c r="AC78" s="24">
        <f t="shared" si="57"/>
        <v>1.2563588806245862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209</v>
      </c>
      <c r="AG78" s="13">
        <f>VLOOKUP(A78,'Données projet'!$A$61:$I$81,9,0)</f>
        <v>3.6</v>
      </c>
      <c r="AH78" s="13">
        <f t="array" ref="AH78">INDEX(AG:AG,MIN(IF(ISNUMBER(AG78:AG274),ROW(AG78:AG274),"")))</f>
        <v>3.6</v>
      </c>
      <c r="AI78" s="14">
        <f>IF('Données projet'!$A$62&gt;35,AI77+AH78-AQ77,IF(A78&lt;'Données projet'!$A$62,$AF$205^A78,IF(A78='Données projet'!$A$62,'Données projet'!$B$62,AI77+AH78-AQ77)))</f>
        <v>208.99999999999963</v>
      </c>
      <c r="AJ78" s="14">
        <f>AI78*VLOOKUP('Données projet'!$B$10,Paramètres!$A$1:$I$89,3,0)*VLOOKUP('Données projet'!$B$10,Paramètres!$A$1:$I$89,5,0)</f>
        <v>182.58239999999969</v>
      </c>
      <c r="AK78" s="14">
        <f t="shared" si="89"/>
        <v>45.896245406460203</v>
      </c>
      <c r="AL78" s="22">
        <f t="shared" si="58"/>
        <v>397.9336407495843</v>
      </c>
      <c r="AM78" s="60">
        <f t="shared" si="59"/>
        <v>691.26697408291761</v>
      </c>
      <c r="AN78" s="60">
        <f ca="1">AVERAGE(OFFSET($AM$3,0,0,'Données projet'!$E$10+1,1))-AVERAGE(OFFSET($H$3,0,0,'Données projet'!$E$10+1,1))</f>
        <v>233.41481265653817</v>
      </c>
      <c r="AO78" s="60">
        <f t="shared" si="90"/>
        <v>300.97465452084055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269.70000000000005</v>
      </c>
      <c r="BB78" s="13">
        <f>VLOOKUP(A78,'Données projet'!$A$87:$I$107,9,0)</f>
        <v>3.4000000000000172</v>
      </c>
      <c r="BC78" s="13">
        <f t="array" ref="BC78">INDEX(BB:BB,MIN(IF(ISNUMBER(BB78:BB274),ROW(BB78:BB274),"")))</f>
        <v>3.4000000000000172</v>
      </c>
      <c r="BD78" s="13">
        <f>IF('Données projet'!$A$88&gt;35,BD77+BC78-BL77,IF(A78&lt;'Données projet'!$A$88,$BA$205^A78,IF(A78='Données projet'!$A$88,'Données projet'!$B$88,BD77+BC78-BL77)))</f>
        <v>269.70000000000027</v>
      </c>
      <c r="BE78" s="14">
        <f>BD78*VLOOKUP('Données projet'!$B$11,Paramètres!$A$1:$I$89,3,0)*VLOOKUP('Données projet'!$B$11,Paramètres!$A$1:$I$89,5,0)</f>
        <v>214.57332000000022</v>
      </c>
      <c r="BF78" s="14">
        <f t="shared" si="91"/>
        <v>52.933714646037032</v>
      </c>
      <c r="BG78" s="22">
        <f t="shared" si="61"/>
        <v>465.90808534184816</v>
      </c>
      <c r="BH78" s="60">
        <f t="shared" si="62"/>
        <v>759.24141867518142</v>
      </c>
      <c r="BI78" s="60">
        <f ca="1">AVERAGE(OFFSET($BH$3,0,0,'Données projet'!$E$11+1,1))-AVERAGE(OFFSET($H$3,0,0,'Données projet'!$E$11+1,1))</f>
        <v>238.47463071449789</v>
      </c>
      <c r="BJ78" s="60">
        <f t="shared" si="92"/>
        <v>270.92950919803718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0" t="e">
        <f t="shared" si="65"/>
        <v>#N/A</v>
      </c>
      <c r="CD78" s="60" t="e">
        <f ca="1">AVERAGE(OFFSET($CC$3,0,0,'Données projet'!$E$12+1,1))-AVERAGE(OFFSET($H$3,0,0,'Données projet'!$E$12+1,1))</f>
        <v>#N/A</v>
      </c>
      <c r="CE78" s="60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0" t="e">
        <f t="shared" si="68"/>
        <v>#N/A</v>
      </c>
      <c r="CY78" s="60" t="e">
        <f ca="1">AVERAGE(OFFSET($CX$3,0,0,'Données projet'!$E$13+1,1))-AVERAGE(OFFSET($H$3,0,0,'Données projet'!$E$13+1,1))</f>
        <v>#N/A</v>
      </c>
      <c r="CZ78" s="60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0" t="e">
        <f t="shared" si="71"/>
        <v>#N/A</v>
      </c>
      <c r="DT78" s="60" t="e">
        <f ca="1">AVERAGE(OFFSET($DS$3,0,0,'Données projet'!$E$14+1,1))-AVERAGE(OFFSET($H$3,0,0,'Données projet'!$E$14+1,1))</f>
        <v>#N/A</v>
      </c>
      <c r="DU78" s="60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0" t="e">
        <f t="shared" si="74"/>
        <v>#N/A</v>
      </c>
      <c r="EO78" s="60" t="e">
        <f ca="1">AVERAGE(OFFSET($EN$3,0,0,'Données projet'!$E$15+1,1))-AVERAGE(OFFSET($H$3,0,0,'Données projet'!$E$15+1,1))</f>
        <v>#N/A</v>
      </c>
      <c r="EP78" s="60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8">
        <f t="shared" si="56"/>
        <v>376.30125896348062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2.2737367544323206E-13</v>
      </c>
      <c r="O79" s="14">
        <f>N79*VLOOKUP('Données projet'!$B$9,Paramètres!$A$1:$I$89,3,0)*VLOOKUP('Données projet'!$B$9,Paramètres!$A$1:$I$89,5,0)</f>
        <v>1.2710188457276673E-13</v>
      </c>
      <c r="P79" s="14">
        <f t="shared" si="87"/>
        <v>1.856866851063998E-12</v>
      </c>
      <c r="Q79" s="22">
        <f t="shared" si="54"/>
        <v>3.4554122145673649E-12</v>
      </c>
      <c r="R79" s="60">
        <f t="shared" si="55"/>
        <v>293.33333333333678</v>
      </c>
      <c r="S79" s="60">
        <f ca="1">AVERAGE(OFFSET($R$3,0,0,'Données projet'!$E$9+1,1))-AVERAGE(OFFSET($H$3,0,0,'Données projet'!$E$9+1,1))</f>
        <v>256.47911362806866</v>
      </c>
      <c r="T79" s="60">
        <f t="shared" si="88"/>
        <v>230.93438491511529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1.2220010376355046</v>
      </c>
      <c r="AB79" s="23">
        <f>EXP(-LN(2)/2)*AB78+(1-EXP(-LN(2)/2))/(LN(2)/2)*V79*Y79*VLOOKUP('Données projet'!$B$9,Paramètres!$A$1:$I$89,3,0)*0.475*44/12</f>
        <v>1.9216641219562739E-6</v>
      </c>
      <c r="AC79" s="24">
        <f t="shared" si="57"/>
        <v>1.2220029592996267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</v>
      </c>
      <c r="AI79" s="14">
        <f>IF('Données projet'!$A$62&gt;35,AI78+AH79-AQ78,IF(A79&lt;'Données projet'!$A$62,$AF$205^A79,IF(A79='Données projet'!$A$62,'Données projet'!$B$62,AI78+AH79-AQ78)))</f>
        <v>211.99999999999963</v>
      </c>
      <c r="AJ79" s="14">
        <f>AI79*VLOOKUP('Données projet'!$B$10,Paramètres!$A$1:$I$89,3,0)*VLOOKUP('Données projet'!$B$10,Paramètres!$A$1:$I$89,5,0)</f>
        <v>185.2031999999997</v>
      </c>
      <c r="AK79" s="14">
        <f t="shared" si="89"/>
        <v>46.477875402099343</v>
      </c>
      <c r="AL79" s="22">
        <f t="shared" si="58"/>
        <v>403.51120632532252</v>
      </c>
      <c r="AM79" s="60">
        <f t="shared" si="59"/>
        <v>696.84453965865578</v>
      </c>
      <c r="AN79" s="60">
        <f ca="1">AVERAGE(OFFSET($AM$3,0,0,'Données projet'!$E$10+1,1))-AVERAGE(OFFSET($H$3,0,0,'Données projet'!$E$10+1,1))</f>
        <v>233.41481265653817</v>
      </c>
      <c r="AO79" s="60">
        <f t="shared" si="90"/>
        <v>300.97465452084055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2.9799999999999955</v>
      </c>
      <c r="BD79" s="13">
        <f>IF('Données projet'!$A$88&gt;35,BD78+BC79-BL78,IF(A79&lt;'Données projet'!$A$88,$BA$205^A79,IF(A79='Données projet'!$A$88,'Données projet'!$B$88,BD78+BC79-BL78)))</f>
        <v>272.68000000000029</v>
      </c>
      <c r="BE79" s="14">
        <f>BD79*VLOOKUP('Données projet'!$B$11,Paramètres!$A$1:$I$89,3,0)*VLOOKUP('Données projet'!$B$11,Paramètres!$A$1:$I$89,5,0)</f>
        <v>216.94420800000023</v>
      </c>
      <c r="BF79" s="14">
        <f t="shared" si="91"/>
        <v>53.450184726422172</v>
      </c>
      <c r="BG79" s="22">
        <f t="shared" si="61"/>
        <v>470.93690066518553</v>
      </c>
      <c r="BH79" s="60">
        <f t="shared" si="62"/>
        <v>764.27023399851885</v>
      </c>
      <c r="BI79" s="60">
        <f ca="1">AVERAGE(OFFSET($BH$3,0,0,'Données projet'!$E$11+1,1))-AVERAGE(OFFSET($H$3,0,0,'Données projet'!$E$11+1,1))</f>
        <v>238.47463071449789</v>
      </c>
      <c r="BJ79" s="60">
        <f t="shared" si="92"/>
        <v>270.92950919803718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0" t="e">
        <f t="shared" si="65"/>
        <v>#N/A</v>
      </c>
      <c r="CD79" s="60" t="e">
        <f ca="1">AVERAGE(OFFSET($CC$3,0,0,'Données projet'!$E$12+1,1))-AVERAGE(OFFSET($H$3,0,0,'Données projet'!$E$12+1,1))</f>
        <v>#N/A</v>
      </c>
      <c r="CE79" s="60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0" t="e">
        <f t="shared" si="68"/>
        <v>#N/A</v>
      </c>
      <c r="CY79" s="60" t="e">
        <f ca="1">AVERAGE(OFFSET($CX$3,0,0,'Données projet'!$E$13+1,1))-AVERAGE(OFFSET($H$3,0,0,'Données projet'!$E$13+1,1))</f>
        <v>#N/A</v>
      </c>
      <c r="CZ79" s="60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0" t="e">
        <f t="shared" si="71"/>
        <v>#N/A</v>
      </c>
      <c r="DT79" s="60" t="e">
        <f ca="1">AVERAGE(OFFSET($DS$3,0,0,'Données projet'!$E$14+1,1))-AVERAGE(OFFSET($H$3,0,0,'Données projet'!$E$14+1,1))</f>
        <v>#N/A</v>
      </c>
      <c r="DU79" s="60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0" t="e">
        <f t="shared" si="74"/>
        <v>#N/A</v>
      </c>
      <c r="EO79" s="60" t="e">
        <f ca="1">AVERAGE(OFFSET($EN$3,0,0,'Données projet'!$E$15+1,1))-AVERAGE(OFFSET($H$3,0,0,'Données projet'!$E$15+1,1))</f>
        <v>#N/A</v>
      </c>
      <c r="EP79" s="60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8">
        <f t="shared" si="56"/>
        <v>377.36321240284718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2.2737367544323206E-13</v>
      </c>
      <c r="O80" s="14">
        <f>N80*VLOOKUP('Données projet'!$B$9,Paramètres!$A$1:$I$89,3,0)*VLOOKUP('Données projet'!$B$9,Paramètres!$A$1:$I$89,5,0)</f>
        <v>1.2710188457276673E-13</v>
      </c>
      <c r="P80" s="14">
        <f t="shared" si="87"/>
        <v>1.856866851063998E-12</v>
      </c>
      <c r="Q80" s="22">
        <f t="shared" si="54"/>
        <v>3.4554122145673649E-12</v>
      </c>
      <c r="R80" s="60">
        <f t="shared" si="55"/>
        <v>293.33333333333678</v>
      </c>
      <c r="S80" s="60">
        <f ca="1">AVERAGE(OFFSET($R$3,0,0,'Données projet'!$E$9+1,1))-AVERAGE(OFFSET($H$3,0,0,'Données projet'!$E$9+1,1))</f>
        <v>256.47911362806866</v>
      </c>
      <c r="T80" s="60">
        <f t="shared" si="88"/>
        <v>230.93438491511529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1.1885853549991201</v>
      </c>
      <c r="AB80" s="23">
        <f>EXP(-LN(2)/2)*AB79+(1-EXP(-LN(2)/2))/(LN(2)/2)*V80*Y80*VLOOKUP('Données projet'!$B$9,Paramètres!$A$1:$I$89,3,0)*0.475*44/12</f>
        <v>1.3588217317981739E-6</v>
      </c>
      <c r="AC80" s="24">
        <f t="shared" si="57"/>
        <v>1.1885867138208519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</v>
      </c>
      <c r="AI80" s="14">
        <f>IF('Données projet'!$A$62&gt;35,AI79+AH80-AQ79,IF(A80&lt;'Données projet'!$A$62,$AF$205^A80,IF(A80='Données projet'!$A$62,'Données projet'!$B$62,AI79+AH80-AQ79)))</f>
        <v>214.99999999999963</v>
      </c>
      <c r="AJ80" s="14">
        <f>AI80*VLOOKUP('Données projet'!$B$10,Paramètres!$A$1:$I$89,3,0)*VLOOKUP('Données projet'!$B$10,Paramètres!$A$1:$I$89,5,0)</f>
        <v>187.8239999999997</v>
      </c>
      <c r="AK80" s="14">
        <f t="shared" si="89"/>
        <v>47.058548109182645</v>
      </c>
      <c r="AL80" s="22">
        <f t="shared" si="58"/>
        <v>409.08710462349262</v>
      </c>
      <c r="AM80" s="60">
        <f t="shared" si="59"/>
        <v>702.42043795682594</v>
      </c>
      <c r="AN80" s="60">
        <f ca="1">AVERAGE(OFFSET($AM$3,0,0,'Données projet'!$E$10+1,1))-AVERAGE(OFFSET($H$3,0,0,'Données projet'!$E$10+1,1))</f>
        <v>233.41481265653817</v>
      </c>
      <c r="AO80" s="60">
        <f t="shared" si="90"/>
        <v>300.97465452084055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2.9799999999999955</v>
      </c>
      <c r="BD80" s="13">
        <f>IF('Données projet'!$A$88&gt;35,BD79+BC80-BL79,IF(A80&lt;'Données projet'!$A$88,$BA$205^A80,IF(A80='Données projet'!$A$88,'Données projet'!$B$88,BD79+BC80-BL79)))</f>
        <v>275.66000000000031</v>
      </c>
      <c r="BE80" s="14">
        <f>BD80*VLOOKUP('Données projet'!$B$11,Paramètres!$A$1:$I$89,3,0)*VLOOKUP('Données projet'!$B$11,Paramètres!$A$1:$I$89,5,0)</f>
        <v>219.31509600000024</v>
      </c>
      <c r="BF80" s="14">
        <f t="shared" si="91"/>
        <v>53.965998217102616</v>
      </c>
      <c r="BG80" s="22">
        <f t="shared" si="61"/>
        <v>475.96457242812079</v>
      </c>
      <c r="BH80" s="60">
        <f t="shared" si="62"/>
        <v>769.2979057614541</v>
      </c>
      <c r="BI80" s="60">
        <f ca="1">AVERAGE(OFFSET($BH$3,0,0,'Données projet'!$E$11+1,1))-AVERAGE(OFFSET($H$3,0,0,'Données projet'!$E$11+1,1))</f>
        <v>238.47463071449789</v>
      </c>
      <c r="BJ80" s="60">
        <f t="shared" si="92"/>
        <v>270.92950919803718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0" t="e">
        <f t="shared" si="65"/>
        <v>#N/A</v>
      </c>
      <c r="CD80" s="60" t="e">
        <f ca="1">AVERAGE(OFFSET($CC$3,0,0,'Données projet'!$E$12+1,1))-AVERAGE(OFFSET($H$3,0,0,'Données projet'!$E$12+1,1))</f>
        <v>#N/A</v>
      </c>
      <c r="CE80" s="60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0" t="e">
        <f t="shared" si="68"/>
        <v>#N/A</v>
      </c>
      <c r="CY80" s="60" t="e">
        <f ca="1">AVERAGE(OFFSET($CX$3,0,0,'Données projet'!$E$13+1,1))-AVERAGE(OFFSET($H$3,0,0,'Données projet'!$E$13+1,1))</f>
        <v>#N/A</v>
      </c>
      <c r="CZ80" s="60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0" t="e">
        <f t="shared" si="71"/>
        <v>#N/A</v>
      </c>
      <c r="DT80" s="60" t="e">
        <f ca="1">AVERAGE(OFFSET($DS$3,0,0,'Données projet'!$E$14+1,1))-AVERAGE(OFFSET($H$3,0,0,'Données projet'!$E$14+1,1))</f>
        <v>#N/A</v>
      </c>
      <c r="DU80" s="60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0" t="e">
        <f t="shared" si="74"/>
        <v>#N/A</v>
      </c>
      <c r="EO80" s="60" t="e">
        <f ca="1">AVERAGE(OFFSET($EN$3,0,0,'Données projet'!$E$15+1,1))-AVERAGE(OFFSET($H$3,0,0,'Données projet'!$E$15+1,1))</f>
        <v>#N/A</v>
      </c>
      <c r="EP80" s="60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8">
        <f t="shared" si="56"/>
        <v>378.42482714988546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2.2737367544323206E-13</v>
      </c>
      <c r="O81" s="14">
        <f>N81*VLOOKUP('Données projet'!$B$9,Paramètres!$A$1:$I$89,3,0)*VLOOKUP('Données projet'!$B$9,Paramètres!$A$1:$I$89,5,0)</f>
        <v>1.2710188457276673E-13</v>
      </c>
      <c r="P81" s="14">
        <f t="shared" si="87"/>
        <v>1.856866851063998E-12</v>
      </c>
      <c r="Q81" s="22">
        <f t="shared" si="54"/>
        <v>3.4554122145673649E-12</v>
      </c>
      <c r="R81" s="60">
        <f t="shared" si="55"/>
        <v>293.33333333333678</v>
      </c>
      <c r="S81" s="60">
        <f ca="1">AVERAGE(OFFSET($R$3,0,0,'Données projet'!$E$9+1,1))-AVERAGE(OFFSET($H$3,0,0,'Données projet'!$E$9+1,1))</f>
        <v>256.47911362806866</v>
      </c>
      <c r="T81" s="60">
        <f t="shared" si="88"/>
        <v>230.93438491511529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1.1560834259616819</v>
      </c>
      <c r="AB81" s="23">
        <f>EXP(-LN(2)/2)*AB80+(1-EXP(-LN(2)/2))/(LN(2)/2)*V81*Y81*VLOOKUP('Données projet'!$B$9,Paramètres!$A$1:$I$89,3,0)*0.475*44/12</f>
        <v>9.6083206097813694E-7</v>
      </c>
      <c r="AC81" s="24">
        <f t="shared" si="57"/>
        <v>1.1560843867937429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</v>
      </c>
      <c r="AI81" s="14">
        <f>IF('Données projet'!$A$62&gt;35,AI80+AH81-AQ80,IF(A81&lt;'Données projet'!$A$62,$AF$205^A81,IF(A81='Données projet'!$A$62,'Données projet'!$B$62,AI80+AH81-AQ80)))</f>
        <v>217.99999999999963</v>
      </c>
      <c r="AJ81" s="14">
        <f>AI81*VLOOKUP('Données projet'!$B$10,Paramètres!$A$1:$I$89,3,0)*VLOOKUP('Données projet'!$B$10,Paramètres!$A$1:$I$89,5,0)</f>
        <v>190.4447999999997</v>
      </c>
      <c r="AK81" s="14">
        <f t="shared" si="89"/>
        <v>47.638278428909146</v>
      </c>
      <c r="AL81" s="22">
        <f t="shared" si="58"/>
        <v>414.6613615970162</v>
      </c>
      <c r="AM81" s="60">
        <f t="shared" si="59"/>
        <v>707.99469493034951</v>
      </c>
      <c r="AN81" s="60">
        <f ca="1">AVERAGE(OFFSET($AM$3,0,0,'Données projet'!$E$10+1,1))-AVERAGE(OFFSET($H$3,0,0,'Données projet'!$E$10+1,1))</f>
        <v>233.41481265653817</v>
      </c>
      <c r="AO81" s="60">
        <f t="shared" si="90"/>
        <v>300.97465452084055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2.9799999999999955</v>
      </c>
      <c r="BD81" s="13">
        <f>IF('Données projet'!$A$88&gt;35,BD80+BC81-BL80,IF(A81&lt;'Données projet'!$A$88,$BA$205^A81,IF(A81='Données projet'!$A$88,'Données projet'!$B$88,BD80+BC81-BL80)))</f>
        <v>278.64000000000033</v>
      </c>
      <c r="BE81" s="14">
        <f>BD81*VLOOKUP('Données projet'!$B$11,Paramètres!$A$1:$I$89,3,0)*VLOOKUP('Données projet'!$B$11,Paramètres!$A$1:$I$89,5,0)</f>
        <v>221.68598400000027</v>
      </c>
      <c r="BF81" s="14">
        <f t="shared" si="91"/>
        <v>54.481163037622622</v>
      </c>
      <c r="BG81" s="22">
        <f t="shared" si="61"/>
        <v>480.99111442385987</v>
      </c>
      <c r="BH81" s="60">
        <f t="shared" si="62"/>
        <v>774.32444775719318</v>
      </c>
      <c r="BI81" s="60">
        <f ca="1">AVERAGE(OFFSET($BH$3,0,0,'Données projet'!$E$11+1,1))-AVERAGE(OFFSET($H$3,0,0,'Données projet'!$E$11+1,1))</f>
        <v>238.47463071449789</v>
      </c>
      <c r="BJ81" s="60">
        <f t="shared" si="92"/>
        <v>270.92950919803718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0" t="e">
        <f t="shared" si="65"/>
        <v>#N/A</v>
      </c>
      <c r="CD81" s="60" t="e">
        <f ca="1">AVERAGE(OFFSET($CC$3,0,0,'Données projet'!$E$12+1,1))-AVERAGE(OFFSET($H$3,0,0,'Données projet'!$E$12+1,1))</f>
        <v>#N/A</v>
      </c>
      <c r="CE81" s="60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0" t="e">
        <f t="shared" si="68"/>
        <v>#N/A</v>
      </c>
      <c r="CY81" s="60" t="e">
        <f ca="1">AVERAGE(OFFSET($CX$3,0,0,'Données projet'!$E$13+1,1))-AVERAGE(OFFSET($H$3,0,0,'Données projet'!$E$13+1,1))</f>
        <v>#N/A</v>
      </c>
      <c r="CZ81" s="60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0" t="e">
        <f t="shared" si="71"/>
        <v>#N/A</v>
      </c>
      <c r="DT81" s="60" t="e">
        <f ca="1">AVERAGE(OFFSET($DS$3,0,0,'Données projet'!$E$14+1,1))-AVERAGE(OFFSET($H$3,0,0,'Données projet'!$E$14+1,1))</f>
        <v>#N/A</v>
      </c>
      <c r="DU81" s="60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0" t="e">
        <f t="shared" si="74"/>
        <v>#N/A</v>
      </c>
      <c r="EO81" s="60" t="e">
        <f ca="1">AVERAGE(OFFSET($EN$3,0,0,'Données projet'!$E$15+1,1))-AVERAGE(OFFSET($H$3,0,0,'Données projet'!$E$15+1,1))</f>
        <v>#N/A</v>
      </c>
      <c r="EP81" s="60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8">
        <f t="shared" si="56"/>
        <v>379.48610804888961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2.2737367544323206E-13</v>
      </c>
      <c r="O82" s="14">
        <f>N82*VLOOKUP('Données projet'!$B$9,Paramètres!$A$1:$I$89,3,0)*VLOOKUP('Données projet'!$B$9,Paramètres!$A$1:$I$89,5,0)</f>
        <v>1.2710188457276673E-13</v>
      </c>
      <c r="P82" s="14">
        <f t="shared" si="87"/>
        <v>1.856866851063998E-12</v>
      </c>
      <c r="Q82" s="22">
        <f t="shared" si="54"/>
        <v>3.4554122145673649E-12</v>
      </c>
      <c r="R82" s="60">
        <f t="shared" si="55"/>
        <v>293.33333333333678</v>
      </c>
      <c r="S82" s="60">
        <f ca="1">AVERAGE(OFFSET($R$3,0,0,'Données projet'!$E$9+1,1))-AVERAGE(OFFSET($H$3,0,0,'Données projet'!$E$9+1,1))</f>
        <v>256.47911362806866</v>
      </c>
      <c r="T82" s="60">
        <f t="shared" si="88"/>
        <v>230.93438491511529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1.1244702638829747</v>
      </c>
      <c r="AB82" s="23">
        <f>EXP(-LN(2)/2)*AB81+(1-EXP(-LN(2)/2))/(LN(2)/2)*V82*Y82*VLOOKUP('Données projet'!$B$9,Paramètres!$A$1:$I$89,3,0)*0.475*44/12</f>
        <v>6.7941086589908697E-7</v>
      </c>
      <c r="AC82" s="24">
        <f t="shared" si="57"/>
        <v>1.1244709432938405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</v>
      </c>
      <c r="AI82" s="14">
        <f>IF('Données projet'!$A$62&gt;35,AI81+AH82-AQ81,IF(A82&lt;'Données projet'!$A$62,$AF$205^A82,IF(A82='Données projet'!$A$62,'Données projet'!$B$62,AI81+AH82-AQ81)))</f>
        <v>220.99999999999963</v>
      </c>
      <c r="AJ82" s="14">
        <f>AI82*VLOOKUP('Données projet'!$B$10,Paramètres!$A$1:$I$89,3,0)*VLOOKUP('Données projet'!$B$10,Paramètres!$A$1:$I$89,5,0)</f>
        <v>193.06559999999971</v>
      </c>
      <c r="AK82" s="14">
        <f t="shared" si="89"/>
        <v>48.217080828790372</v>
      </c>
      <c r="AL82" s="22">
        <f t="shared" si="58"/>
        <v>420.23400244347607</v>
      </c>
      <c r="AM82" s="60">
        <f t="shared" si="59"/>
        <v>713.56733577680939</v>
      </c>
      <c r="AN82" s="60">
        <f ca="1">AVERAGE(OFFSET($AM$3,0,0,'Données projet'!$E$10+1,1))-AVERAGE(OFFSET($H$3,0,0,'Données projet'!$E$10+1,1))</f>
        <v>233.41481265653817</v>
      </c>
      <c r="AO82" s="60">
        <f t="shared" si="90"/>
        <v>300.97465452084055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2.9799999999999955</v>
      </c>
      <c r="BD82" s="13">
        <f>IF('Données projet'!$A$88&gt;35,BD81+BC82-BL81,IF(A82&lt;'Données projet'!$A$88,$BA$205^A82,IF(A82='Données projet'!$A$88,'Données projet'!$B$88,BD81+BC82-BL81)))</f>
        <v>281.62000000000035</v>
      </c>
      <c r="BE82" s="14">
        <f>BD82*VLOOKUP('Données projet'!$B$11,Paramètres!$A$1:$I$89,3,0)*VLOOKUP('Données projet'!$B$11,Paramètres!$A$1:$I$89,5,0)</f>
        <v>224.05687200000028</v>
      </c>
      <c r="BF82" s="14">
        <f t="shared" si="91"/>
        <v>54.995686928373175</v>
      </c>
      <c r="BG82" s="22">
        <f t="shared" si="61"/>
        <v>486.01654013358376</v>
      </c>
      <c r="BH82" s="60">
        <f t="shared" si="62"/>
        <v>779.34987346691707</v>
      </c>
      <c r="BI82" s="60">
        <f ca="1">AVERAGE(OFFSET($BH$3,0,0,'Données projet'!$E$11+1,1))-AVERAGE(OFFSET($H$3,0,0,'Données projet'!$E$11+1,1))</f>
        <v>238.47463071449789</v>
      </c>
      <c r="BJ82" s="60">
        <f t="shared" si="92"/>
        <v>270.92950919803718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0" t="e">
        <f t="shared" si="65"/>
        <v>#N/A</v>
      </c>
      <c r="CD82" s="60" t="e">
        <f ca="1">AVERAGE(OFFSET($CC$3,0,0,'Données projet'!$E$12+1,1))-AVERAGE(OFFSET($H$3,0,0,'Données projet'!$E$12+1,1))</f>
        <v>#N/A</v>
      </c>
      <c r="CE82" s="60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0" t="e">
        <f t="shared" si="68"/>
        <v>#N/A</v>
      </c>
      <c r="CY82" s="60" t="e">
        <f ca="1">AVERAGE(OFFSET($CX$3,0,0,'Données projet'!$E$13+1,1))-AVERAGE(OFFSET($H$3,0,0,'Données projet'!$E$13+1,1))</f>
        <v>#N/A</v>
      </c>
      <c r="CZ82" s="60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0" t="e">
        <f t="shared" si="71"/>
        <v>#N/A</v>
      </c>
      <c r="DT82" s="60" t="e">
        <f ca="1">AVERAGE(OFFSET($DS$3,0,0,'Données projet'!$E$14+1,1))-AVERAGE(OFFSET($H$3,0,0,'Données projet'!$E$14+1,1))</f>
        <v>#N/A</v>
      </c>
      <c r="DU82" s="60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0" t="e">
        <f t="shared" si="74"/>
        <v>#N/A</v>
      </c>
      <c r="EO82" s="60" t="e">
        <f ca="1">AVERAGE(OFFSET($EN$3,0,0,'Données projet'!$E$15+1,1))-AVERAGE(OFFSET($H$3,0,0,'Données projet'!$E$15+1,1))</f>
        <v>#N/A</v>
      </c>
      <c r="EP82" s="60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8">
        <f t="shared" si="56"/>
        <v>380.54705981446097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2.2737367544323206E-13</v>
      </c>
      <c r="O83" s="14">
        <f>N83*VLOOKUP('Données projet'!$B$9,Paramètres!$A$1:$I$89,3,0)*VLOOKUP('Données projet'!$B$9,Paramètres!$A$1:$I$89,5,0)</f>
        <v>1.2710188457276673E-13</v>
      </c>
      <c r="P83" s="14">
        <f t="shared" si="87"/>
        <v>1.856866851063998E-12</v>
      </c>
      <c r="Q83" s="22">
        <f t="shared" si="54"/>
        <v>3.4554122145673649E-12</v>
      </c>
      <c r="R83" s="60">
        <f t="shared" si="55"/>
        <v>293.33333333333678</v>
      </c>
      <c r="S83" s="60">
        <f ca="1">AVERAGE(OFFSET($R$3,0,0,'Données projet'!$E$9+1,1))-AVERAGE(OFFSET($H$3,0,0,'Données projet'!$E$9+1,1))</f>
        <v>256.47911362806866</v>
      </c>
      <c r="T83" s="60">
        <f t="shared" si="88"/>
        <v>230.93438491511529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1.0937215653837735</v>
      </c>
      <c r="AB83" s="23">
        <f>EXP(-LN(2)/2)*AB82+(1-EXP(-LN(2)/2))/(LN(2)/2)*V83*Y83*VLOOKUP('Données projet'!$B$9,Paramètres!$A$1:$I$89,3,0)*0.475*44/12</f>
        <v>4.8041603048906847E-7</v>
      </c>
      <c r="AC83" s="24">
        <f t="shared" si="57"/>
        <v>1.093722045799804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224</v>
      </c>
      <c r="AG83" s="13">
        <f>VLOOKUP(A83,'Données projet'!$A$61:$I$81,9,0)</f>
        <v>3</v>
      </c>
      <c r="AH83" s="13">
        <f t="array" ref="AH83">INDEX(AG:AG,MIN(IF(ISNUMBER(AG83:AG279),ROW(AG83:AG279),"")))</f>
        <v>3</v>
      </c>
      <c r="AI83" s="14">
        <f>IF('Données projet'!$A$62&gt;35,AI82+AH83-AQ82,IF(A83&lt;'Données projet'!$A$62,$AF$205^A83,IF(A83='Données projet'!$A$62,'Données projet'!$B$62,AI82+AH83-AQ82)))</f>
        <v>223.99999999999963</v>
      </c>
      <c r="AJ83" s="14">
        <f>AI83*VLOOKUP('Données projet'!$B$10,Paramètres!$A$1:$I$89,3,0)*VLOOKUP('Données projet'!$B$10,Paramètres!$A$1:$I$89,5,0)</f>
        <v>195.68639999999968</v>
      </c>
      <c r="AK83" s="14">
        <f t="shared" si="89"/>
        <v>48.794969360985071</v>
      </c>
      <c r="AL83" s="22">
        <f t="shared" si="58"/>
        <v>425.80505163704839</v>
      </c>
      <c r="AM83" s="60">
        <f t="shared" si="59"/>
        <v>719.13838497038171</v>
      </c>
      <c r="AN83" s="60">
        <f ca="1">AVERAGE(OFFSET($AM$3,0,0,'Données projet'!$E$10+1,1))-AVERAGE(OFFSET($H$3,0,0,'Données projet'!$E$10+1,1))</f>
        <v>233.41481265653817</v>
      </c>
      <c r="AO83" s="60">
        <f t="shared" si="90"/>
        <v>300.97465452084055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24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284.60000000000002</v>
      </c>
      <c r="BB83" s="13">
        <f>VLOOKUP(A83,'Données projet'!$A$87:$I$107,9,0)</f>
        <v>2.9799999999999955</v>
      </c>
      <c r="BC83" s="13">
        <f t="array" ref="BC83">INDEX(BB:BB,MIN(IF(ISNUMBER(BB83:BB279),ROW(BB83:BB279),"")))</f>
        <v>2.9799999999999955</v>
      </c>
      <c r="BD83" s="13">
        <f>IF('Données projet'!$A$88&gt;35,BD82+BC83-BL82,IF(A83&lt;'Données projet'!$A$88,$BA$205^A83,IF(A83='Données projet'!$A$88,'Données projet'!$B$88,BD82+BC83-BL82)))</f>
        <v>284.60000000000036</v>
      </c>
      <c r="BE83" s="14">
        <f>BD83*VLOOKUP('Données projet'!$B$11,Paramètres!$A$1:$I$89,3,0)*VLOOKUP('Données projet'!$B$11,Paramètres!$A$1:$I$89,5,0)</f>
        <v>226.42776000000029</v>
      </c>
      <c r="BF83" s="14">
        <f t="shared" si="91"/>
        <v>55.50957745649643</v>
      </c>
      <c r="BG83" s="22">
        <f t="shared" si="61"/>
        <v>491.0408627367317</v>
      </c>
      <c r="BH83" s="60">
        <f t="shared" si="62"/>
        <v>784.37419607006495</v>
      </c>
      <c r="BI83" s="60">
        <f ca="1">AVERAGE(OFFSET($BH$3,0,0,'Données projet'!$E$11+1,1))-AVERAGE(OFFSET($H$3,0,0,'Données projet'!$E$11+1,1))</f>
        <v>238.47463071449789</v>
      </c>
      <c r="BJ83" s="60">
        <f t="shared" si="92"/>
        <v>270.92950919803718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284.60000000000002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0" t="e">
        <f t="shared" si="65"/>
        <v>#N/A</v>
      </c>
      <c r="CD83" s="60" t="e">
        <f ca="1">AVERAGE(OFFSET($CC$3,0,0,'Données projet'!$E$12+1,1))-AVERAGE(OFFSET($H$3,0,0,'Données projet'!$E$12+1,1))</f>
        <v>#N/A</v>
      </c>
      <c r="CE83" s="60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0" t="e">
        <f t="shared" si="68"/>
        <v>#N/A</v>
      </c>
      <c r="CY83" s="60" t="e">
        <f ca="1">AVERAGE(OFFSET($CX$3,0,0,'Données projet'!$E$13+1,1))-AVERAGE(OFFSET($H$3,0,0,'Données projet'!$E$13+1,1))</f>
        <v>#N/A</v>
      </c>
      <c r="CZ83" s="60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0" t="e">
        <f t="shared" si="71"/>
        <v>#N/A</v>
      </c>
      <c r="DT83" s="60" t="e">
        <f ca="1">AVERAGE(OFFSET($DS$3,0,0,'Données projet'!$E$14+1,1))-AVERAGE(OFFSET($H$3,0,0,'Données projet'!$E$14+1,1))</f>
        <v>#N/A</v>
      </c>
      <c r="DU83" s="60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0" t="e">
        <f t="shared" si="74"/>
        <v>#N/A</v>
      </c>
      <c r="EO83" s="60" t="e">
        <f ca="1">AVERAGE(OFFSET($EN$3,0,0,'Données projet'!$E$15+1,1))-AVERAGE(OFFSET($H$3,0,0,'Données projet'!$E$15+1,1))</f>
        <v>#N/A</v>
      </c>
      <c r="EP83" s="60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8">
        <f t="shared" si="56"/>
        <v>381.60768703655714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2.2737367544323206E-13</v>
      </c>
      <c r="O84" s="14">
        <f>N84*VLOOKUP('Données projet'!$B$9,Paramètres!$A$1:$I$89,3,0)*VLOOKUP('Données projet'!$B$9,Paramètres!$A$1:$I$89,5,0)</f>
        <v>1.2710188457276673E-13</v>
      </c>
      <c r="P84" s="14">
        <f t="shared" si="87"/>
        <v>1.856866851063998E-12</v>
      </c>
      <c r="Q84" s="22">
        <f t="shared" si="54"/>
        <v>3.4554122145673649E-12</v>
      </c>
      <c r="R84" s="60">
        <f t="shared" si="55"/>
        <v>293.33333333333678</v>
      </c>
      <c r="S84" s="60">
        <f ca="1">AVERAGE(OFFSET($R$3,0,0,'Données projet'!$E$9+1,1))-AVERAGE(OFFSET($H$3,0,0,'Données projet'!$E$9+1,1))</f>
        <v>256.47911362806866</v>
      </c>
      <c r="T84" s="60">
        <f t="shared" si="88"/>
        <v>230.93438491511529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1.0638136916620369</v>
      </c>
      <c r="AB84" s="23">
        <f>EXP(-LN(2)/2)*AB83+(1-EXP(-LN(2)/2))/(LN(2)/2)*V84*Y84*VLOOKUP('Données projet'!$B$9,Paramètres!$A$1:$I$89,3,0)*0.475*44/12</f>
        <v>3.3970543294954348E-7</v>
      </c>
      <c r="AC84" s="24">
        <f t="shared" si="57"/>
        <v>1.0638140313674698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2.6</v>
      </c>
      <c r="AI84" s="14">
        <f>IF('Données projet'!$A$62&gt;35,AI83+AH84-AQ83,IF(A84&lt;'Données projet'!$A$62,$AF$205^A84,IF(A84='Données projet'!$A$62,'Données projet'!$B$62,AI83+AH84-AQ83)))</f>
        <v>202.59999999999962</v>
      </c>
      <c r="AJ84" s="14">
        <f>AI84*VLOOKUP('Données projet'!$B$10,Paramètres!$A$1:$I$89,3,0)*VLOOKUP('Données projet'!$B$10,Paramètres!$A$1:$I$89,5,0)</f>
        <v>176.9913599999997</v>
      </c>
      <c r="AK84" s="14">
        <f t="shared" si="89"/>
        <v>44.65216395512175</v>
      </c>
      <c r="AL84" s="22">
        <f t="shared" si="58"/>
        <v>386.02913755516988</v>
      </c>
      <c r="AM84" s="60">
        <f t="shared" si="59"/>
        <v>679.36247088850314</v>
      </c>
      <c r="AN84" s="60">
        <f ca="1">AVERAGE(OFFSET($AM$3,0,0,'Données projet'!$E$10+1,1))-AVERAGE(OFFSET($H$3,0,0,'Données projet'!$E$10+1,1))</f>
        <v>233.41481265653817</v>
      </c>
      <c r="AO84" s="60">
        <f t="shared" si="90"/>
        <v>300.97465452084055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3.4106051316484809E-13</v>
      </c>
      <c r="BE84" s="14">
        <f>BD84*VLOOKUP('Données projet'!$B$11,Paramètres!$A$1:$I$89,3,0)*VLOOKUP('Données projet'!$B$11,Paramètres!$A$1:$I$89,5,0)</f>
        <v>2.7134774427395314E-13</v>
      </c>
      <c r="BF84" s="14">
        <f t="shared" si="91"/>
        <v>3.6292411711343559E-12</v>
      </c>
      <c r="BG84" s="22">
        <f t="shared" si="61"/>
        <v>6.7935256943361388E-12</v>
      </c>
      <c r="BH84" s="60">
        <f t="shared" si="62"/>
        <v>293.33333333334014</v>
      </c>
      <c r="BI84" s="60">
        <f ca="1">AVERAGE(OFFSET($BH$3,0,0,'Données projet'!$E$11+1,1))-AVERAGE(OFFSET($H$3,0,0,'Données projet'!$E$11+1,1))</f>
        <v>238.47463071449789</v>
      </c>
      <c r="BJ84" s="60">
        <f t="shared" si="92"/>
        <v>270.92950919803718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0" t="e">
        <f t="shared" si="65"/>
        <v>#N/A</v>
      </c>
      <c r="CD84" s="60" t="e">
        <f ca="1">AVERAGE(OFFSET($CC$3,0,0,'Données projet'!$E$12+1,1))-AVERAGE(OFFSET($H$3,0,0,'Données projet'!$E$12+1,1))</f>
        <v>#N/A</v>
      </c>
      <c r="CE84" s="60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0" t="e">
        <f t="shared" si="68"/>
        <v>#N/A</v>
      </c>
      <c r="CY84" s="60" t="e">
        <f ca="1">AVERAGE(OFFSET($CX$3,0,0,'Données projet'!$E$13+1,1))-AVERAGE(OFFSET($H$3,0,0,'Données projet'!$E$13+1,1))</f>
        <v>#N/A</v>
      </c>
      <c r="CZ84" s="60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0" t="e">
        <f t="shared" si="71"/>
        <v>#N/A</v>
      </c>
      <c r="DT84" s="60" t="e">
        <f ca="1">AVERAGE(OFFSET($DS$3,0,0,'Données projet'!$E$14+1,1))-AVERAGE(OFFSET($H$3,0,0,'Données projet'!$E$14+1,1))</f>
        <v>#N/A</v>
      </c>
      <c r="DU84" s="60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0" t="e">
        <f t="shared" si="74"/>
        <v>#N/A</v>
      </c>
      <c r="EO84" s="60" t="e">
        <f ca="1">AVERAGE(OFFSET($EN$3,0,0,'Données projet'!$E$15+1,1))-AVERAGE(OFFSET($H$3,0,0,'Données projet'!$E$15+1,1))</f>
        <v>#N/A</v>
      </c>
      <c r="EP84" s="60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8">
        <f t="shared" si="56"/>
        <v>382.66799418528461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2.2737367544323206E-13</v>
      </c>
      <c r="O85" s="14">
        <f>N85*VLOOKUP('Données projet'!$B$9,Paramètres!$A$1:$I$89,3,0)*VLOOKUP('Données projet'!$B$9,Paramètres!$A$1:$I$89,5,0)</f>
        <v>1.2710188457276673E-13</v>
      </c>
      <c r="P85" s="14">
        <f t="shared" si="87"/>
        <v>1.856866851063998E-12</v>
      </c>
      <c r="Q85" s="22">
        <f t="shared" si="54"/>
        <v>3.4554122145673649E-12</v>
      </c>
      <c r="R85" s="60">
        <f t="shared" si="55"/>
        <v>293.33333333333678</v>
      </c>
      <c r="S85" s="60">
        <f ca="1">AVERAGE(OFFSET($R$3,0,0,'Données projet'!$E$9+1,1))-AVERAGE(OFFSET($H$3,0,0,'Données projet'!$E$9+1,1))</f>
        <v>256.47911362806866</v>
      </c>
      <c r="T85" s="60">
        <f t="shared" si="88"/>
        <v>230.93438491511529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1.0347236503200079</v>
      </c>
      <c r="AB85" s="23">
        <f>EXP(-LN(2)/2)*AB84+(1-EXP(-LN(2)/2))/(LN(2)/2)*V85*Y85*VLOOKUP('Données projet'!$B$9,Paramètres!$A$1:$I$89,3,0)*0.475*44/12</f>
        <v>2.4020801524453423E-7</v>
      </c>
      <c r="AC85" s="24">
        <f t="shared" si="57"/>
        <v>1.0347238905280232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2.6</v>
      </c>
      <c r="AI85" s="14">
        <f>IF('Données projet'!$A$62&gt;35,AI84+AH85-AQ84,IF(A85&lt;'Données projet'!$A$62,$AF$205^A85,IF(A85='Données projet'!$A$62,'Données projet'!$B$62,AI84+AH85-AQ84)))</f>
        <v>205.19999999999962</v>
      </c>
      <c r="AJ85" s="14">
        <f>AI85*VLOOKUP('Données projet'!$B$10,Paramètres!$A$1:$I$89,3,0)*VLOOKUP('Données projet'!$B$10,Paramètres!$A$1:$I$89,5,0)</f>
        <v>179.26271999999969</v>
      </c>
      <c r="AK85" s="14">
        <f t="shared" si="89"/>
        <v>45.158115787467068</v>
      </c>
      <c r="AL85" s="22">
        <f t="shared" si="58"/>
        <v>390.86628899650458</v>
      </c>
      <c r="AM85" s="60">
        <f t="shared" si="59"/>
        <v>684.19962232983789</v>
      </c>
      <c r="AN85" s="60">
        <f ca="1">AVERAGE(OFFSET($AM$3,0,0,'Données projet'!$E$10+1,1))-AVERAGE(OFFSET($H$3,0,0,'Données projet'!$E$10+1,1))</f>
        <v>233.41481265653817</v>
      </c>
      <c r="AO85" s="60">
        <f t="shared" si="90"/>
        <v>300.97465452084055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3.4106051316484809E-13</v>
      </c>
      <c r="BE85" s="14">
        <f>BD85*VLOOKUP('Données projet'!$B$11,Paramètres!$A$1:$I$89,3,0)*VLOOKUP('Données projet'!$B$11,Paramètres!$A$1:$I$89,5,0)</f>
        <v>2.7134774427395314E-13</v>
      </c>
      <c r="BF85" s="14">
        <f t="shared" si="91"/>
        <v>3.6292411711343559E-12</v>
      </c>
      <c r="BG85" s="22">
        <f t="shared" si="61"/>
        <v>6.7935256943361388E-12</v>
      </c>
      <c r="BH85" s="60">
        <f t="shared" si="62"/>
        <v>293.33333333334014</v>
      </c>
      <c r="BI85" s="60">
        <f ca="1">AVERAGE(OFFSET($BH$3,0,0,'Données projet'!$E$11+1,1))-AVERAGE(OFFSET($H$3,0,0,'Données projet'!$E$11+1,1))</f>
        <v>238.47463071449789</v>
      </c>
      <c r="BJ85" s="60">
        <f t="shared" si="92"/>
        <v>270.92950919803718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0" t="e">
        <f t="shared" si="65"/>
        <v>#N/A</v>
      </c>
      <c r="CD85" s="60" t="e">
        <f ca="1">AVERAGE(OFFSET($CC$3,0,0,'Données projet'!$E$12+1,1))-AVERAGE(OFFSET($H$3,0,0,'Données projet'!$E$12+1,1))</f>
        <v>#N/A</v>
      </c>
      <c r="CE85" s="60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0" t="e">
        <f t="shared" si="68"/>
        <v>#N/A</v>
      </c>
      <c r="CY85" s="60" t="e">
        <f ca="1">AVERAGE(OFFSET($CX$3,0,0,'Données projet'!$E$13+1,1))-AVERAGE(OFFSET($H$3,0,0,'Données projet'!$E$13+1,1))</f>
        <v>#N/A</v>
      </c>
      <c r="CZ85" s="60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0" t="e">
        <f t="shared" si="71"/>
        <v>#N/A</v>
      </c>
      <c r="DT85" s="60" t="e">
        <f ca="1">AVERAGE(OFFSET($DS$3,0,0,'Données projet'!$E$14+1,1))-AVERAGE(OFFSET($H$3,0,0,'Données projet'!$E$14+1,1))</f>
        <v>#N/A</v>
      </c>
      <c r="DU85" s="60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0" t="e">
        <f t="shared" si="74"/>
        <v>#N/A</v>
      </c>
      <c r="EO85" s="60" t="e">
        <f ca="1">AVERAGE(OFFSET($EN$3,0,0,'Données projet'!$E$15+1,1))-AVERAGE(OFFSET($H$3,0,0,'Données projet'!$E$15+1,1))</f>
        <v>#N/A</v>
      </c>
      <c r="EP85" s="60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8">
        <f t="shared" si="56"/>
        <v>383.7279856154509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2.2737367544323206E-13</v>
      </c>
      <c r="O86" s="14">
        <f>N86*VLOOKUP('Données projet'!$B$9,Paramètres!$A$1:$I$89,3,0)*VLOOKUP('Données projet'!$B$9,Paramètres!$A$1:$I$89,5,0)</f>
        <v>1.2710188457276673E-13</v>
      </c>
      <c r="P86" s="14">
        <f t="shared" si="87"/>
        <v>1.856866851063998E-12</v>
      </c>
      <c r="Q86" s="22">
        <f t="shared" si="54"/>
        <v>3.4554122145673649E-12</v>
      </c>
      <c r="R86" s="60">
        <f t="shared" si="55"/>
        <v>293.33333333333678</v>
      </c>
      <c r="S86" s="60">
        <f ca="1">AVERAGE(OFFSET($R$3,0,0,'Données projet'!$E$9+1,1))-AVERAGE(OFFSET($H$3,0,0,'Données projet'!$E$9+1,1))</f>
        <v>256.47911362806866</v>
      </c>
      <c r="T86" s="60">
        <f t="shared" si="88"/>
        <v>230.93438491511529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1.0064290776882554</v>
      </c>
      <c r="AB86" s="23">
        <f>EXP(-LN(2)/2)*AB85+(1-EXP(-LN(2)/2))/(LN(2)/2)*V86*Y86*VLOOKUP('Données projet'!$B$9,Paramètres!$A$1:$I$89,3,0)*0.475*44/12</f>
        <v>1.6985271647477174E-7</v>
      </c>
      <c r="AC86" s="24">
        <f t="shared" si="57"/>
        <v>1.006429247540972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2.6</v>
      </c>
      <c r="AI86" s="14">
        <f>IF('Données projet'!$A$62&gt;35,AI85+AH86-AQ85,IF(A86&lt;'Données projet'!$A$62,$AF$205^A86,IF(A86='Données projet'!$A$62,'Données projet'!$B$62,AI85+AH86-AQ85)))</f>
        <v>207.79999999999961</v>
      </c>
      <c r="AJ86" s="14">
        <f>AI86*VLOOKUP('Données projet'!$B$10,Paramètres!$A$1:$I$89,3,0)*VLOOKUP('Données projet'!$B$10,Paramètres!$A$1:$I$89,5,0)</f>
        <v>181.53407999999968</v>
      </c>
      <c r="AK86" s="14">
        <f t="shared" si="89"/>
        <v>45.663321943731816</v>
      </c>
      <c r="AL86" s="22">
        <f t="shared" si="58"/>
        <v>395.7021417186657</v>
      </c>
      <c r="AM86" s="60">
        <f t="shared" si="59"/>
        <v>689.03547505199901</v>
      </c>
      <c r="AN86" s="60">
        <f ca="1">AVERAGE(OFFSET($AM$3,0,0,'Données projet'!$E$10+1,1))-AVERAGE(OFFSET($H$3,0,0,'Données projet'!$E$10+1,1))</f>
        <v>233.41481265653817</v>
      </c>
      <c r="AO86" s="60">
        <f t="shared" si="90"/>
        <v>300.97465452084055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3.4106051316484809E-13</v>
      </c>
      <c r="BE86" s="14">
        <f>BD86*VLOOKUP('Données projet'!$B$11,Paramètres!$A$1:$I$89,3,0)*VLOOKUP('Données projet'!$B$11,Paramètres!$A$1:$I$89,5,0)</f>
        <v>2.7134774427395314E-13</v>
      </c>
      <c r="BF86" s="14">
        <f t="shared" si="91"/>
        <v>3.6292411711343559E-12</v>
      </c>
      <c r="BG86" s="22">
        <f t="shared" si="61"/>
        <v>6.7935256943361388E-12</v>
      </c>
      <c r="BH86" s="60">
        <f t="shared" si="62"/>
        <v>293.33333333334014</v>
      </c>
      <c r="BI86" s="60">
        <f ca="1">AVERAGE(OFFSET($BH$3,0,0,'Données projet'!$E$11+1,1))-AVERAGE(OFFSET($H$3,0,0,'Données projet'!$E$11+1,1))</f>
        <v>238.47463071449789</v>
      </c>
      <c r="BJ86" s="60">
        <f t="shared" si="92"/>
        <v>270.92950919803718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0" t="e">
        <f t="shared" si="65"/>
        <v>#N/A</v>
      </c>
      <c r="CD86" s="60" t="e">
        <f ca="1">AVERAGE(OFFSET($CC$3,0,0,'Données projet'!$E$12+1,1))-AVERAGE(OFFSET($H$3,0,0,'Données projet'!$E$12+1,1))</f>
        <v>#N/A</v>
      </c>
      <c r="CE86" s="60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0" t="e">
        <f t="shared" si="68"/>
        <v>#N/A</v>
      </c>
      <c r="CY86" s="60" t="e">
        <f ca="1">AVERAGE(OFFSET($CX$3,0,0,'Données projet'!$E$13+1,1))-AVERAGE(OFFSET($H$3,0,0,'Données projet'!$E$13+1,1))</f>
        <v>#N/A</v>
      </c>
      <c r="CZ86" s="60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0" t="e">
        <f t="shared" si="71"/>
        <v>#N/A</v>
      </c>
      <c r="DT86" s="60" t="e">
        <f ca="1">AVERAGE(OFFSET($DS$3,0,0,'Données projet'!$E$14+1,1))-AVERAGE(OFFSET($H$3,0,0,'Données projet'!$E$14+1,1))</f>
        <v>#N/A</v>
      </c>
      <c r="DU86" s="60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0" t="e">
        <f t="shared" si="74"/>
        <v>#N/A</v>
      </c>
      <c r="EO86" s="60" t="e">
        <f ca="1">AVERAGE(OFFSET($EN$3,0,0,'Données projet'!$E$15+1,1))-AVERAGE(OFFSET($H$3,0,0,'Données projet'!$E$15+1,1))</f>
        <v>#N/A</v>
      </c>
      <c r="EP86" s="60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8">
        <f t="shared" si="56"/>
        <v>384.78766557089091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2.2737367544323206E-13</v>
      </c>
      <c r="O87" s="14">
        <f>N87*VLOOKUP('Données projet'!$B$9,Paramètres!$A$1:$I$89,3,0)*VLOOKUP('Données projet'!$B$9,Paramètres!$A$1:$I$89,5,0)</f>
        <v>1.2710188457276673E-13</v>
      </c>
      <c r="P87" s="14">
        <f t="shared" si="87"/>
        <v>1.856866851063998E-12</v>
      </c>
      <c r="Q87" s="22">
        <f t="shared" si="54"/>
        <v>3.4554122145673649E-12</v>
      </c>
      <c r="R87" s="60">
        <f t="shared" si="55"/>
        <v>293.33333333333678</v>
      </c>
      <c r="S87" s="60">
        <f ca="1">AVERAGE(OFFSET($R$3,0,0,'Données projet'!$E$9+1,1))-AVERAGE(OFFSET($H$3,0,0,'Données projet'!$E$9+1,1))</f>
        <v>256.47911362806866</v>
      </c>
      <c r="T87" s="60">
        <f t="shared" si="88"/>
        <v>230.93438491511529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0.97890822163306512</v>
      </c>
      <c r="AB87" s="23">
        <f>EXP(-LN(2)/2)*AB86+(1-EXP(-LN(2)/2))/(LN(2)/2)*V87*Y87*VLOOKUP('Données projet'!$B$9,Paramètres!$A$1:$I$89,3,0)*0.475*44/12</f>
        <v>1.2010400762226712E-7</v>
      </c>
      <c r="AC87" s="24">
        <f t="shared" si="57"/>
        <v>0.97890834173707275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2.6</v>
      </c>
      <c r="AI87" s="14">
        <f>IF('Données projet'!$A$62&gt;35,AI86+AH87-AQ86,IF(A87&lt;'Données projet'!$A$62,$AF$205^A87,IF(A87='Données projet'!$A$62,'Données projet'!$B$62,AI86+AH87-AQ86)))</f>
        <v>210.39999999999961</v>
      </c>
      <c r="AJ87" s="14">
        <f>AI87*VLOOKUP('Données projet'!$B$10,Paramètres!$A$1:$I$89,3,0)*VLOOKUP('Données projet'!$B$10,Paramètres!$A$1:$I$89,5,0)</f>
        <v>183.80543999999966</v>
      </c>
      <c r="AK87" s="14">
        <f t="shared" si="89"/>
        <v>46.167792832805951</v>
      </c>
      <c r="AL87" s="22">
        <f t="shared" si="58"/>
        <v>400.53671385046977</v>
      </c>
      <c r="AM87" s="60">
        <f t="shared" si="59"/>
        <v>693.87004718380308</v>
      </c>
      <c r="AN87" s="60">
        <f ca="1">AVERAGE(OFFSET($AM$3,0,0,'Données projet'!$E$10+1,1))-AVERAGE(OFFSET($H$3,0,0,'Données projet'!$E$10+1,1))</f>
        <v>233.41481265653817</v>
      </c>
      <c r="AO87" s="60">
        <f t="shared" si="90"/>
        <v>300.97465452084055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3.4106051316484809E-13</v>
      </c>
      <c r="BE87" s="14">
        <f>BD87*VLOOKUP('Données projet'!$B$11,Paramètres!$A$1:$I$89,3,0)*VLOOKUP('Données projet'!$B$11,Paramètres!$A$1:$I$89,5,0)</f>
        <v>2.7134774427395314E-13</v>
      </c>
      <c r="BF87" s="14">
        <f t="shared" si="91"/>
        <v>3.6292411711343559E-12</v>
      </c>
      <c r="BG87" s="22">
        <f t="shared" si="61"/>
        <v>6.7935256943361388E-12</v>
      </c>
      <c r="BH87" s="60">
        <f t="shared" si="62"/>
        <v>293.33333333334014</v>
      </c>
      <c r="BI87" s="60">
        <f ca="1">AVERAGE(OFFSET($BH$3,0,0,'Données projet'!$E$11+1,1))-AVERAGE(OFFSET($H$3,0,0,'Données projet'!$E$11+1,1))</f>
        <v>238.47463071449789</v>
      </c>
      <c r="BJ87" s="60">
        <f t="shared" si="92"/>
        <v>270.92950919803718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0" t="e">
        <f t="shared" si="65"/>
        <v>#N/A</v>
      </c>
      <c r="CD87" s="60" t="e">
        <f ca="1">AVERAGE(OFFSET($CC$3,0,0,'Données projet'!$E$12+1,1))-AVERAGE(OFFSET($H$3,0,0,'Données projet'!$E$12+1,1))</f>
        <v>#N/A</v>
      </c>
      <c r="CE87" s="60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0" t="e">
        <f t="shared" si="68"/>
        <v>#N/A</v>
      </c>
      <c r="CY87" s="60" t="e">
        <f ca="1">AVERAGE(OFFSET($CX$3,0,0,'Données projet'!$E$13+1,1))-AVERAGE(OFFSET($H$3,0,0,'Données projet'!$E$13+1,1))</f>
        <v>#N/A</v>
      </c>
      <c r="CZ87" s="60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0" t="e">
        <f t="shared" si="71"/>
        <v>#N/A</v>
      </c>
      <c r="DT87" s="60" t="e">
        <f ca="1">AVERAGE(OFFSET($DS$3,0,0,'Données projet'!$E$14+1,1))-AVERAGE(OFFSET($H$3,0,0,'Données projet'!$E$14+1,1))</f>
        <v>#N/A</v>
      </c>
      <c r="DU87" s="60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0" t="e">
        <f t="shared" si="74"/>
        <v>#N/A</v>
      </c>
      <c r="EO87" s="60" t="e">
        <f ca="1">AVERAGE(OFFSET($EN$3,0,0,'Données projet'!$E$15+1,1))-AVERAGE(OFFSET($H$3,0,0,'Données projet'!$E$15+1,1))</f>
        <v>#N/A</v>
      </c>
      <c r="EP87" s="60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8">
        <f t="shared" si="56"/>
        <v>385.84703818858173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2.2737367544323206E-13</v>
      </c>
      <c r="O88" s="14">
        <f>N88*VLOOKUP('Données projet'!$B$9,Paramètres!$A$1:$I$89,3,0)*VLOOKUP('Données projet'!$B$9,Paramètres!$A$1:$I$89,5,0)</f>
        <v>1.2710188457276673E-13</v>
      </c>
      <c r="P88" s="14">
        <f t="shared" si="87"/>
        <v>1.856866851063998E-12</v>
      </c>
      <c r="Q88" s="22">
        <f t="shared" si="54"/>
        <v>3.4554122145673649E-12</v>
      </c>
      <c r="R88" s="60">
        <f t="shared" si="55"/>
        <v>293.33333333333678</v>
      </c>
      <c r="S88" s="60">
        <f ca="1">AVERAGE(OFFSET($R$3,0,0,'Données projet'!$E$9+1,1))-AVERAGE(OFFSET($H$3,0,0,'Données projet'!$E$9+1,1))</f>
        <v>256.47911362806866</v>
      </c>
      <c r="T88" s="60">
        <f t="shared" si="88"/>
        <v>230.93438491511529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0.95213992483396293</v>
      </c>
      <c r="AB88" s="23">
        <f>EXP(-LN(2)/2)*AB87+(1-EXP(-LN(2)/2))/(LN(2)/2)*V88*Y88*VLOOKUP('Données projet'!$B$9,Paramètres!$A$1:$I$89,3,0)*0.475*44/12</f>
        <v>8.4926358237385871E-8</v>
      </c>
      <c r="AC88" s="24">
        <f t="shared" si="57"/>
        <v>0.9521400097603212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213</v>
      </c>
      <c r="AG88" s="13">
        <f>VLOOKUP(A88,'Données projet'!$A$61:$I$81,9,0)</f>
        <v>2.6</v>
      </c>
      <c r="AH88" s="13">
        <f t="array" ref="AH88">INDEX(AG:AG,MIN(IF(ISNUMBER(AG88:AG284),ROW(AG88:AG284),"")))</f>
        <v>2.6</v>
      </c>
      <c r="AI88" s="14">
        <f>IF('Données projet'!$A$62&gt;35,AI87+AH88-AQ87,IF(A88&lt;'Données projet'!$A$62,$AF$205^A88,IF(A88='Données projet'!$A$62,'Données projet'!$B$62,AI87+AH88-AQ87)))</f>
        <v>212.9999999999996</v>
      </c>
      <c r="AJ88" s="14">
        <f>AI88*VLOOKUP('Données projet'!$B$10,Paramètres!$A$1:$I$89,3,0)*VLOOKUP('Données projet'!$B$10,Paramètres!$A$1:$I$89,5,0)</f>
        <v>186.07679999999968</v>
      </c>
      <c r="AK88" s="14">
        <f t="shared" si="89"/>
        <v>46.671538591528588</v>
      </c>
      <c r="AL88" s="22">
        <f t="shared" si="58"/>
        <v>405.37002304691168</v>
      </c>
      <c r="AM88" s="60">
        <f t="shared" si="59"/>
        <v>698.70335638024494</v>
      </c>
      <c r="AN88" s="60">
        <f ca="1">AVERAGE(OFFSET($AM$3,0,0,'Données projet'!$E$10+1,1))-AVERAGE(OFFSET($H$3,0,0,'Données projet'!$E$10+1,1))</f>
        <v>233.41481265653817</v>
      </c>
      <c r="AO88" s="60">
        <f t="shared" si="90"/>
        <v>300.97465452084055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3.4106051316484809E-13</v>
      </c>
      <c r="BE88" s="14">
        <f>BD88*VLOOKUP('Données projet'!$B$11,Paramètres!$A$1:$I$89,3,0)*VLOOKUP('Données projet'!$B$11,Paramètres!$A$1:$I$89,5,0)</f>
        <v>2.7134774427395314E-13</v>
      </c>
      <c r="BF88" s="14">
        <f t="shared" si="91"/>
        <v>3.6292411711343559E-12</v>
      </c>
      <c r="BG88" s="22">
        <f t="shared" si="61"/>
        <v>6.7935256943361388E-12</v>
      </c>
      <c r="BH88" s="60">
        <f t="shared" si="62"/>
        <v>293.33333333334014</v>
      </c>
      <c r="BI88" s="60">
        <f ca="1">AVERAGE(OFFSET($BH$3,0,0,'Données projet'!$E$11+1,1))-AVERAGE(OFFSET($H$3,0,0,'Données projet'!$E$11+1,1))</f>
        <v>238.47463071449789</v>
      </c>
      <c r="BJ88" s="60">
        <f t="shared" si="92"/>
        <v>270.92950919803718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0" t="e">
        <f t="shared" si="65"/>
        <v>#N/A</v>
      </c>
      <c r="CD88" s="60" t="e">
        <f ca="1">AVERAGE(OFFSET($CC$3,0,0,'Données projet'!$E$12+1,1))-AVERAGE(OFFSET($H$3,0,0,'Données projet'!$E$12+1,1))</f>
        <v>#N/A</v>
      </c>
      <c r="CE88" s="60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0" t="e">
        <f t="shared" si="68"/>
        <v>#N/A</v>
      </c>
      <c r="CY88" s="60" t="e">
        <f ca="1">AVERAGE(OFFSET($CX$3,0,0,'Données projet'!$E$13+1,1))-AVERAGE(OFFSET($H$3,0,0,'Données projet'!$E$13+1,1))</f>
        <v>#N/A</v>
      </c>
      <c r="CZ88" s="60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0" t="e">
        <f t="shared" si="71"/>
        <v>#N/A</v>
      </c>
      <c r="DT88" s="60" t="e">
        <f ca="1">AVERAGE(OFFSET($DS$3,0,0,'Données projet'!$E$14+1,1))-AVERAGE(OFFSET($H$3,0,0,'Données projet'!$E$14+1,1))</f>
        <v>#N/A</v>
      </c>
      <c r="DU88" s="60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0" t="e">
        <f t="shared" si="74"/>
        <v>#N/A</v>
      </c>
      <c r="EO88" s="60" t="e">
        <f ca="1">AVERAGE(OFFSET($EN$3,0,0,'Données projet'!$E$15+1,1))-AVERAGE(OFFSET($H$3,0,0,'Données projet'!$E$15+1,1))</f>
        <v>#N/A</v>
      </c>
      <c r="EP88" s="60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8">
        <f t="shared" si="56"/>
        <v>386.90610750255792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2.2737367544323206E-13</v>
      </c>
      <c r="O89" s="14">
        <f>N89*VLOOKUP('Données projet'!$B$9,Paramètres!$A$1:$I$89,3,0)*VLOOKUP('Données projet'!$B$9,Paramètres!$A$1:$I$89,5,0)</f>
        <v>1.2710188457276673E-13</v>
      </c>
      <c r="P89" s="14">
        <f t="shared" si="87"/>
        <v>1.856866851063998E-12</v>
      </c>
      <c r="Q89" s="22">
        <f t="shared" si="54"/>
        <v>3.4554122145673649E-12</v>
      </c>
      <c r="R89" s="60">
        <f t="shared" si="55"/>
        <v>293.33333333333678</v>
      </c>
      <c r="S89" s="60">
        <f ca="1">AVERAGE(OFFSET($R$3,0,0,'Données projet'!$E$9+1,1))-AVERAGE(OFFSET($H$3,0,0,'Données projet'!$E$9+1,1))</f>
        <v>256.47911362806866</v>
      </c>
      <c r="T89" s="60">
        <f t="shared" si="88"/>
        <v>230.93438491511529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0.9261036085185157</v>
      </c>
      <c r="AB89" s="23">
        <f>EXP(-LN(2)/2)*AB88+(1-EXP(-LN(2)/2))/(LN(2)/2)*V89*Y89*VLOOKUP('Données projet'!$B$9,Paramètres!$A$1:$I$89,3,0)*0.475*44/12</f>
        <v>6.0052003811133558E-8</v>
      </c>
      <c r="AC89" s="24">
        <f t="shared" si="57"/>
        <v>0.92610366857051951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2.4</v>
      </c>
      <c r="AI89" s="14">
        <f>IF('Données projet'!$A$62&gt;35,AI88+AH89-AQ88,IF(A89&lt;'Données projet'!$A$62,$AF$205^A89,IF(A89='Données projet'!$A$62,'Données projet'!$B$62,AI88+AH89-AQ88)))</f>
        <v>215.39999999999961</v>
      </c>
      <c r="AJ89" s="14">
        <f>AI89*VLOOKUP('Données projet'!$B$10,Paramètres!$A$1:$I$89,3,0)*VLOOKUP('Données projet'!$B$10,Paramètres!$A$1:$I$89,5,0)</f>
        <v>188.17343999999969</v>
      </c>
      <c r="AK89" s="14">
        <f t="shared" si="89"/>
        <v>47.135899614073082</v>
      </c>
      <c r="AL89" s="22">
        <f t="shared" si="58"/>
        <v>409.8304331611767</v>
      </c>
      <c r="AM89" s="60">
        <f t="shared" si="59"/>
        <v>703.16376649451001</v>
      </c>
      <c r="AN89" s="60">
        <f ca="1">AVERAGE(OFFSET($AM$3,0,0,'Données projet'!$E$10+1,1))-AVERAGE(OFFSET($H$3,0,0,'Données projet'!$E$10+1,1))</f>
        <v>233.41481265653817</v>
      </c>
      <c r="AO89" s="60">
        <f t="shared" si="90"/>
        <v>300.97465452084055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3.4106051316484809E-13</v>
      </c>
      <c r="BE89" s="14">
        <f>BD89*VLOOKUP('Données projet'!$B$11,Paramètres!$A$1:$I$89,3,0)*VLOOKUP('Données projet'!$B$11,Paramètres!$A$1:$I$89,5,0)</f>
        <v>2.7134774427395314E-13</v>
      </c>
      <c r="BF89" s="14">
        <f t="shared" si="91"/>
        <v>3.6292411711343559E-12</v>
      </c>
      <c r="BG89" s="22">
        <f t="shared" si="61"/>
        <v>6.7935256943361388E-12</v>
      </c>
      <c r="BH89" s="60">
        <f t="shared" si="62"/>
        <v>293.33333333334014</v>
      </c>
      <c r="BI89" s="60">
        <f ca="1">AVERAGE(OFFSET($BH$3,0,0,'Données projet'!$E$11+1,1))-AVERAGE(OFFSET($H$3,0,0,'Données projet'!$E$11+1,1))</f>
        <v>238.47463071449789</v>
      </c>
      <c r="BJ89" s="60">
        <f t="shared" si="92"/>
        <v>270.92950919803718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0" t="e">
        <f t="shared" si="65"/>
        <v>#N/A</v>
      </c>
      <c r="CD89" s="60" t="e">
        <f ca="1">AVERAGE(OFFSET($CC$3,0,0,'Données projet'!$E$12+1,1))-AVERAGE(OFFSET($H$3,0,0,'Données projet'!$E$12+1,1))</f>
        <v>#N/A</v>
      </c>
      <c r="CE89" s="60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0" t="e">
        <f t="shared" si="68"/>
        <v>#N/A</v>
      </c>
      <c r="CY89" s="60" t="e">
        <f ca="1">AVERAGE(OFFSET($CX$3,0,0,'Données projet'!$E$13+1,1))-AVERAGE(OFFSET($H$3,0,0,'Données projet'!$E$13+1,1))</f>
        <v>#N/A</v>
      </c>
      <c r="CZ89" s="60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0" t="e">
        <f t="shared" si="71"/>
        <v>#N/A</v>
      </c>
      <c r="DT89" s="60" t="e">
        <f ca="1">AVERAGE(OFFSET($DS$3,0,0,'Données projet'!$E$14+1,1))-AVERAGE(OFFSET($H$3,0,0,'Données projet'!$E$14+1,1))</f>
        <v>#N/A</v>
      </c>
      <c r="DU89" s="60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0" t="e">
        <f t="shared" si="74"/>
        <v>#N/A</v>
      </c>
      <c r="EO89" s="60" t="e">
        <f ca="1">AVERAGE(OFFSET($EN$3,0,0,'Données projet'!$E$15+1,1))-AVERAGE(OFFSET($H$3,0,0,'Données projet'!$E$15+1,1))</f>
        <v>#N/A</v>
      </c>
      <c r="EP89" s="60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8">
        <f t="shared" si="56"/>
        <v>387.96487744763988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2.2737367544323206E-13</v>
      </c>
      <c r="O90" s="14">
        <f>N90*VLOOKUP('Données projet'!$B$9,Paramètres!$A$1:$I$89,3,0)*VLOOKUP('Données projet'!$B$9,Paramètres!$A$1:$I$89,5,0)</f>
        <v>1.2710188457276673E-13</v>
      </c>
      <c r="P90" s="14">
        <f t="shared" si="87"/>
        <v>1.856866851063998E-12</v>
      </c>
      <c r="Q90" s="22">
        <f t="shared" si="54"/>
        <v>3.4554122145673649E-12</v>
      </c>
      <c r="R90" s="60">
        <f t="shared" si="55"/>
        <v>293.33333333333678</v>
      </c>
      <c r="S90" s="60">
        <f ca="1">AVERAGE(OFFSET($R$3,0,0,'Données projet'!$E$9+1,1))-AVERAGE(OFFSET($H$3,0,0,'Données projet'!$E$9+1,1))</f>
        <v>256.47911362806866</v>
      </c>
      <c r="T90" s="60">
        <f t="shared" si="88"/>
        <v>230.93438491511529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0.90077925664190472</v>
      </c>
      <c r="AB90" s="23">
        <f>EXP(-LN(2)/2)*AB89+(1-EXP(-LN(2)/2))/(LN(2)/2)*V90*Y90*VLOOKUP('Données projet'!$B$9,Paramètres!$A$1:$I$89,3,0)*0.475*44/12</f>
        <v>4.2463179118692936E-8</v>
      </c>
      <c r="AC90" s="24">
        <f t="shared" si="57"/>
        <v>0.90077929910508381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2.4</v>
      </c>
      <c r="AI90" s="14">
        <f>IF('Données projet'!$A$62&gt;35,AI89+AH90-AQ89,IF(A90&lt;'Données projet'!$A$62,$AF$205^A90,IF(A90='Données projet'!$A$62,'Données projet'!$B$62,AI89+AH90-AQ89)))</f>
        <v>217.79999999999961</v>
      </c>
      <c r="AJ90" s="14">
        <f>AI90*VLOOKUP('Données projet'!$B$10,Paramètres!$A$1:$I$89,3,0)*VLOOKUP('Données projet'!$B$10,Paramètres!$A$1:$I$89,5,0)</f>
        <v>190.27007999999967</v>
      </c>
      <c r="AK90" s="14">
        <f t="shared" si="89"/>
        <v>47.599658767320371</v>
      </c>
      <c r="AL90" s="22">
        <f t="shared" si="58"/>
        <v>414.28979501974908</v>
      </c>
      <c r="AM90" s="60">
        <f t="shared" si="59"/>
        <v>707.62312835308239</v>
      </c>
      <c r="AN90" s="60">
        <f ca="1">AVERAGE(OFFSET($AM$3,0,0,'Données projet'!$E$10+1,1))-AVERAGE(OFFSET($H$3,0,0,'Données projet'!$E$10+1,1))</f>
        <v>233.41481265653817</v>
      </c>
      <c r="AO90" s="60">
        <f t="shared" si="90"/>
        <v>300.97465452084055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3.4106051316484809E-13</v>
      </c>
      <c r="BE90" s="14">
        <f>BD90*VLOOKUP('Données projet'!$B$11,Paramètres!$A$1:$I$89,3,0)*VLOOKUP('Données projet'!$B$11,Paramètres!$A$1:$I$89,5,0)</f>
        <v>2.7134774427395314E-13</v>
      </c>
      <c r="BF90" s="14">
        <f t="shared" si="91"/>
        <v>3.6292411711343559E-12</v>
      </c>
      <c r="BG90" s="22">
        <f t="shared" si="61"/>
        <v>6.7935256943361388E-12</v>
      </c>
      <c r="BH90" s="60">
        <f t="shared" si="62"/>
        <v>293.33333333334014</v>
      </c>
      <c r="BI90" s="60">
        <f ca="1">AVERAGE(OFFSET($BH$3,0,0,'Données projet'!$E$11+1,1))-AVERAGE(OFFSET($H$3,0,0,'Données projet'!$E$11+1,1))</f>
        <v>238.47463071449789</v>
      </c>
      <c r="BJ90" s="60">
        <f t="shared" si="92"/>
        <v>270.92950919803718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0" t="e">
        <f t="shared" si="65"/>
        <v>#N/A</v>
      </c>
      <c r="CD90" s="60" t="e">
        <f ca="1">AVERAGE(OFFSET($CC$3,0,0,'Données projet'!$E$12+1,1))-AVERAGE(OFFSET($H$3,0,0,'Données projet'!$E$12+1,1))</f>
        <v>#N/A</v>
      </c>
      <c r="CE90" s="60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0" t="e">
        <f t="shared" si="68"/>
        <v>#N/A</v>
      </c>
      <c r="CY90" s="60" t="e">
        <f ca="1">AVERAGE(OFFSET($CX$3,0,0,'Données projet'!$E$13+1,1))-AVERAGE(OFFSET($H$3,0,0,'Données projet'!$E$13+1,1))</f>
        <v>#N/A</v>
      </c>
      <c r="CZ90" s="60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0" t="e">
        <f t="shared" si="71"/>
        <v>#N/A</v>
      </c>
      <c r="DT90" s="60" t="e">
        <f ca="1">AVERAGE(OFFSET($DS$3,0,0,'Données projet'!$E$14+1,1))-AVERAGE(OFFSET($H$3,0,0,'Données projet'!$E$14+1,1))</f>
        <v>#N/A</v>
      </c>
      <c r="DU90" s="60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0" t="e">
        <f t="shared" si="74"/>
        <v>#N/A</v>
      </c>
      <c r="EO90" s="60" t="e">
        <f ca="1">AVERAGE(OFFSET($EN$3,0,0,'Données projet'!$E$15+1,1))-AVERAGE(OFFSET($H$3,0,0,'Données projet'!$E$15+1,1))</f>
        <v>#N/A</v>
      </c>
      <c r="EP90" s="60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8">
        <f t="shared" si="56"/>
        <v>389.02335186298552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2.2737367544323206E-13</v>
      </c>
      <c r="O91" s="14">
        <f>N91*VLOOKUP('Données projet'!$B$9,Paramètres!$A$1:$I$89,3,0)*VLOOKUP('Données projet'!$B$9,Paramètres!$A$1:$I$89,5,0)</f>
        <v>1.2710188457276673E-13</v>
      </c>
      <c r="P91" s="14">
        <f t="shared" si="87"/>
        <v>1.856866851063998E-12</v>
      </c>
      <c r="Q91" s="22">
        <f t="shared" si="54"/>
        <v>3.4554122145673649E-12</v>
      </c>
      <c r="R91" s="60">
        <f t="shared" si="55"/>
        <v>293.33333333333678</v>
      </c>
      <c r="S91" s="60">
        <f ca="1">AVERAGE(OFFSET($R$3,0,0,'Données projet'!$E$9+1,1))-AVERAGE(OFFSET($H$3,0,0,'Données projet'!$E$9+1,1))</f>
        <v>256.47911362806866</v>
      </c>
      <c r="T91" s="60">
        <f t="shared" si="88"/>
        <v>230.93438491511529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0.87614740049910944</v>
      </c>
      <c r="AB91" s="23">
        <f>EXP(-LN(2)/2)*AB90+(1-EXP(-LN(2)/2))/(LN(2)/2)*V91*Y91*VLOOKUP('Données projet'!$B$9,Paramètres!$A$1:$I$89,3,0)*0.475*44/12</f>
        <v>3.0026001905566779E-8</v>
      </c>
      <c r="AC91" s="24">
        <f t="shared" si="57"/>
        <v>0.87614743052511135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2.4</v>
      </c>
      <c r="AI91" s="14">
        <f>IF('Données projet'!$A$62&gt;35,AI90+AH91-AQ90,IF(A91&lt;'Données projet'!$A$62,$AF$205^A91,IF(A91='Données projet'!$A$62,'Données projet'!$B$62,AI90+AH91-AQ90)))</f>
        <v>220.19999999999962</v>
      </c>
      <c r="AJ91" s="14">
        <f>AI91*VLOOKUP('Données projet'!$B$10,Paramètres!$A$1:$I$89,3,0)*VLOOKUP('Données projet'!$B$10,Paramètres!$A$1:$I$89,5,0)</f>
        <v>192.3667199999997</v>
      </c>
      <c r="AK91" s="14">
        <f t="shared" si="89"/>
        <v>48.062823450978051</v>
      </c>
      <c r="AL91" s="22">
        <f t="shared" si="58"/>
        <v>418.7481215104529</v>
      </c>
      <c r="AM91" s="60">
        <f t="shared" si="59"/>
        <v>712.08145484378622</v>
      </c>
      <c r="AN91" s="60">
        <f ca="1">AVERAGE(OFFSET($AM$3,0,0,'Données projet'!$E$10+1,1))-AVERAGE(OFFSET($H$3,0,0,'Données projet'!$E$10+1,1))</f>
        <v>233.41481265653817</v>
      </c>
      <c r="AO91" s="60">
        <f t="shared" si="90"/>
        <v>300.97465452084055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3.4106051316484809E-13</v>
      </c>
      <c r="BE91" s="14">
        <f>BD91*VLOOKUP('Données projet'!$B$11,Paramètres!$A$1:$I$89,3,0)*VLOOKUP('Données projet'!$B$11,Paramètres!$A$1:$I$89,5,0)</f>
        <v>2.7134774427395314E-13</v>
      </c>
      <c r="BF91" s="14">
        <f t="shared" si="91"/>
        <v>3.6292411711343559E-12</v>
      </c>
      <c r="BG91" s="22">
        <f t="shared" si="61"/>
        <v>6.7935256943361388E-12</v>
      </c>
      <c r="BH91" s="60">
        <f t="shared" si="62"/>
        <v>293.33333333334014</v>
      </c>
      <c r="BI91" s="60">
        <f ca="1">AVERAGE(OFFSET($BH$3,0,0,'Données projet'!$E$11+1,1))-AVERAGE(OFFSET($H$3,0,0,'Données projet'!$E$11+1,1))</f>
        <v>238.47463071449789</v>
      </c>
      <c r="BJ91" s="60">
        <f t="shared" si="92"/>
        <v>270.92950919803718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0" t="e">
        <f t="shared" si="65"/>
        <v>#N/A</v>
      </c>
      <c r="CD91" s="60" t="e">
        <f ca="1">AVERAGE(OFFSET($CC$3,0,0,'Données projet'!$E$12+1,1))-AVERAGE(OFFSET($H$3,0,0,'Données projet'!$E$12+1,1))</f>
        <v>#N/A</v>
      </c>
      <c r="CE91" s="60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0" t="e">
        <f t="shared" si="68"/>
        <v>#N/A</v>
      </c>
      <c r="CY91" s="60" t="e">
        <f ca="1">AVERAGE(OFFSET($CX$3,0,0,'Données projet'!$E$13+1,1))-AVERAGE(OFFSET($H$3,0,0,'Données projet'!$E$13+1,1))</f>
        <v>#N/A</v>
      </c>
      <c r="CZ91" s="60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0" t="e">
        <f t="shared" si="71"/>
        <v>#N/A</v>
      </c>
      <c r="DT91" s="60" t="e">
        <f ca="1">AVERAGE(OFFSET($DS$3,0,0,'Données projet'!$E$14+1,1))-AVERAGE(OFFSET($H$3,0,0,'Données projet'!$E$14+1,1))</f>
        <v>#N/A</v>
      </c>
      <c r="DU91" s="60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0" t="e">
        <f t="shared" si="74"/>
        <v>#N/A</v>
      </c>
      <c r="EO91" s="60" t="e">
        <f ca="1">AVERAGE(OFFSET($EN$3,0,0,'Données projet'!$E$15+1,1))-AVERAGE(OFFSET($H$3,0,0,'Données projet'!$E$15+1,1))</f>
        <v>#N/A</v>
      </c>
      <c r="EP91" s="60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8">
        <f t="shared" si="56"/>
        <v>390.08153449547615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2.2737367544323206E-13</v>
      </c>
      <c r="O92" s="14">
        <f>N92*VLOOKUP('Données projet'!$B$9,Paramètres!$A$1:$I$89,3,0)*VLOOKUP('Données projet'!$B$9,Paramètres!$A$1:$I$89,5,0)</f>
        <v>1.2710188457276673E-13</v>
      </c>
      <c r="P92" s="14">
        <f t="shared" si="87"/>
        <v>1.856866851063998E-12</v>
      </c>
      <c r="Q92" s="22">
        <f t="shared" si="54"/>
        <v>3.4554122145673649E-12</v>
      </c>
      <c r="R92" s="60">
        <f t="shared" si="55"/>
        <v>293.33333333333678</v>
      </c>
      <c r="S92" s="60">
        <f ca="1">AVERAGE(OFFSET($R$3,0,0,'Données projet'!$E$9+1,1))-AVERAGE(OFFSET($H$3,0,0,'Données projet'!$E$9+1,1))</f>
        <v>256.47911362806866</v>
      </c>
      <c r="T92" s="60">
        <f t="shared" si="88"/>
        <v>230.93438491511529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0.85218910375787194</v>
      </c>
      <c r="AB92" s="23">
        <f>EXP(-LN(2)/2)*AB91+(1-EXP(-LN(2)/2))/(LN(2)/2)*V92*Y92*VLOOKUP('Données projet'!$B$9,Paramètres!$A$1:$I$89,3,0)*0.475*44/12</f>
        <v>2.1231589559346468E-8</v>
      </c>
      <c r="AC92" s="24">
        <f t="shared" si="57"/>
        <v>0.85218912498946153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2.4</v>
      </c>
      <c r="AI92" s="14">
        <f>IF('Données projet'!$A$62&gt;35,AI91+AH92-AQ91,IF(A92&lt;'Données projet'!$A$62,$AF$205^A92,IF(A92='Données projet'!$A$62,'Données projet'!$B$62,AI91+AH92-AQ91)))</f>
        <v>222.59999999999962</v>
      </c>
      <c r="AJ92" s="14">
        <f>AI92*VLOOKUP('Données projet'!$B$10,Paramètres!$A$1:$I$89,3,0)*VLOOKUP('Données projet'!$B$10,Paramètres!$A$1:$I$89,5,0)</f>
        <v>194.46335999999971</v>
      </c>
      <c r="AK92" s="14">
        <f t="shared" si="89"/>
        <v>48.525400894162601</v>
      </c>
      <c r="AL92" s="22">
        <f t="shared" si="58"/>
        <v>423.20542522399933</v>
      </c>
      <c r="AM92" s="60">
        <f t="shared" si="59"/>
        <v>716.53875855733259</v>
      </c>
      <c r="AN92" s="60">
        <f ca="1">AVERAGE(OFFSET($AM$3,0,0,'Données projet'!$E$10+1,1))-AVERAGE(OFFSET($H$3,0,0,'Données projet'!$E$10+1,1))</f>
        <v>233.41481265653817</v>
      </c>
      <c r="AO92" s="60">
        <f t="shared" si="90"/>
        <v>300.97465452084055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3.4106051316484809E-13</v>
      </c>
      <c r="BE92" s="14">
        <f>BD92*VLOOKUP('Données projet'!$B$11,Paramètres!$A$1:$I$89,3,0)*VLOOKUP('Données projet'!$B$11,Paramètres!$A$1:$I$89,5,0)</f>
        <v>2.7134774427395314E-13</v>
      </c>
      <c r="BF92" s="14">
        <f t="shared" si="91"/>
        <v>3.6292411711343559E-12</v>
      </c>
      <c r="BG92" s="22">
        <f t="shared" si="61"/>
        <v>6.7935256943361388E-12</v>
      </c>
      <c r="BH92" s="60">
        <f t="shared" si="62"/>
        <v>293.33333333334014</v>
      </c>
      <c r="BI92" s="60">
        <f ca="1">AVERAGE(OFFSET($BH$3,0,0,'Données projet'!$E$11+1,1))-AVERAGE(OFFSET($H$3,0,0,'Données projet'!$E$11+1,1))</f>
        <v>238.47463071449789</v>
      </c>
      <c r="BJ92" s="60">
        <f t="shared" si="92"/>
        <v>270.92950919803718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0" t="e">
        <f t="shared" si="65"/>
        <v>#N/A</v>
      </c>
      <c r="CD92" s="60" t="e">
        <f ca="1">AVERAGE(OFFSET($CC$3,0,0,'Données projet'!$E$12+1,1))-AVERAGE(OFFSET($H$3,0,0,'Données projet'!$E$12+1,1))</f>
        <v>#N/A</v>
      </c>
      <c r="CE92" s="60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0" t="e">
        <f t="shared" si="68"/>
        <v>#N/A</v>
      </c>
      <c r="CY92" s="60" t="e">
        <f ca="1">AVERAGE(OFFSET($CX$3,0,0,'Données projet'!$E$13+1,1))-AVERAGE(OFFSET($H$3,0,0,'Données projet'!$E$13+1,1))</f>
        <v>#N/A</v>
      </c>
      <c r="CZ92" s="60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0" t="e">
        <f t="shared" si="71"/>
        <v>#N/A</v>
      </c>
      <c r="DT92" s="60" t="e">
        <f ca="1">AVERAGE(OFFSET($DS$3,0,0,'Données projet'!$E$14+1,1))-AVERAGE(OFFSET($H$3,0,0,'Données projet'!$E$14+1,1))</f>
        <v>#N/A</v>
      </c>
      <c r="DU92" s="60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0" t="e">
        <f t="shared" si="74"/>
        <v>#N/A</v>
      </c>
      <c r="EO92" s="60" t="e">
        <f ca="1">AVERAGE(OFFSET($EN$3,0,0,'Données projet'!$E$15+1,1))-AVERAGE(OFFSET($H$3,0,0,'Données projet'!$E$15+1,1))</f>
        <v>#N/A</v>
      </c>
      <c r="EP92" s="60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8">
        <f t="shared" si="56"/>
        <v>391.13942900294575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2.2737367544323206E-13</v>
      </c>
      <c r="O93" s="14">
        <f>N93*VLOOKUP('Données projet'!$B$9,Paramètres!$A$1:$I$89,3,0)*VLOOKUP('Données projet'!$B$9,Paramètres!$A$1:$I$89,5,0)</f>
        <v>1.2710188457276673E-13</v>
      </c>
      <c r="P93" s="14">
        <f t="shared" si="87"/>
        <v>1.856866851063998E-12</v>
      </c>
      <c r="Q93" s="22">
        <f t="shared" si="54"/>
        <v>3.4554122145673649E-12</v>
      </c>
      <c r="R93" s="60">
        <f t="shared" si="55"/>
        <v>293.33333333333678</v>
      </c>
      <c r="S93" s="60">
        <f ca="1">AVERAGE(OFFSET($R$3,0,0,'Données projet'!$E$9+1,1))-AVERAGE(OFFSET($H$3,0,0,'Données projet'!$E$9+1,1))</f>
        <v>256.47911362806866</v>
      </c>
      <c r="T93" s="60">
        <f t="shared" si="88"/>
        <v>230.93438491511529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0.82888594790093562</v>
      </c>
      <c r="AB93" s="23">
        <f>EXP(-LN(2)/2)*AB92+(1-EXP(-LN(2)/2))/(LN(2)/2)*V93*Y93*VLOOKUP('Données projet'!$B$9,Paramètres!$A$1:$I$89,3,0)*0.475*44/12</f>
        <v>1.501300095278339E-8</v>
      </c>
      <c r="AC93" s="24">
        <f t="shared" si="57"/>
        <v>0.82888596291393657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225</v>
      </c>
      <c r="AG93" s="13">
        <f>VLOOKUP(A93,'Données projet'!$A$61:$I$81,9,0)</f>
        <v>2.4</v>
      </c>
      <c r="AH93" s="13">
        <f t="array" ref="AH93">INDEX(AG:AG,MIN(IF(ISNUMBER(AG93:AG289),ROW(AG93:AG289),"")))</f>
        <v>2.4</v>
      </c>
      <c r="AI93" s="14">
        <f>IF('Données projet'!$A$62&gt;35,AI92+AH93-AQ92,IF(A93&lt;'Données projet'!$A$62,$AF$205^A93,IF(A93='Données projet'!$A$62,'Données projet'!$B$62,AI92+AH93-AQ92)))</f>
        <v>224.99999999999963</v>
      </c>
      <c r="AJ93" s="14">
        <f>AI93*VLOOKUP('Données projet'!$B$10,Paramètres!$A$1:$I$89,3,0)*VLOOKUP('Données projet'!$B$10,Paramètres!$A$1:$I$89,5,0)</f>
        <v>196.55999999999969</v>
      </c>
      <c r="AK93" s="14">
        <f t="shared" si="89"/>
        <v>48.987398161128041</v>
      </c>
      <c r="AL93" s="22">
        <f t="shared" si="58"/>
        <v>427.66171846396406</v>
      </c>
      <c r="AM93" s="60">
        <f t="shared" si="59"/>
        <v>720.99505179729738</v>
      </c>
      <c r="AN93" s="60">
        <f ca="1">AVERAGE(OFFSET($AM$3,0,0,'Données projet'!$E$10+1,1))-AVERAGE(OFFSET($H$3,0,0,'Données projet'!$E$10+1,1))</f>
        <v>233.41481265653817</v>
      </c>
      <c r="AO93" s="60">
        <f t="shared" si="90"/>
        <v>300.97465452084055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225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3.4106051316484809E-13</v>
      </c>
      <c r="BE93" s="14">
        <f>BD93*VLOOKUP('Données projet'!$B$11,Paramètres!$A$1:$I$89,3,0)*VLOOKUP('Données projet'!$B$11,Paramètres!$A$1:$I$89,5,0)</f>
        <v>2.7134774427395314E-13</v>
      </c>
      <c r="BF93" s="14">
        <f t="shared" si="91"/>
        <v>3.6292411711343559E-12</v>
      </c>
      <c r="BG93" s="22">
        <f t="shared" si="61"/>
        <v>6.7935256943361388E-12</v>
      </c>
      <c r="BH93" s="60">
        <f t="shared" si="62"/>
        <v>293.33333333334014</v>
      </c>
      <c r="BI93" s="60">
        <f ca="1">AVERAGE(OFFSET($BH$3,0,0,'Données projet'!$E$11+1,1))-AVERAGE(OFFSET($H$3,0,0,'Données projet'!$E$11+1,1))</f>
        <v>238.47463071449789</v>
      </c>
      <c r="BJ93" s="60">
        <f t="shared" si="92"/>
        <v>270.92950919803718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0" t="e">
        <f t="shared" si="65"/>
        <v>#N/A</v>
      </c>
      <c r="CD93" s="60" t="e">
        <f ca="1">AVERAGE(OFFSET($CC$3,0,0,'Données projet'!$E$12+1,1))-AVERAGE(OFFSET($H$3,0,0,'Données projet'!$E$12+1,1))</f>
        <v>#N/A</v>
      </c>
      <c r="CE93" s="60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0" t="e">
        <f t="shared" si="68"/>
        <v>#N/A</v>
      </c>
      <c r="CY93" s="60" t="e">
        <f ca="1">AVERAGE(OFFSET($CX$3,0,0,'Données projet'!$E$13+1,1))-AVERAGE(OFFSET($H$3,0,0,'Données projet'!$E$13+1,1))</f>
        <v>#N/A</v>
      </c>
      <c r="CZ93" s="60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0" t="e">
        <f t="shared" si="71"/>
        <v>#N/A</v>
      </c>
      <c r="DT93" s="60" t="e">
        <f ca="1">AVERAGE(OFFSET($DS$3,0,0,'Données projet'!$E$14+1,1))-AVERAGE(OFFSET($H$3,0,0,'Données projet'!$E$14+1,1))</f>
        <v>#N/A</v>
      </c>
      <c r="DU93" s="60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0" t="e">
        <f t="shared" si="74"/>
        <v>#N/A</v>
      </c>
      <c r="EO93" s="60" t="e">
        <f ca="1">AVERAGE(OFFSET($EN$3,0,0,'Données projet'!$E$15+1,1))-AVERAGE(OFFSET($H$3,0,0,'Données projet'!$E$15+1,1))</f>
        <v>#N/A</v>
      </c>
      <c r="EP93" s="60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8">
        <f t="shared" si="56"/>
        <v>392.19703895726269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2.2737367544323206E-13</v>
      </c>
      <c r="O94" s="14">
        <f>N94*VLOOKUP('Données projet'!$B$9,Paramètres!$A$1:$I$89,3,0)*VLOOKUP('Données projet'!$B$9,Paramètres!$A$1:$I$89,5,0)</f>
        <v>1.2710188457276673E-13</v>
      </c>
      <c r="P94" s="14">
        <f t="shared" si="87"/>
        <v>1.856866851063998E-12</v>
      </c>
      <c r="Q94" s="22">
        <f t="shared" si="54"/>
        <v>3.4554122145673649E-12</v>
      </c>
      <c r="R94" s="60">
        <f t="shared" si="55"/>
        <v>293.33333333333678</v>
      </c>
      <c r="S94" s="60">
        <f ca="1">AVERAGE(OFFSET($R$3,0,0,'Données projet'!$E$9+1,1))-AVERAGE(OFFSET($H$3,0,0,'Données projet'!$E$9+1,1))</f>
        <v>256.47911362806866</v>
      </c>
      <c r="T94" s="60">
        <f t="shared" si="88"/>
        <v>230.93438491511529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0.80622001806636701</v>
      </c>
      <c r="AB94" s="23">
        <f>EXP(-LN(2)/2)*AB93+(1-EXP(-LN(2)/2))/(LN(2)/2)*V94*Y94*VLOOKUP('Données projet'!$B$9,Paramètres!$A$1:$I$89,3,0)*0.475*44/12</f>
        <v>1.0615794779673234E-8</v>
      </c>
      <c r="AC94" s="24">
        <f t="shared" si="57"/>
        <v>0.8062200286821618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-3.694822225952521E-13</v>
      </c>
      <c r="AJ94" s="14">
        <f>AI94*VLOOKUP('Données projet'!$B$10,Paramètres!$A$1:$I$89,3,0)*VLOOKUP('Données projet'!$B$10,Paramètres!$A$1:$I$89,5,0)</f>
        <v>-3.2277966965921228E-13</v>
      </c>
      <c r="AK94" s="14" t="e">
        <f t="shared" si="89"/>
        <v>#NUM!</v>
      </c>
      <c r="AL94" s="22" t="e">
        <f t="shared" si="58"/>
        <v>#NUM!</v>
      </c>
      <c r="AM94" s="60" t="e">
        <f t="shared" si="59"/>
        <v>#NUM!</v>
      </c>
      <c r="AN94" s="60">
        <f ca="1">AVERAGE(OFFSET($AM$3,0,0,'Données projet'!$E$10+1,1))-AVERAGE(OFFSET($H$3,0,0,'Données projet'!$E$10+1,1))</f>
        <v>233.41481265653817</v>
      </c>
      <c r="AO94" s="60">
        <f t="shared" si="90"/>
        <v>300.97465452084055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3.4106051316484809E-13</v>
      </c>
      <c r="BE94" s="14">
        <f>BD94*VLOOKUP('Données projet'!$B$11,Paramètres!$A$1:$I$89,3,0)*VLOOKUP('Données projet'!$B$11,Paramètres!$A$1:$I$89,5,0)</f>
        <v>2.7134774427395314E-13</v>
      </c>
      <c r="BF94" s="14">
        <f t="shared" si="91"/>
        <v>3.6292411711343559E-12</v>
      </c>
      <c r="BG94" s="22">
        <f t="shared" si="61"/>
        <v>6.7935256943361388E-12</v>
      </c>
      <c r="BH94" s="60">
        <f t="shared" si="62"/>
        <v>293.33333333334014</v>
      </c>
      <c r="BI94" s="60">
        <f ca="1">AVERAGE(OFFSET($BH$3,0,0,'Données projet'!$E$11+1,1))-AVERAGE(OFFSET($H$3,0,0,'Données projet'!$E$11+1,1))</f>
        <v>238.47463071449789</v>
      </c>
      <c r="BJ94" s="60">
        <f t="shared" si="92"/>
        <v>270.92950919803718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0" t="e">
        <f t="shared" si="65"/>
        <v>#N/A</v>
      </c>
      <c r="CD94" s="60" t="e">
        <f ca="1">AVERAGE(OFFSET($CC$3,0,0,'Données projet'!$E$12+1,1))-AVERAGE(OFFSET($H$3,0,0,'Données projet'!$E$12+1,1))</f>
        <v>#N/A</v>
      </c>
      <c r="CE94" s="60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0" t="e">
        <f t="shared" si="68"/>
        <v>#N/A</v>
      </c>
      <c r="CY94" s="60" t="e">
        <f ca="1">AVERAGE(OFFSET($CX$3,0,0,'Données projet'!$E$13+1,1))-AVERAGE(OFFSET($H$3,0,0,'Données projet'!$E$13+1,1))</f>
        <v>#N/A</v>
      </c>
      <c r="CZ94" s="60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0" t="e">
        <f t="shared" si="71"/>
        <v>#N/A</v>
      </c>
      <c r="DT94" s="60" t="e">
        <f ca="1">AVERAGE(OFFSET($DS$3,0,0,'Données projet'!$E$14+1,1))-AVERAGE(OFFSET($H$3,0,0,'Données projet'!$E$14+1,1))</f>
        <v>#N/A</v>
      </c>
      <c r="DU94" s="60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0" t="e">
        <f t="shared" si="74"/>
        <v>#N/A</v>
      </c>
      <c r="EO94" s="60" t="e">
        <f ca="1">AVERAGE(OFFSET($EN$3,0,0,'Données projet'!$E$15+1,1))-AVERAGE(OFFSET($H$3,0,0,'Données projet'!$E$15+1,1))</f>
        <v>#N/A</v>
      </c>
      <c r="EP94" s="60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8">
        <f t="shared" si="56"/>
        <v>393.25436784727196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2.2737367544323206E-13</v>
      </c>
      <c r="O95" s="14">
        <f>N95*VLOOKUP('Données projet'!$B$9,Paramètres!$A$1:$I$89,3,0)*VLOOKUP('Données projet'!$B$9,Paramètres!$A$1:$I$89,5,0)</f>
        <v>1.2710188457276673E-13</v>
      </c>
      <c r="P95" s="14">
        <f t="shared" si="87"/>
        <v>1.856866851063998E-12</v>
      </c>
      <c r="Q95" s="22">
        <f t="shared" si="54"/>
        <v>3.4554122145673649E-12</v>
      </c>
      <c r="R95" s="60">
        <f t="shared" si="55"/>
        <v>293.33333333333678</v>
      </c>
      <c r="S95" s="60">
        <f ca="1">AVERAGE(OFFSET($R$3,0,0,'Données projet'!$E$9+1,1))-AVERAGE(OFFSET($H$3,0,0,'Données projet'!$E$9+1,1))</f>
        <v>256.47911362806866</v>
      </c>
      <c r="T95" s="60">
        <f t="shared" si="88"/>
        <v>230.93438491511529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0.78417388927507414</v>
      </c>
      <c r="AB95" s="23">
        <f>EXP(-LN(2)/2)*AB94+(1-EXP(-LN(2)/2))/(LN(2)/2)*V95*Y95*VLOOKUP('Données projet'!$B$9,Paramètres!$A$1:$I$89,3,0)*0.475*44/12</f>
        <v>7.5065004763916948E-9</v>
      </c>
      <c r="AC95" s="24">
        <f t="shared" si="57"/>
        <v>0.78417389678157456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-3.694822225952521E-13</v>
      </c>
      <c r="AJ95" s="14">
        <f>AI95*VLOOKUP('Données projet'!$B$10,Paramètres!$A$1:$I$89,3,0)*VLOOKUP('Données projet'!$B$10,Paramètres!$A$1:$I$89,5,0)</f>
        <v>-3.2277966965921228E-13</v>
      </c>
      <c r="AK95" s="14" t="e">
        <f t="shared" si="89"/>
        <v>#NUM!</v>
      </c>
      <c r="AL95" s="22" t="e">
        <f t="shared" si="58"/>
        <v>#NUM!</v>
      </c>
      <c r="AM95" s="60" t="e">
        <f t="shared" si="59"/>
        <v>#NUM!</v>
      </c>
      <c r="AN95" s="60">
        <f ca="1">AVERAGE(OFFSET($AM$3,0,0,'Données projet'!$E$10+1,1))-AVERAGE(OFFSET($H$3,0,0,'Données projet'!$E$10+1,1))</f>
        <v>233.41481265653817</v>
      </c>
      <c r="AO95" s="60">
        <f t="shared" si="90"/>
        <v>300.97465452084055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3.4106051316484809E-13</v>
      </c>
      <c r="BE95" s="14">
        <f>BD95*VLOOKUP('Données projet'!$B$11,Paramètres!$A$1:$I$89,3,0)*VLOOKUP('Données projet'!$B$11,Paramètres!$A$1:$I$89,5,0)</f>
        <v>2.7134774427395314E-13</v>
      </c>
      <c r="BF95" s="14">
        <f t="shared" si="91"/>
        <v>3.6292411711343559E-12</v>
      </c>
      <c r="BG95" s="22">
        <f t="shared" si="61"/>
        <v>6.7935256943361388E-12</v>
      </c>
      <c r="BH95" s="60">
        <f t="shared" si="62"/>
        <v>293.33333333334014</v>
      </c>
      <c r="BI95" s="60">
        <f ca="1">AVERAGE(OFFSET($BH$3,0,0,'Données projet'!$E$11+1,1))-AVERAGE(OFFSET($H$3,0,0,'Données projet'!$E$11+1,1))</f>
        <v>238.47463071449789</v>
      </c>
      <c r="BJ95" s="60">
        <f t="shared" si="92"/>
        <v>270.92950919803718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0" t="e">
        <f t="shared" si="65"/>
        <v>#N/A</v>
      </c>
      <c r="CD95" s="60" t="e">
        <f ca="1">AVERAGE(OFFSET($CC$3,0,0,'Données projet'!$E$12+1,1))-AVERAGE(OFFSET($H$3,0,0,'Données projet'!$E$12+1,1))</f>
        <v>#N/A</v>
      </c>
      <c r="CE95" s="60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0" t="e">
        <f t="shared" si="68"/>
        <v>#N/A</v>
      </c>
      <c r="CY95" s="60" t="e">
        <f ca="1">AVERAGE(OFFSET($CX$3,0,0,'Données projet'!$E$13+1,1))-AVERAGE(OFFSET($H$3,0,0,'Données projet'!$E$13+1,1))</f>
        <v>#N/A</v>
      </c>
      <c r="CZ95" s="60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0" t="e">
        <f t="shared" si="71"/>
        <v>#N/A</v>
      </c>
      <c r="DT95" s="60" t="e">
        <f ca="1">AVERAGE(OFFSET($DS$3,0,0,'Données projet'!$E$14+1,1))-AVERAGE(OFFSET($H$3,0,0,'Données projet'!$E$14+1,1))</f>
        <v>#N/A</v>
      </c>
      <c r="DU95" s="60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0" t="e">
        <f t="shared" si="74"/>
        <v>#N/A</v>
      </c>
      <c r="EO95" s="60" t="e">
        <f ca="1">AVERAGE(OFFSET($EN$3,0,0,'Données projet'!$E$15+1,1))-AVERAGE(OFFSET($H$3,0,0,'Données projet'!$E$15+1,1))</f>
        <v>#N/A</v>
      </c>
      <c r="EP95" s="60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8">
        <f t="shared" si="56"/>
        <v>394.311419081606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2.2737367544323206E-13</v>
      </c>
      <c r="O96" s="14">
        <f>N96*VLOOKUP('Données projet'!$B$9,Paramètres!$A$1:$I$89,3,0)*VLOOKUP('Données projet'!$B$9,Paramètres!$A$1:$I$89,5,0)</f>
        <v>1.2710188457276673E-13</v>
      </c>
      <c r="P96" s="14">
        <f t="shared" si="87"/>
        <v>1.856866851063998E-12</v>
      </c>
      <c r="Q96" s="22">
        <f t="shared" si="54"/>
        <v>3.4554122145673649E-12</v>
      </c>
      <c r="R96" s="60">
        <f t="shared" si="55"/>
        <v>293.33333333333678</v>
      </c>
      <c r="S96" s="60">
        <f ca="1">AVERAGE(OFFSET($R$3,0,0,'Données projet'!$E$9+1,1))-AVERAGE(OFFSET($H$3,0,0,'Données projet'!$E$9+1,1))</f>
        <v>256.47911362806866</v>
      </c>
      <c r="T96" s="60">
        <f t="shared" si="88"/>
        <v>230.93438491511529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0.76273061303493461</v>
      </c>
      <c r="AB96" s="23">
        <f>EXP(-LN(2)/2)*AB95+(1-EXP(-LN(2)/2))/(LN(2)/2)*V96*Y96*VLOOKUP('Données projet'!$B$9,Paramètres!$A$1:$I$89,3,0)*0.475*44/12</f>
        <v>5.3078973898366169E-9</v>
      </c>
      <c r="AC96" s="24">
        <f t="shared" si="57"/>
        <v>0.76273061834283196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-3.694822225952521E-13</v>
      </c>
      <c r="AJ96" s="14">
        <f>AI96*VLOOKUP('Données projet'!$B$10,Paramètres!$A$1:$I$89,3,0)*VLOOKUP('Données projet'!$B$10,Paramètres!$A$1:$I$89,5,0)</f>
        <v>-3.2277966965921228E-13</v>
      </c>
      <c r="AK96" s="14" t="e">
        <f t="shared" si="89"/>
        <v>#NUM!</v>
      </c>
      <c r="AL96" s="22" t="e">
        <f t="shared" si="58"/>
        <v>#NUM!</v>
      </c>
      <c r="AM96" s="60" t="e">
        <f t="shared" si="59"/>
        <v>#NUM!</v>
      </c>
      <c r="AN96" s="60">
        <f ca="1">AVERAGE(OFFSET($AM$3,0,0,'Données projet'!$E$10+1,1))-AVERAGE(OFFSET($H$3,0,0,'Données projet'!$E$10+1,1))</f>
        <v>233.41481265653817</v>
      </c>
      <c r="AO96" s="60">
        <f t="shared" si="90"/>
        <v>300.97465452084055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3.4106051316484809E-13</v>
      </c>
      <c r="BE96" s="14">
        <f>BD96*VLOOKUP('Données projet'!$B$11,Paramètres!$A$1:$I$89,3,0)*VLOOKUP('Données projet'!$B$11,Paramètres!$A$1:$I$89,5,0)</f>
        <v>2.7134774427395314E-13</v>
      </c>
      <c r="BF96" s="14">
        <f t="shared" si="91"/>
        <v>3.6292411711343559E-12</v>
      </c>
      <c r="BG96" s="22">
        <f t="shared" si="61"/>
        <v>6.7935256943361388E-12</v>
      </c>
      <c r="BH96" s="60">
        <f t="shared" si="62"/>
        <v>293.33333333334014</v>
      </c>
      <c r="BI96" s="60">
        <f ca="1">AVERAGE(OFFSET($BH$3,0,0,'Données projet'!$E$11+1,1))-AVERAGE(OFFSET($H$3,0,0,'Données projet'!$E$11+1,1))</f>
        <v>238.47463071449789</v>
      </c>
      <c r="BJ96" s="60">
        <f t="shared" si="92"/>
        <v>270.92950919803718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0" t="e">
        <f t="shared" si="65"/>
        <v>#N/A</v>
      </c>
      <c r="CD96" s="60" t="e">
        <f ca="1">AVERAGE(OFFSET($CC$3,0,0,'Données projet'!$E$12+1,1))-AVERAGE(OFFSET($H$3,0,0,'Données projet'!$E$12+1,1))</f>
        <v>#N/A</v>
      </c>
      <c r="CE96" s="60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0" t="e">
        <f t="shared" si="68"/>
        <v>#N/A</v>
      </c>
      <c r="CY96" s="60" t="e">
        <f ca="1">AVERAGE(OFFSET($CX$3,0,0,'Données projet'!$E$13+1,1))-AVERAGE(OFFSET($H$3,0,0,'Données projet'!$E$13+1,1))</f>
        <v>#N/A</v>
      </c>
      <c r="CZ96" s="60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0" t="e">
        <f t="shared" si="71"/>
        <v>#N/A</v>
      </c>
      <c r="DT96" s="60" t="e">
        <f ca="1">AVERAGE(OFFSET($DS$3,0,0,'Données projet'!$E$14+1,1))-AVERAGE(OFFSET($H$3,0,0,'Données projet'!$E$14+1,1))</f>
        <v>#N/A</v>
      </c>
      <c r="DU96" s="60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0" t="e">
        <f t="shared" si="74"/>
        <v>#N/A</v>
      </c>
      <c r="EO96" s="60" t="e">
        <f ca="1">AVERAGE(OFFSET($EN$3,0,0,'Données projet'!$E$15+1,1))-AVERAGE(OFFSET($H$3,0,0,'Données projet'!$E$15+1,1))</f>
        <v>#N/A</v>
      </c>
      <c r="EP96" s="60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8">
        <f t="shared" si="56"/>
        <v>395.36819599137124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2.2737367544323206E-13</v>
      </c>
      <c r="O97" s="14">
        <f>N97*VLOOKUP('Données projet'!$B$9,Paramètres!$A$1:$I$89,3,0)*VLOOKUP('Données projet'!$B$9,Paramètres!$A$1:$I$89,5,0)</f>
        <v>1.2710188457276673E-13</v>
      </c>
      <c r="P97" s="14">
        <f t="shared" si="87"/>
        <v>1.856866851063998E-12</v>
      </c>
      <c r="Q97" s="22">
        <f t="shared" si="54"/>
        <v>3.4554122145673649E-12</v>
      </c>
      <c r="R97" s="60">
        <f t="shared" si="55"/>
        <v>293.33333333333678</v>
      </c>
      <c r="S97" s="60">
        <f ca="1">AVERAGE(OFFSET($R$3,0,0,'Données projet'!$E$9+1,1))-AVERAGE(OFFSET($H$3,0,0,'Données projet'!$E$9+1,1))</f>
        <v>256.47911362806866</v>
      </c>
      <c r="T97" s="60">
        <f t="shared" si="88"/>
        <v>230.93438491511529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0.74187370431123467</v>
      </c>
      <c r="AB97" s="23">
        <f>EXP(-LN(2)/2)*AB96+(1-EXP(-LN(2)/2))/(LN(2)/2)*V97*Y97*VLOOKUP('Données projet'!$B$9,Paramètres!$A$1:$I$89,3,0)*0.475*44/12</f>
        <v>3.7532502381958474E-9</v>
      </c>
      <c r="AC97" s="24">
        <f t="shared" si="57"/>
        <v>0.74187370806448494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-3.694822225952521E-13</v>
      </c>
      <c r="AJ97" s="14">
        <f>AI97*VLOOKUP('Données projet'!$B$10,Paramètres!$A$1:$I$89,3,0)*VLOOKUP('Données projet'!$B$10,Paramètres!$A$1:$I$89,5,0)</f>
        <v>-3.2277966965921228E-13</v>
      </c>
      <c r="AK97" s="14" t="e">
        <f t="shared" si="89"/>
        <v>#NUM!</v>
      </c>
      <c r="AL97" s="22" t="e">
        <f t="shared" si="58"/>
        <v>#NUM!</v>
      </c>
      <c r="AM97" s="60" t="e">
        <f t="shared" si="59"/>
        <v>#NUM!</v>
      </c>
      <c r="AN97" s="60">
        <f ca="1">AVERAGE(OFFSET($AM$3,0,0,'Données projet'!$E$10+1,1))-AVERAGE(OFFSET($H$3,0,0,'Données projet'!$E$10+1,1))</f>
        <v>233.41481265653817</v>
      </c>
      <c r="AO97" s="60">
        <f t="shared" si="90"/>
        <v>300.97465452084055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3.4106051316484809E-13</v>
      </c>
      <c r="BE97" s="14">
        <f>BD97*VLOOKUP('Données projet'!$B$11,Paramètres!$A$1:$I$89,3,0)*VLOOKUP('Données projet'!$B$11,Paramètres!$A$1:$I$89,5,0)</f>
        <v>2.7134774427395314E-13</v>
      </c>
      <c r="BF97" s="14">
        <f t="shared" si="91"/>
        <v>3.6292411711343559E-12</v>
      </c>
      <c r="BG97" s="22">
        <f t="shared" si="61"/>
        <v>6.7935256943361388E-12</v>
      </c>
      <c r="BH97" s="60">
        <f t="shared" si="62"/>
        <v>293.33333333334014</v>
      </c>
      <c r="BI97" s="60">
        <f ca="1">AVERAGE(OFFSET($BH$3,0,0,'Données projet'!$E$11+1,1))-AVERAGE(OFFSET($H$3,0,0,'Données projet'!$E$11+1,1))</f>
        <v>238.47463071449789</v>
      </c>
      <c r="BJ97" s="60">
        <f t="shared" si="92"/>
        <v>270.92950919803718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0" t="e">
        <f t="shared" si="65"/>
        <v>#N/A</v>
      </c>
      <c r="CD97" s="60" t="e">
        <f ca="1">AVERAGE(OFFSET($CC$3,0,0,'Données projet'!$E$12+1,1))-AVERAGE(OFFSET($H$3,0,0,'Données projet'!$E$12+1,1))</f>
        <v>#N/A</v>
      </c>
      <c r="CE97" s="60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0" t="e">
        <f t="shared" si="68"/>
        <v>#N/A</v>
      </c>
      <c r="CY97" s="60" t="e">
        <f ca="1">AVERAGE(OFFSET($CX$3,0,0,'Données projet'!$E$13+1,1))-AVERAGE(OFFSET($H$3,0,0,'Données projet'!$E$13+1,1))</f>
        <v>#N/A</v>
      </c>
      <c r="CZ97" s="60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0" t="e">
        <f t="shared" si="71"/>
        <v>#N/A</v>
      </c>
      <c r="DT97" s="60" t="e">
        <f ca="1">AVERAGE(OFFSET($DS$3,0,0,'Données projet'!$E$14+1,1))-AVERAGE(OFFSET($H$3,0,0,'Données projet'!$E$14+1,1))</f>
        <v>#N/A</v>
      </c>
      <c r="DU97" s="60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0" t="e">
        <f t="shared" si="74"/>
        <v>#N/A</v>
      </c>
      <c r="EO97" s="60" t="e">
        <f ca="1">AVERAGE(OFFSET($EN$3,0,0,'Données projet'!$E$15+1,1))-AVERAGE(OFFSET($H$3,0,0,'Données projet'!$E$15+1,1))</f>
        <v>#N/A</v>
      </c>
      <c r="EP97" s="60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8">
        <f t="shared" si="56"/>
        <v>396.42470183271661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2.2737367544323206E-13</v>
      </c>
      <c r="O98" s="14">
        <f>N98*VLOOKUP('Données projet'!$B$9,Paramètres!$A$1:$I$89,3,0)*VLOOKUP('Données projet'!$B$9,Paramètres!$A$1:$I$89,5,0)</f>
        <v>1.2710188457276673E-13</v>
      </c>
      <c r="P98" s="14">
        <f t="shared" si="87"/>
        <v>1.856866851063998E-12</v>
      </c>
      <c r="Q98" s="22">
        <f t="shared" si="54"/>
        <v>3.4554122145673649E-12</v>
      </c>
      <c r="R98" s="60">
        <f t="shared" si="55"/>
        <v>293.33333333333678</v>
      </c>
      <c r="S98" s="60">
        <f ca="1">AVERAGE(OFFSET($R$3,0,0,'Données projet'!$E$9+1,1))-AVERAGE(OFFSET($H$3,0,0,'Données projet'!$E$9+1,1))</f>
        <v>256.47911362806866</v>
      </c>
      <c r="T98" s="60">
        <f t="shared" si="88"/>
        <v>230.93438491511529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0.72158712885340137</v>
      </c>
      <c r="AB98" s="23">
        <f>EXP(-LN(2)/2)*AB97+(1-EXP(-LN(2)/2))/(LN(2)/2)*V98*Y98*VLOOKUP('Données projet'!$B$9,Paramètres!$A$1:$I$89,3,0)*0.475*44/12</f>
        <v>2.6539486949183085E-9</v>
      </c>
      <c r="AC98" s="24">
        <f t="shared" si="57"/>
        <v>0.7215871315073501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-3.694822225952521E-13</v>
      </c>
      <c r="AJ98" s="14">
        <f>AI98*VLOOKUP('Données projet'!$B$10,Paramètres!$A$1:$I$89,3,0)*VLOOKUP('Données projet'!$B$10,Paramètres!$A$1:$I$89,5,0)</f>
        <v>-3.2277966965921228E-13</v>
      </c>
      <c r="AK98" s="14" t="e">
        <f t="shared" si="89"/>
        <v>#NUM!</v>
      </c>
      <c r="AL98" s="22" t="e">
        <f t="shared" si="58"/>
        <v>#NUM!</v>
      </c>
      <c r="AM98" s="60" t="e">
        <f t="shared" si="59"/>
        <v>#NUM!</v>
      </c>
      <c r="AN98" s="60">
        <f ca="1">AVERAGE(OFFSET($AM$3,0,0,'Données projet'!$E$10+1,1))-AVERAGE(OFFSET($H$3,0,0,'Données projet'!$E$10+1,1))</f>
        <v>233.41481265653817</v>
      </c>
      <c r="AO98" s="60">
        <f t="shared" si="90"/>
        <v>300.97465452084055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3.4106051316484809E-13</v>
      </c>
      <c r="BE98" s="14">
        <f>BD98*VLOOKUP('Données projet'!$B$11,Paramètres!$A$1:$I$89,3,0)*VLOOKUP('Données projet'!$B$11,Paramètres!$A$1:$I$89,5,0)</f>
        <v>2.7134774427395314E-13</v>
      </c>
      <c r="BF98" s="14">
        <f t="shared" si="91"/>
        <v>3.6292411711343559E-12</v>
      </c>
      <c r="BG98" s="22">
        <f t="shared" si="61"/>
        <v>6.7935256943361388E-12</v>
      </c>
      <c r="BH98" s="60">
        <f t="shared" si="62"/>
        <v>293.33333333334014</v>
      </c>
      <c r="BI98" s="60">
        <f ca="1">AVERAGE(OFFSET($BH$3,0,0,'Données projet'!$E$11+1,1))-AVERAGE(OFFSET($H$3,0,0,'Données projet'!$E$11+1,1))</f>
        <v>238.47463071449789</v>
      </c>
      <c r="BJ98" s="60">
        <f t="shared" si="92"/>
        <v>270.92950919803718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0" t="e">
        <f t="shared" si="65"/>
        <v>#N/A</v>
      </c>
      <c r="CD98" s="60" t="e">
        <f ca="1">AVERAGE(OFFSET($CC$3,0,0,'Données projet'!$E$12+1,1))-AVERAGE(OFFSET($H$3,0,0,'Données projet'!$E$12+1,1))</f>
        <v>#N/A</v>
      </c>
      <c r="CE98" s="60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0" t="e">
        <f t="shared" si="68"/>
        <v>#N/A</v>
      </c>
      <c r="CY98" s="60" t="e">
        <f ca="1">AVERAGE(OFFSET($CX$3,0,0,'Données projet'!$E$13+1,1))-AVERAGE(OFFSET($H$3,0,0,'Données projet'!$E$13+1,1))</f>
        <v>#N/A</v>
      </c>
      <c r="CZ98" s="60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0" t="e">
        <f t="shared" si="71"/>
        <v>#N/A</v>
      </c>
      <c r="DT98" s="60" t="e">
        <f ca="1">AVERAGE(OFFSET($DS$3,0,0,'Données projet'!$E$14+1,1))-AVERAGE(OFFSET($H$3,0,0,'Données projet'!$E$14+1,1))</f>
        <v>#N/A</v>
      </c>
      <c r="DU98" s="60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0" t="e">
        <f t="shared" si="74"/>
        <v>#N/A</v>
      </c>
      <c r="EO98" s="60" t="e">
        <f ca="1">AVERAGE(OFFSET($EN$3,0,0,'Données projet'!$E$15+1,1))-AVERAGE(OFFSET($H$3,0,0,'Données projet'!$E$15+1,1))</f>
        <v>#N/A</v>
      </c>
      <c r="EP98" s="60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8">
        <f t="shared" si="56"/>
        <v>397.48093978929154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2.2737367544323206E-13</v>
      </c>
      <c r="O99" s="14">
        <f>N99*VLOOKUP('Données projet'!$B$9,Paramètres!$A$1:$I$89,3,0)*VLOOKUP('Données projet'!$B$9,Paramètres!$A$1:$I$89,5,0)</f>
        <v>1.2710188457276673E-13</v>
      </c>
      <c r="P99" s="14">
        <f t="shared" si="87"/>
        <v>1.856866851063998E-12</v>
      </c>
      <c r="Q99" s="22">
        <f t="shared" ref="Q99:Q130" si="107">(O99+P99)*0.475*44/12</f>
        <v>3.4554122145673649E-12</v>
      </c>
      <c r="R99" s="60">
        <f t="shared" si="55"/>
        <v>293.33333333333678</v>
      </c>
      <c r="S99" s="60">
        <f ca="1">AVERAGE(OFFSET($R$3,0,0,'Données projet'!$E$9+1,1))-AVERAGE(OFFSET($H$3,0,0,'Données projet'!$E$9+1,1))</f>
        <v>256.47911362806866</v>
      </c>
      <c r="T99" s="60">
        <f t="shared" si="88"/>
        <v>230.93438491511529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0.70185529086828724</v>
      </c>
      <c r="AB99" s="23">
        <f>EXP(-LN(2)/2)*AB98+(1-EXP(-LN(2)/2))/(LN(2)/2)*V99*Y99*VLOOKUP('Données projet'!$B$9,Paramètres!$A$1:$I$89,3,0)*0.475*44/12</f>
        <v>1.8766251190979237E-9</v>
      </c>
      <c r="AC99" s="24">
        <f t="shared" si="57"/>
        <v>0.70185529274491232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-3.694822225952521E-13</v>
      </c>
      <c r="AJ99" s="14">
        <f>AI99*VLOOKUP('Données projet'!$B$10,Paramètres!$A$1:$I$89,3,0)*VLOOKUP('Données projet'!$B$10,Paramètres!$A$1:$I$89,5,0)</f>
        <v>-3.2277966965921228E-13</v>
      </c>
      <c r="AK99" s="14" t="e">
        <f t="shared" si="89"/>
        <v>#NUM!</v>
      </c>
      <c r="AL99" s="22" t="e">
        <f t="shared" si="58"/>
        <v>#NUM!</v>
      </c>
      <c r="AM99" s="60" t="e">
        <f t="shared" si="59"/>
        <v>#NUM!</v>
      </c>
      <c r="AN99" s="60">
        <f ca="1">AVERAGE(OFFSET($AM$3,0,0,'Données projet'!$E$10+1,1))-AVERAGE(OFFSET($H$3,0,0,'Données projet'!$E$10+1,1))</f>
        <v>233.41481265653817</v>
      </c>
      <c r="AO99" s="60">
        <f t="shared" si="90"/>
        <v>300.97465452084055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3.4106051316484809E-13</v>
      </c>
      <c r="BE99" s="14">
        <f>BD99*VLOOKUP('Données projet'!$B$11,Paramètres!$A$1:$I$89,3,0)*VLOOKUP('Données projet'!$B$11,Paramètres!$A$1:$I$89,5,0)</f>
        <v>2.7134774427395314E-13</v>
      </c>
      <c r="BF99" s="14">
        <f t="shared" si="91"/>
        <v>3.6292411711343559E-12</v>
      </c>
      <c r="BG99" s="22">
        <f t="shared" si="61"/>
        <v>6.7935256943361388E-12</v>
      </c>
      <c r="BH99" s="60">
        <f t="shared" si="62"/>
        <v>293.33333333334014</v>
      </c>
      <c r="BI99" s="60">
        <f ca="1">AVERAGE(OFFSET($BH$3,0,0,'Données projet'!$E$11+1,1))-AVERAGE(OFFSET($H$3,0,0,'Données projet'!$E$11+1,1))</f>
        <v>238.47463071449789</v>
      </c>
      <c r="BJ99" s="60">
        <f t="shared" si="92"/>
        <v>270.92950919803718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0" t="e">
        <f t="shared" si="65"/>
        <v>#N/A</v>
      </c>
      <c r="CD99" s="60" t="e">
        <f ca="1">AVERAGE(OFFSET($CC$3,0,0,'Données projet'!$E$12+1,1))-AVERAGE(OFFSET($H$3,0,0,'Données projet'!$E$12+1,1))</f>
        <v>#N/A</v>
      </c>
      <c r="CE99" s="60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0" t="e">
        <f t="shared" si="68"/>
        <v>#N/A</v>
      </c>
      <c r="CY99" s="60" t="e">
        <f ca="1">AVERAGE(OFFSET($CX$3,0,0,'Données projet'!$E$13+1,1))-AVERAGE(OFFSET($H$3,0,0,'Données projet'!$E$13+1,1))</f>
        <v>#N/A</v>
      </c>
      <c r="CZ99" s="60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0" t="e">
        <f t="shared" si="71"/>
        <v>#N/A</v>
      </c>
      <c r="DT99" s="60" t="e">
        <f ca="1">AVERAGE(OFFSET($DS$3,0,0,'Données projet'!$E$14+1,1))-AVERAGE(OFFSET($H$3,0,0,'Données projet'!$E$14+1,1))</f>
        <v>#N/A</v>
      </c>
      <c r="DU99" s="60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0" t="e">
        <f t="shared" si="74"/>
        <v>#N/A</v>
      </c>
      <c r="EO99" s="60" t="e">
        <f ca="1">AVERAGE(OFFSET($EN$3,0,0,'Données projet'!$E$15+1,1))-AVERAGE(OFFSET($H$3,0,0,'Données projet'!$E$15+1,1))</f>
        <v>#N/A</v>
      </c>
      <c r="EP99" s="60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8">
        <f t="shared" si="56"/>
        <v>398.5369129745979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2.2737367544323206E-13</v>
      </c>
      <c r="O100" s="14">
        <f>N100*VLOOKUP('Données projet'!$B$9,Paramètres!$A$1:$I$89,3,0)*VLOOKUP('Données projet'!$B$9,Paramètres!$A$1:$I$89,5,0)</f>
        <v>1.2710188457276673E-13</v>
      </c>
      <c r="P100" s="14">
        <f t="shared" si="87"/>
        <v>1.856866851063998E-12</v>
      </c>
      <c r="Q100" s="22">
        <f t="shared" si="107"/>
        <v>3.4554122145673649E-12</v>
      </c>
      <c r="R100" s="60">
        <f t="shared" si="55"/>
        <v>293.33333333333678</v>
      </c>
      <c r="S100" s="60">
        <f ca="1">AVERAGE(OFFSET($R$3,0,0,'Données projet'!$E$9+1,1))-AVERAGE(OFFSET($H$3,0,0,'Données projet'!$E$9+1,1))</f>
        <v>256.47911362806866</v>
      </c>
      <c r="T100" s="60">
        <f t="shared" si="88"/>
        <v>230.93438491511529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0.68266302103052834</v>
      </c>
      <c r="AB100" s="23">
        <f>EXP(-LN(2)/2)*AB99+(1-EXP(-LN(2)/2))/(LN(2)/2)*V100*Y100*VLOOKUP('Données projet'!$B$9,Paramètres!$A$1:$I$89,3,0)*0.475*44/12</f>
        <v>1.3269743474591542E-9</v>
      </c>
      <c r="AC100" s="24">
        <f t="shared" si="57"/>
        <v>0.68266302235750265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-3.694822225952521E-13</v>
      </c>
      <c r="AJ100" s="14">
        <f>AI100*VLOOKUP('Données projet'!$B$10,Paramètres!$A$1:$I$89,3,0)*VLOOKUP('Données projet'!$B$10,Paramètres!$A$1:$I$89,5,0)</f>
        <v>-3.2277966965921228E-13</v>
      </c>
      <c r="AK100" s="14" t="e">
        <f t="shared" si="89"/>
        <v>#NUM!</v>
      </c>
      <c r="AL100" s="22" t="e">
        <f t="shared" si="58"/>
        <v>#NUM!</v>
      </c>
      <c r="AM100" s="60" t="e">
        <f t="shared" si="59"/>
        <v>#NUM!</v>
      </c>
      <c r="AN100" s="60">
        <f ca="1">AVERAGE(OFFSET($AM$3,0,0,'Données projet'!$E$10+1,1))-AVERAGE(OFFSET($H$3,0,0,'Données projet'!$E$10+1,1))</f>
        <v>233.41481265653817</v>
      </c>
      <c r="AO100" s="60">
        <f t="shared" si="90"/>
        <v>300.97465452084055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3.4106051316484809E-13</v>
      </c>
      <c r="BE100" s="14">
        <f>BD100*VLOOKUP('Données projet'!$B$11,Paramètres!$A$1:$I$89,3,0)*VLOOKUP('Données projet'!$B$11,Paramètres!$A$1:$I$89,5,0)</f>
        <v>2.7134774427395314E-13</v>
      </c>
      <c r="BF100" s="14">
        <f t="shared" si="91"/>
        <v>3.6292411711343559E-12</v>
      </c>
      <c r="BG100" s="22">
        <f t="shared" si="61"/>
        <v>6.7935256943361388E-12</v>
      </c>
      <c r="BH100" s="60">
        <f t="shared" si="62"/>
        <v>293.33333333334014</v>
      </c>
      <c r="BI100" s="60">
        <f ca="1">AVERAGE(OFFSET($BH$3,0,0,'Données projet'!$E$11+1,1))-AVERAGE(OFFSET($H$3,0,0,'Données projet'!$E$11+1,1))</f>
        <v>238.47463071449789</v>
      </c>
      <c r="BJ100" s="60">
        <f t="shared" si="92"/>
        <v>270.92950919803718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0" t="e">
        <f t="shared" si="65"/>
        <v>#N/A</v>
      </c>
      <c r="CD100" s="60" t="e">
        <f ca="1">AVERAGE(OFFSET($CC$3,0,0,'Données projet'!$E$12+1,1))-AVERAGE(OFFSET($H$3,0,0,'Données projet'!$E$12+1,1))</f>
        <v>#N/A</v>
      </c>
      <c r="CE100" s="60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0" t="e">
        <f t="shared" si="68"/>
        <v>#N/A</v>
      </c>
      <c r="CY100" s="60" t="e">
        <f ca="1">AVERAGE(OFFSET($CX$3,0,0,'Données projet'!$E$13+1,1))-AVERAGE(OFFSET($H$3,0,0,'Données projet'!$E$13+1,1))</f>
        <v>#N/A</v>
      </c>
      <c r="CZ100" s="60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0" t="e">
        <f t="shared" si="71"/>
        <v>#N/A</v>
      </c>
      <c r="DT100" s="60" t="e">
        <f ca="1">AVERAGE(OFFSET($DS$3,0,0,'Données projet'!$E$14+1,1))-AVERAGE(OFFSET($H$3,0,0,'Données projet'!$E$14+1,1))</f>
        <v>#N/A</v>
      </c>
      <c r="DU100" s="60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0" t="e">
        <f t="shared" si="74"/>
        <v>#N/A</v>
      </c>
      <c r="EO100" s="60" t="e">
        <f ca="1">AVERAGE(OFFSET($EN$3,0,0,'Données projet'!$E$15+1,1))-AVERAGE(OFFSET($H$3,0,0,'Données projet'!$E$15+1,1))</f>
        <v>#N/A</v>
      </c>
      <c r="EP100" s="60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8">
        <f t="shared" si="56"/>
        <v>399.59262443424268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2.2737367544323206E-13</v>
      </c>
      <c r="O101" s="14">
        <f>N101*VLOOKUP('Données projet'!$B$9,Paramètres!$A$1:$I$89,3,0)*VLOOKUP('Données projet'!$B$9,Paramètres!$A$1:$I$89,5,0)</f>
        <v>1.2710188457276673E-13</v>
      </c>
      <c r="P101" s="14">
        <f t="shared" si="87"/>
        <v>1.856866851063998E-12</v>
      </c>
      <c r="Q101" s="22">
        <f t="shared" si="107"/>
        <v>3.4554122145673649E-12</v>
      </c>
      <c r="R101" s="60">
        <f t="shared" si="55"/>
        <v>293.33333333333678</v>
      </c>
      <c r="S101" s="60">
        <f ca="1">AVERAGE(OFFSET($R$3,0,0,'Données projet'!$E$9+1,1))-AVERAGE(OFFSET($H$3,0,0,'Données projet'!$E$9+1,1))</f>
        <v>256.47911362806866</v>
      </c>
      <c r="T101" s="60">
        <f t="shared" si="88"/>
        <v>230.93438491511529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0.6639955648207605</v>
      </c>
      <c r="AB101" s="23">
        <f>EXP(-LN(2)/2)*AB100+(1-EXP(-LN(2)/2))/(LN(2)/2)*V101*Y101*VLOOKUP('Données projet'!$B$9,Paramètres!$A$1:$I$89,3,0)*0.475*44/12</f>
        <v>9.3831255954896185E-10</v>
      </c>
      <c r="AC101" s="24">
        <f t="shared" si="57"/>
        <v>0.66399556575907304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-3.694822225952521E-13</v>
      </c>
      <c r="AJ101" s="14">
        <f>AI101*VLOOKUP('Données projet'!$B$10,Paramètres!$A$1:$I$89,3,0)*VLOOKUP('Données projet'!$B$10,Paramètres!$A$1:$I$89,5,0)</f>
        <v>-3.2277966965921228E-13</v>
      </c>
      <c r="AK101" s="14" t="e">
        <f t="shared" si="89"/>
        <v>#NUM!</v>
      </c>
      <c r="AL101" s="22" t="e">
        <f t="shared" si="58"/>
        <v>#NUM!</v>
      </c>
      <c r="AM101" s="60" t="e">
        <f t="shared" si="59"/>
        <v>#NUM!</v>
      </c>
      <c r="AN101" s="60">
        <f ca="1">AVERAGE(OFFSET($AM$3,0,0,'Données projet'!$E$10+1,1))-AVERAGE(OFFSET($H$3,0,0,'Données projet'!$E$10+1,1))</f>
        <v>233.41481265653817</v>
      </c>
      <c r="AO101" s="60">
        <f t="shared" si="90"/>
        <v>300.97465452084055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3.4106051316484809E-13</v>
      </c>
      <c r="BE101" s="14">
        <f>BD101*VLOOKUP('Données projet'!$B$11,Paramètres!$A$1:$I$89,3,0)*VLOOKUP('Données projet'!$B$11,Paramètres!$A$1:$I$89,5,0)</f>
        <v>2.7134774427395314E-13</v>
      </c>
      <c r="BF101" s="14">
        <f t="shared" si="91"/>
        <v>3.6292411711343559E-12</v>
      </c>
      <c r="BG101" s="22">
        <f t="shared" si="61"/>
        <v>6.7935256943361388E-12</v>
      </c>
      <c r="BH101" s="60">
        <f t="shared" si="62"/>
        <v>293.33333333334014</v>
      </c>
      <c r="BI101" s="60">
        <f ca="1">AVERAGE(OFFSET($BH$3,0,0,'Données projet'!$E$11+1,1))-AVERAGE(OFFSET($H$3,0,0,'Données projet'!$E$11+1,1))</f>
        <v>238.47463071449789</v>
      </c>
      <c r="BJ101" s="60">
        <f t="shared" si="92"/>
        <v>270.92950919803718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0" t="e">
        <f t="shared" si="65"/>
        <v>#N/A</v>
      </c>
      <c r="CD101" s="60" t="e">
        <f ca="1">AVERAGE(OFFSET($CC$3,0,0,'Données projet'!$E$12+1,1))-AVERAGE(OFFSET($H$3,0,0,'Données projet'!$E$12+1,1))</f>
        <v>#N/A</v>
      </c>
      <c r="CE101" s="60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0" t="e">
        <f t="shared" si="68"/>
        <v>#N/A</v>
      </c>
      <c r="CY101" s="60" t="e">
        <f ca="1">AVERAGE(OFFSET($CX$3,0,0,'Données projet'!$E$13+1,1))-AVERAGE(OFFSET($H$3,0,0,'Données projet'!$E$13+1,1))</f>
        <v>#N/A</v>
      </c>
      <c r="CZ101" s="60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0" t="e">
        <f t="shared" si="71"/>
        <v>#N/A</v>
      </c>
      <c r="DT101" s="60" t="e">
        <f ca="1">AVERAGE(OFFSET($DS$3,0,0,'Données projet'!$E$14+1,1))-AVERAGE(OFFSET($H$3,0,0,'Données projet'!$E$14+1,1))</f>
        <v>#N/A</v>
      </c>
      <c r="DU101" s="60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0" t="e">
        <f t="shared" si="74"/>
        <v>#N/A</v>
      </c>
      <c r="EO101" s="60" t="e">
        <f ca="1">AVERAGE(OFFSET($EN$3,0,0,'Données projet'!$E$15+1,1))-AVERAGE(OFFSET($H$3,0,0,'Données projet'!$E$15+1,1))</f>
        <v>#N/A</v>
      </c>
      <c r="EP101" s="60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8">
        <f t="shared" si="56"/>
        <v>400.64807714809581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2.2737367544323206E-13</v>
      </c>
      <c r="O102" s="14">
        <f>N102*VLOOKUP('Données projet'!$B$9,Paramètres!$A$1:$I$89,3,0)*VLOOKUP('Données projet'!$B$9,Paramètres!$A$1:$I$89,5,0)</f>
        <v>1.2710188457276673E-13</v>
      </c>
      <c r="P102" s="14">
        <f t="shared" si="87"/>
        <v>1.856866851063998E-12</v>
      </c>
      <c r="Q102" s="22">
        <f t="shared" si="107"/>
        <v>3.4554122145673649E-12</v>
      </c>
      <c r="R102" s="60">
        <f t="shared" si="55"/>
        <v>293.33333333333678</v>
      </c>
      <c r="S102" s="60">
        <f ca="1">AVERAGE(OFFSET($R$3,0,0,'Données projet'!$E$9+1,1))-AVERAGE(OFFSET($H$3,0,0,'Données projet'!$E$9+1,1))</f>
        <v>256.47911362806866</v>
      </c>
      <c r="T102" s="60">
        <f t="shared" si="88"/>
        <v>230.93438491511529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0.64583857118272758</v>
      </c>
      <c r="AB102" s="23">
        <f>EXP(-LN(2)/2)*AB101+(1-EXP(-LN(2)/2))/(LN(2)/2)*V102*Y102*VLOOKUP('Données projet'!$B$9,Paramètres!$A$1:$I$89,3,0)*0.475*44/12</f>
        <v>6.6348717372957712E-10</v>
      </c>
      <c r="AC102" s="24">
        <f t="shared" si="57"/>
        <v>0.64583857184621474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-3.694822225952521E-13</v>
      </c>
      <c r="AJ102" s="14">
        <f>AI102*VLOOKUP('Données projet'!$B$10,Paramètres!$A$1:$I$89,3,0)*VLOOKUP('Données projet'!$B$10,Paramètres!$A$1:$I$89,5,0)</f>
        <v>-3.2277966965921228E-13</v>
      </c>
      <c r="AK102" s="14" t="e">
        <f t="shared" si="89"/>
        <v>#NUM!</v>
      </c>
      <c r="AL102" s="22" t="e">
        <f t="shared" si="58"/>
        <v>#NUM!</v>
      </c>
      <c r="AM102" s="60" t="e">
        <f t="shared" si="59"/>
        <v>#NUM!</v>
      </c>
      <c r="AN102" s="60">
        <f ca="1">AVERAGE(OFFSET($AM$3,0,0,'Données projet'!$E$10+1,1))-AVERAGE(OFFSET($H$3,0,0,'Données projet'!$E$10+1,1))</f>
        <v>233.41481265653817</v>
      </c>
      <c r="AO102" s="60">
        <f t="shared" si="90"/>
        <v>300.97465452084055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3.4106051316484809E-13</v>
      </c>
      <c r="BE102" s="14">
        <f>BD102*VLOOKUP('Données projet'!$B$11,Paramètres!$A$1:$I$89,3,0)*VLOOKUP('Données projet'!$B$11,Paramètres!$A$1:$I$89,5,0)</f>
        <v>2.7134774427395314E-13</v>
      </c>
      <c r="BF102" s="14">
        <f t="shared" si="91"/>
        <v>3.6292411711343559E-12</v>
      </c>
      <c r="BG102" s="22">
        <f t="shared" si="61"/>
        <v>6.7935256943361388E-12</v>
      </c>
      <c r="BH102" s="60">
        <f t="shared" si="62"/>
        <v>293.33333333334014</v>
      </c>
      <c r="BI102" s="60">
        <f ca="1">AVERAGE(OFFSET($BH$3,0,0,'Données projet'!$E$11+1,1))-AVERAGE(OFFSET($H$3,0,0,'Données projet'!$E$11+1,1))</f>
        <v>238.47463071449789</v>
      </c>
      <c r="BJ102" s="60">
        <f t="shared" si="92"/>
        <v>270.92950919803718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0" t="e">
        <f t="shared" si="65"/>
        <v>#N/A</v>
      </c>
      <c r="CD102" s="60" t="e">
        <f ca="1">AVERAGE(OFFSET($CC$3,0,0,'Données projet'!$E$12+1,1))-AVERAGE(OFFSET($H$3,0,0,'Données projet'!$E$12+1,1))</f>
        <v>#N/A</v>
      </c>
      <c r="CE102" s="60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0" t="e">
        <f t="shared" si="68"/>
        <v>#N/A</v>
      </c>
      <c r="CY102" s="60" t="e">
        <f ca="1">AVERAGE(OFFSET($CX$3,0,0,'Données projet'!$E$13+1,1))-AVERAGE(OFFSET($H$3,0,0,'Données projet'!$E$13+1,1))</f>
        <v>#N/A</v>
      </c>
      <c r="CZ102" s="60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0" t="e">
        <f t="shared" si="71"/>
        <v>#N/A</v>
      </c>
      <c r="DT102" s="60" t="e">
        <f ca="1">AVERAGE(OFFSET($DS$3,0,0,'Données projet'!$E$14+1,1))-AVERAGE(OFFSET($H$3,0,0,'Données projet'!$E$14+1,1))</f>
        <v>#N/A</v>
      </c>
      <c r="DU102" s="60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0" t="e">
        <f t="shared" si="74"/>
        <v>#N/A</v>
      </c>
      <c r="EO102" s="60" t="e">
        <f ca="1">AVERAGE(OFFSET($EN$3,0,0,'Données projet'!$E$15+1,1))-AVERAGE(OFFSET($H$3,0,0,'Données projet'!$E$15+1,1))</f>
        <v>#N/A</v>
      </c>
      <c r="EP102" s="60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8">
        <f t="shared" si="56"/>
        <v>401.70327403235842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2.2737367544323206E-13</v>
      </c>
      <c r="O103" s="14">
        <f>N103*VLOOKUP('Données projet'!$B$9,Paramètres!$A$1:$I$89,3,0)*VLOOKUP('Données projet'!$B$9,Paramètres!$A$1:$I$89,5,0)</f>
        <v>1.2710188457276673E-13</v>
      </c>
      <c r="P103" s="14">
        <f t="shared" si="87"/>
        <v>1.856866851063998E-12</v>
      </c>
      <c r="Q103" s="22">
        <f t="shared" si="107"/>
        <v>3.4554122145673649E-12</v>
      </c>
      <c r="R103" s="60">
        <f t="shared" si="55"/>
        <v>293.33333333333678</v>
      </c>
      <c r="S103" s="60">
        <f ca="1">AVERAGE(OFFSET($R$3,0,0,'Données projet'!$E$9+1,1))-AVERAGE(OFFSET($H$3,0,0,'Données projet'!$E$9+1,1))</f>
        <v>256.47911362806866</v>
      </c>
      <c r="T103" s="60">
        <f t="shared" si="88"/>
        <v>230.93438491511529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0.62817808149056154</v>
      </c>
      <c r="AB103" s="23">
        <f>EXP(-LN(2)/2)*AB102+(1-EXP(-LN(2)/2))/(LN(2)/2)*V103*Y103*VLOOKUP('Données projet'!$B$9,Paramètres!$A$1:$I$89,3,0)*0.475*44/12</f>
        <v>4.6915627977448093E-10</v>
      </c>
      <c r="AC103" s="24">
        <f t="shared" si="57"/>
        <v>0.6281780819597178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-3.694822225952521E-13</v>
      </c>
      <c r="AJ103" s="14">
        <f>AI103*VLOOKUP('Données projet'!$B$10,Paramètres!$A$1:$I$89,3,0)*VLOOKUP('Données projet'!$B$10,Paramètres!$A$1:$I$89,5,0)</f>
        <v>-3.2277966965921228E-13</v>
      </c>
      <c r="AK103" s="14" t="e">
        <f t="shared" si="89"/>
        <v>#NUM!</v>
      </c>
      <c r="AL103" s="22" t="e">
        <f t="shared" si="58"/>
        <v>#NUM!</v>
      </c>
      <c r="AM103" s="60" t="e">
        <f t="shared" si="59"/>
        <v>#NUM!</v>
      </c>
      <c r="AN103" s="60">
        <f ca="1">AVERAGE(OFFSET($AM$3,0,0,'Données projet'!$E$10+1,1))-AVERAGE(OFFSET($H$3,0,0,'Données projet'!$E$10+1,1))</f>
        <v>233.41481265653817</v>
      </c>
      <c r="AO103" s="60">
        <f t="shared" si="90"/>
        <v>300.97465452084055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3.4106051316484809E-13</v>
      </c>
      <c r="BE103" s="14">
        <f>BD103*VLOOKUP('Données projet'!$B$11,Paramètres!$A$1:$I$89,3,0)*VLOOKUP('Données projet'!$B$11,Paramètres!$A$1:$I$89,5,0)</f>
        <v>2.7134774427395314E-13</v>
      </c>
      <c r="BF103" s="14">
        <f t="shared" si="91"/>
        <v>3.6292411711343559E-12</v>
      </c>
      <c r="BG103" s="22">
        <f t="shared" si="61"/>
        <v>6.7935256943361388E-12</v>
      </c>
      <c r="BH103" s="60">
        <f t="shared" si="62"/>
        <v>293.33333333334014</v>
      </c>
      <c r="BI103" s="60">
        <f ca="1">AVERAGE(OFFSET($BH$3,0,0,'Données projet'!$E$11+1,1))-AVERAGE(OFFSET($H$3,0,0,'Données projet'!$E$11+1,1))</f>
        <v>238.47463071449789</v>
      </c>
      <c r="BJ103" s="60">
        <f t="shared" si="92"/>
        <v>270.92950919803718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0" t="e">
        <f t="shared" si="65"/>
        <v>#N/A</v>
      </c>
      <c r="CD103" s="60" t="e">
        <f ca="1">AVERAGE(OFFSET($CC$3,0,0,'Données projet'!$E$12+1,1))-AVERAGE(OFFSET($H$3,0,0,'Données projet'!$E$12+1,1))</f>
        <v>#N/A</v>
      </c>
      <c r="CE103" s="60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0" t="e">
        <f t="shared" si="68"/>
        <v>#N/A</v>
      </c>
      <c r="CY103" s="60" t="e">
        <f ca="1">AVERAGE(OFFSET($CX$3,0,0,'Données projet'!$E$13+1,1))-AVERAGE(OFFSET($H$3,0,0,'Données projet'!$E$13+1,1))</f>
        <v>#N/A</v>
      </c>
      <c r="CZ103" s="60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0" t="e">
        <f t="shared" si="71"/>
        <v>#N/A</v>
      </c>
      <c r="DT103" s="60" t="e">
        <f ca="1">AVERAGE(OFFSET($DS$3,0,0,'Données projet'!$E$14+1,1))-AVERAGE(OFFSET($H$3,0,0,'Données projet'!$E$14+1,1))</f>
        <v>#N/A</v>
      </c>
      <c r="DU103" s="60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0" t="e">
        <f t="shared" si="74"/>
        <v>#N/A</v>
      </c>
      <c r="EO103" s="60" t="e">
        <f ca="1">AVERAGE(OFFSET($EN$3,0,0,'Données projet'!$E$15+1,1))-AVERAGE(OFFSET($H$3,0,0,'Données projet'!$E$15+1,1))</f>
        <v>#N/A</v>
      </c>
      <c r="EP103" s="60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8">
        <f t="shared" si="56"/>
        <v>402.75821794154609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2.2737367544323206E-13</v>
      </c>
      <c r="O104" s="14">
        <f>N104*VLOOKUP('Données projet'!$B$9,Paramètres!$A$1:$I$89,3,0)*VLOOKUP('Données projet'!$B$9,Paramètres!$A$1:$I$89,5,0)</f>
        <v>1.2710188457276673E-13</v>
      </c>
      <c r="P104" s="14">
        <f t="shared" si="87"/>
        <v>1.856866851063998E-12</v>
      </c>
      <c r="Q104" s="22">
        <f t="shared" si="107"/>
        <v>3.4554122145673649E-12</v>
      </c>
      <c r="R104" s="60">
        <f t="shared" si="55"/>
        <v>293.33333333333678</v>
      </c>
      <c r="S104" s="60">
        <f ca="1">AVERAGE(OFFSET($R$3,0,0,'Données projet'!$E$9+1,1))-AVERAGE(OFFSET($H$3,0,0,'Données projet'!$E$9+1,1))</f>
        <v>256.47911362806866</v>
      </c>
      <c r="T104" s="60">
        <f t="shared" si="88"/>
        <v>230.93438491511529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0.61100051881775252</v>
      </c>
      <c r="AB104" s="23">
        <f>EXP(-LN(2)/2)*AB103+(1-EXP(-LN(2)/2))/(LN(2)/2)*V104*Y104*VLOOKUP('Données projet'!$B$9,Paramètres!$A$1:$I$89,3,0)*0.475*44/12</f>
        <v>3.3174358686478856E-10</v>
      </c>
      <c r="AC104" s="24">
        <f t="shared" si="57"/>
        <v>0.61100051914949616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-3.694822225952521E-13</v>
      </c>
      <c r="AJ104" s="14">
        <f>AI104*VLOOKUP('Données projet'!$B$10,Paramètres!$A$1:$I$89,3,0)*VLOOKUP('Données projet'!$B$10,Paramètres!$A$1:$I$89,5,0)</f>
        <v>-3.2277966965921228E-13</v>
      </c>
      <c r="AK104" s="14" t="e">
        <f t="shared" si="89"/>
        <v>#NUM!</v>
      </c>
      <c r="AL104" s="22" t="e">
        <f t="shared" si="58"/>
        <v>#NUM!</v>
      </c>
      <c r="AM104" s="60" t="e">
        <f t="shared" si="59"/>
        <v>#NUM!</v>
      </c>
      <c r="AN104" s="60">
        <f ca="1">AVERAGE(OFFSET($AM$3,0,0,'Données projet'!$E$10+1,1))-AVERAGE(OFFSET($H$3,0,0,'Données projet'!$E$10+1,1))</f>
        <v>233.41481265653817</v>
      </c>
      <c r="AO104" s="60">
        <f t="shared" si="90"/>
        <v>300.97465452084055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3.4106051316484809E-13</v>
      </c>
      <c r="BE104" s="14">
        <f>BD104*VLOOKUP('Données projet'!$B$11,Paramètres!$A$1:$I$89,3,0)*VLOOKUP('Données projet'!$B$11,Paramètres!$A$1:$I$89,5,0)</f>
        <v>2.7134774427395314E-13</v>
      </c>
      <c r="BF104" s="14">
        <f t="shared" si="91"/>
        <v>3.6292411711343559E-12</v>
      </c>
      <c r="BG104" s="22">
        <f t="shared" si="61"/>
        <v>6.7935256943361388E-12</v>
      </c>
      <c r="BH104" s="60">
        <f t="shared" si="62"/>
        <v>293.33333333334014</v>
      </c>
      <c r="BI104" s="60">
        <f ca="1">AVERAGE(OFFSET($BH$3,0,0,'Données projet'!$E$11+1,1))-AVERAGE(OFFSET($H$3,0,0,'Données projet'!$E$11+1,1))</f>
        <v>238.47463071449789</v>
      </c>
      <c r="BJ104" s="60">
        <f t="shared" si="92"/>
        <v>270.92950919803718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0" t="e">
        <f t="shared" si="65"/>
        <v>#N/A</v>
      </c>
      <c r="CD104" s="60" t="e">
        <f ca="1">AVERAGE(OFFSET($CC$3,0,0,'Données projet'!$E$12+1,1))-AVERAGE(OFFSET($H$3,0,0,'Données projet'!$E$12+1,1))</f>
        <v>#N/A</v>
      </c>
      <c r="CE104" s="60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0" t="e">
        <f t="shared" si="68"/>
        <v>#N/A</v>
      </c>
      <c r="CY104" s="60" t="e">
        <f ca="1">AVERAGE(OFFSET($CX$3,0,0,'Données projet'!$E$13+1,1))-AVERAGE(OFFSET($H$3,0,0,'Données projet'!$E$13+1,1))</f>
        <v>#N/A</v>
      </c>
      <c r="CZ104" s="60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0" t="e">
        <f t="shared" si="71"/>
        <v>#N/A</v>
      </c>
      <c r="DT104" s="60" t="e">
        <f ca="1">AVERAGE(OFFSET($DS$3,0,0,'Données projet'!$E$14+1,1))-AVERAGE(OFFSET($H$3,0,0,'Données projet'!$E$14+1,1))</f>
        <v>#N/A</v>
      </c>
      <c r="DU104" s="60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0" t="e">
        <f t="shared" si="74"/>
        <v>#N/A</v>
      </c>
      <c r="EO104" s="60" t="e">
        <f ca="1">AVERAGE(OFFSET($EN$3,0,0,'Données projet'!$E$15+1,1))-AVERAGE(OFFSET($H$3,0,0,'Données projet'!$E$15+1,1))</f>
        <v>#N/A</v>
      </c>
      <c r="EP104" s="60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8">
        <f t="shared" si="56"/>
        <v>403.81291167039103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2.2737367544323206E-13</v>
      </c>
      <c r="O105" s="14">
        <f>N105*VLOOKUP('Données projet'!$B$9,Paramètres!$A$1:$I$89,3,0)*VLOOKUP('Données projet'!$B$9,Paramètres!$A$1:$I$89,5,0)</f>
        <v>1.2710188457276673E-13</v>
      </c>
      <c r="P105" s="14">
        <f t="shared" si="87"/>
        <v>1.856866851063998E-12</v>
      </c>
      <c r="Q105" s="22">
        <f t="shared" si="107"/>
        <v>3.4554122145673649E-12</v>
      </c>
      <c r="R105" s="60">
        <f t="shared" si="55"/>
        <v>293.33333333333678</v>
      </c>
      <c r="S105" s="60">
        <f ca="1">AVERAGE(OFFSET($R$3,0,0,'Données projet'!$E$9+1,1))-AVERAGE(OFFSET($H$3,0,0,'Données projet'!$E$9+1,1))</f>
        <v>256.47911362806866</v>
      </c>
      <c r="T105" s="60">
        <f t="shared" si="88"/>
        <v>230.93438491511529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0.59429267749956027</v>
      </c>
      <c r="AB105" s="23">
        <f>EXP(-LN(2)/2)*AB104+(1-EXP(-LN(2)/2))/(LN(2)/2)*V105*Y105*VLOOKUP('Données projet'!$B$9,Paramètres!$A$1:$I$89,3,0)*0.475*44/12</f>
        <v>2.3457813988724046E-10</v>
      </c>
      <c r="AC105" s="24">
        <f t="shared" si="57"/>
        <v>0.59429267773413841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-3.694822225952521E-13</v>
      </c>
      <c r="AJ105" s="14">
        <f>AI105*VLOOKUP('Données projet'!$B$10,Paramètres!$A$1:$I$89,3,0)*VLOOKUP('Données projet'!$B$10,Paramètres!$A$1:$I$89,5,0)</f>
        <v>-3.2277966965921228E-13</v>
      </c>
      <c r="AK105" s="14" t="e">
        <f t="shared" si="89"/>
        <v>#NUM!</v>
      </c>
      <c r="AL105" s="22" t="e">
        <f t="shared" si="58"/>
        <v>#NUM!</v>
      </c>
      <c r="AM105" s="60" t="e">
        <f t="shared" si="59"/>
        <v>#NUM!</v>
      </c>
      <c r="AN105" s="60">
        <f ca="1">AVERAGE(OFFSET($AM$3,0,0,'Données projet'!$E$10+1,1))-AVERAGE(OFFSET($H$3,0,0,'Données projet'!$E$10+1,1))</f>
        <v>233.41481265653817</v>
      </c>
      <c r="AO105" s="60">
        <f t="shared" si="90"/>
        <v>300.97465452084055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3.4106051316484809E-13</v>
      </c>
      <c r="BE105" s="14">
        <f>BD105*VLOOKUP('Données projet'!$B$11,Paramètres!$A$1:$I$89,3,0)*VLOOKUP('Données projet'!$B$11,Paramètres!$A$1:$I$89,5,0)</f>
        <v>2.7134774427395314E-13</v>
      </c>
      <c r="BF105" s="14">
        <f t="shared" si="91"/>
        <v>3.6292411711343559E-12</v>
      </c>
      <c r="BG105" s="22">
        <f t="shared" si="61"/>
        <v>6.7935256943361388E-12</v>
      </c>
      <c r="BH105" s="60">
        <f t="shared" si="62"/>
        <v>293.33333333334014</v>
      </c>
      <c r="BI105" s="60">
        <f ca="1">AVERAGE(OFFSET($BH$3,0,0,'Données projet'!$E$11+1,1))-AVERAGE(OFFSET($H$3,0,0,'Données projet'!$E$11+1,1))</f>
        <v>238.47463071449789</v>
      </c>
      <c r="BJ105" s="60">
        <f t="shared" si="92"/>
        <v>270.92950919803718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0" t="e">
        <f t="shared" si="65"/>
        <v>#N/A</v>
      </c>
      <c r="CD105" s="60" t="e">
        <f ca="1">AVERAGE(OFFSET($CC$3,0,0,'Données projet'!$E$12+1,1))-AVERAGE(OFFSET($H$3,0,0,'Données projet'!$E$12+1,1))</f>
        <v>#N/A</v>
      </c>
      <c r="CE105" s="60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0" t="e">
        <f t="shared" si="68"/>
        <v>#N/A</v>
      </c>
      <c r="CY105" s="60" t="e">
        <f ca="1">AVERAGE(OFFSET($CX$3,0,0,'Données projet'!$E$13+1,1))-AVERAGE(OFFSET($H$3,0,0,'Données projet'!$E$13+1,1))</f>
        <v>#N/A</v>
      </c>
      <c r="CZ105" s="60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0" t="e">
        <f t="shared" si="71"/>
        <v>#N/A</v>
      </c>
      <c r="DT105" s="60" t="e">
        <f ca="1">AVERAGE(OFFSET($DS$3,0,0,'Données projet'!$E$14+1,1))-AVERAGE(OFFSET($H$3,0,0,'Données projet'!$E$14+1,1))</f>
        <v>#N/A</v>
      </c>
      <c r="DU105" s="60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0" t="e">
        <f t="shared" si="74"/>
        <v>#N/A</v>
      </c>
      <c r="EO105" s="60" t="e">
        <f ca="1">AVERAGE(OFFSET($EN$3,0,0,'Données projet'!$E$15+1,1))-AVERAGE(OFFSET($H$3,0,0,'Données projet'!$E$15+1,1))</f>
        <v>#N/A</v>
      </c>
      <c r="EP105" s="60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8">
        <f t="shared" si="56"/>
        <v>404.8673579556679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2.2737367544323206E-13</v>
      </c>
      <c r="O106" s="14">
        <f>N106*VLOOKUP('Données projet'!$B$9,Paramètres!$A$1:$I$89,3,0)*VLOOKUP('Données projet'!$B$9,Paramètres!$A$1:$I$89,5,0)</f>
        <v>1.2710188457276673E-13</v>
      </c>
      <c r="P106" s="14">
        <f t="shared" si="87"/>
        <v>1.856866851063998E-12</v>
      </c>
      <c r="Q106" s="22">
        <f t="shared" si="107"/>
        <v>3.4554122145673649E-12</v>
      </c>
      <c r="R106" s="60">
        <f t="shared" si="55"/>
        <v>293.33333333333678</v>
      </c>
      <c r="S106" s="60">
        <f ca="1">AVERAGE(OFFSET($R$3,0,0,'Données projet'!$E$9+1,1))-AVERAGE(OFFSET($H$3,0,0,'Données projet'!$E$9+1,1))</f>
        <v>256.47911362806866</v>
      </c>
      <c r="T106" s="60">
        <f t="shared" si="88"/>
        <v>230.93438491511529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0.57804171298084117</v>
      </c>
      <c r="AB106" s="23">
        <f>EXP(-LN(2)/2)*AB105+(1-EXP(-LN(2)/2))/(LN(2)/2)*V106*Y106*VLOOKUP('Données projet'!$B$9,Paramètres!$A$1:$I$89,3,0)*0.475*44/12</f>
        <v>1.6587179343239428E-10</v>
      </c>
      <c r="AC106" s="24">
        <f t="shared" si="57"/>
        <v>0.57804171314671293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-3.694822225952521E-13</v>
      </c>
      <c r="AJ106" s="14">
        <f>AI106*VLOOKUP('Données projet'!$B$10,Paramètres!$A$1:$I$89,3,0)*VLOOKUP('Données projet'!$B$10,Paramètres!$A$1:$I$89,5,0)</f>
        <v>-3.2277966965921228E-13</v>
      </c>
      <c r="AK106" s="14" t="e">
        <f t="shared" si="89"/>
        <v>#NUM!</v>
      </c>
      <c r="AL106" s="22" t="e">
        <f t="shared" si="58"/>
        <v>#NUM!</v>
      </c>
      <c r="AM106" s="60" t="e">
        <f t="shared" si="59"/>
        <v>#NUM!</v>
      </c>
      <c r="AN106" s="60">
        <f ca="1">AVERAGE(OFFSET($AM$3,0,0,'Données projet'!$E$10+1,1))-AVERAGE(OFFSET($H$3,0,0,'Données projet'!$E$10+1,1))</f>
        <v>233.41481265653817</v>
      </c>
      <c r="AO106" s="60">
        <f t="shared" si="90"/>
        <v>300.97465452084055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3.4106051316484809E-13</v>
      </c>
      <c r="BE106" s="14">
        <f>BD106*VLOOKUP('Données projet'!$B$11,Paramètres!$A$1:$I$89,3,0)*VLOOKUP('Données projet'!$B$11,Paramètres!$A$1:$I$89,5,0)</f>
        <v>2.7134774427395314E-13</v>
      </c>
      <c r="BF106" s="14">
        <f t="shared" si="91"/>
        <v>3.6292411711343559E-12</v>
      </c>
      <c r="BG106" s="22">
        <f t="shared" si="61"/>
        <v>6.7935256943361388E-12</v>
      </c>
      <c r="BH106" s="60">
        <f t="shared" si="62"/>
        <v>293.33333333334014</v>
      </c>
      <c r="BI106" s="60">
        <f ca="1">AVERAGE(OFFSET($BH$3,0,0,'Données projet'!$E$11+1,1))-AVERAGE(OFFSET($H$3,0,0,'Données projet'!$E$11+1,1))</f>
        <v>238.47463071449789</v>
      </c>
      <c r="BJ106" s="60">
        <f t="shared" si="92"/>
        <v>270.92950919803718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0" t="e">
        <f t="shared" si="65"/>
        <v>#N/A</v>
      </c>
      <c r="CD106" s="60" t="e">
        <f ca="1">AVERAGE(OFFSET($CC$3,0,0,'Données projet'!$E$12+1,1))-AVERAGE(OFFSET($H$3,0,0,'Données projet'!$E$12+1,1))</f>
        <v>#N/A</v>
      </c>
      <c r="CE106" s="60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0" t="e">
        <f t="shared" si="68"/>
        <v>#N/A</v>
      </c>
      <c r="CY106" s="60" t="e">
        <f ca="1">AVERAGE(OFFSET($CX$3,0,0,'Données projet'!$E$13+1,1))-AVERAGE(OFFSET($H$3,0,0,'Données projet'!$E$13+1,1))</f>
        <v>#N/A</v>
      </c>
      <c r="CZ106" s="60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0" t="e">
        <f t="shared" si="71"/>
        <v>#N/A</v>
      </c>
      <c r="DT106" s="60" t="e">
        <f ca="1">AVERAGE(OFFSET($DS$3,0,0,'Données projet'!$E$14+1,1))-AVERAGE(OFFSET($H$3,0,0,'Données projet'!$E$14+1,1))</f>
        <v>#N/A</v>
      </c>
      <c r="DU106" s="60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0" t="e">
        <f t="shared" si="74"/>
        <v>#N/A</v>
      </c>
      <c r="EO106" s="60" t="e">
        <f ca="1">AVERAGE(OFFSET($EN$3,0,0,'Données projet'!$E$15+1,1))-AVERAGE(OFFSET($H$3,0,0,'Données projet'!$E$15+1,1))</f>
        <v>#N/A</v>
      </c>
      <c r="EP106" s="60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8">
        <f t="shared" si="56"/>
        <v>405.92155947794635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2.2737367544323206E-13</v>
      </c>
      <c r="O107" s="14">
        <f>N107*VLOOKUP('Données projet'!$B$9,Paramètres!$A$1:$I$89,3,0)*VLOOKUP('Données projet'!$B$9,Paramètres!$A$1:$I$89,5,0)</f>
        <v>1.2710188457276673E-13</v>
      </c>
      <c r="P107" s="14">
        <f t="shared" si="87"/>
        <v>1.856866851063998E-12</v>
      </c>
      <c r="Q107" s="22">
        <f t="shared" si="107"/>
        <v>3.4554122145673649E-12</v>
      </c>
      <c r="R107" s="60">
        <f t="shared" si="55"/>
        <v>293.33333333333678</v>
      </c>
      <c r="S107" s="60">
        <f ca="1">AVERAGE(OFFSET($R$3,0,0,'Données projet'!$E$9+1,1))-AVERAGE(OFFSET($H$3,0,0,'Données projet'!$E$9+1,1))</f>
        <v>256.47911362806866</v>
      </c>
      <c r="T107" s="60">
        <f t="shared" si="88"/>
        <v>230.93438491511529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0.56223513194148755</v>
      </c>
      <c r="AB107" s="23">
        <f>EXP(-LN(2)/2)*AB106+(1-EXP(-LN(2)/2))/(LN(2)/2)*V107*Y107*VLOOKUP('Données projet'!$B$9,Paramètres!$A$1:$I$89,3,0)*0.475*44/12</f>
        <v>1.1728906994362023E-10</v>
      </c>
      <c r="AC107" s="24">
        <f t="shared" si="57"/>
        <v>0.56223513205877662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-3.694822225952521E-13</v>
      </c>
      <c r="AJ107" s="14">
        <f>AI107*VLOOKUP('Données projet'!$B$10,Paramètres!$A$1:$I$89,3,0)*VLOOKUP('Données projet'!$B$10,Paramètres!$A$1:$I$89,5,0)</f>
        <v>-3.2277966965921228E-13</v>
      </c>
      <c r="AK107" s="14" t="e">
        <f t="shared" si="89"/>
        <v>#NUM!</v>
      </c>
      <c r="AL107" s="22" t="e">
        <f t="shared" si="58"/>
        <v>#NUM!</v>
      </c>
      <c r="AM107" s="60" t="e">
        <f t="shared" si="59"/>
        <v>#NUM!</v>
      </c>
      <c r="AN107" s="60">
        <f ca="1">AVERAGE(OFFSET($AM$3,0,0,'Données projet'!$E$10+1,1))-AVERAGE(OFFSET($H$3,0,0,'Données projet'!$E$10+1,1))</f>
        <v>233.41481265653817</v>
      </c>
      <c r="AO107" s="60">
        <f t="shared" si="90"/>
        <v>300.97465452084055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3.4106051316484809E-13</v>
      </c>
      <c r="BE107" s="14">
        <f>BD107*VLOOKUP('Données projet'!$B$11,Paramètres!$A$1:$I$89,3,0)*VLOOKUP('Données projet'!$B$11,Paramètres!$A$1:$I$89,5,0)</f>
        <v>2.7134774427395314E-13</v>
      </c>
      <c r="BF107" s="14">
        <f t="shared" si="91"/>
        <v>3.6292411711343559E-12</v>
      </c>
      <c r="BG107" s="22">
        <f t="shared" si="61"/>
        <v>6.7935256943361388E-12</v>
      </c>
      <c r="BH107" s="60">
        <f t="shared" si="62"/>
        <v>293.33333333334014</v>
      </c>
      <c r="BI107" s="60">
        <f ca="1">AVERAGE(OFFSET($BH$3,0,0,'Données projet'!$E$11+1,1))-AVERAGE(OFFSET($H$3,0,0,'Données projet'!$E$11+1,1))</f>
        <v>238.47463071449789</v>
      </c>
      <c r="BJ107" s="60">
        <f t="shared" si="92"/>
        <v>270.92950919803718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0" t="e">
        <f t="shared" si="65"/>
        <v>#N/A</v>
      </c>
      <c r="CD107" s="60" t="e">
        <f ca="1">AVERAGE(OFFSET($CC$3,0,0,'Données projet'!$E$12+1,1))-AVERAGE(OFFSET($H$3,0,0,'Données projet'!$E$12+1,1))</f>
        <v>#N/A</v>
      </c>
      <c r="CE107" s="60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0" t="e">
        <f t="shared" si="68"/>
        <v>#N/A</v>
      </c>
      <c r="CY107" s="60" t="e">
        <f ca="1">AVERAGE(OFFSET($CX$3,0,0,'Données projet'!$E$13+1,1))-AVERAGE(OFFSET($H$3,0,0,'Données projet'!$E$13+1,1))</f>
        <v>#N/A</v>
      </c>
      <c r="CZ107" s="60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0" t="e">
        <f t="shared" si="71"/>
        <v>#N/A</v>
      </c>
      <c r="DT107" s="60" t="e">
        <f ca="1">AVERAGE(OFFSET($DS$3,0,0,'Données projet'!$E$14+1,1))-AVERAGE(OFFSET($H$3,0,0,'Données projet'!$E$14+1,1))</f>
        <v>#N/A</v>
      </c>
      <c r="DU107" s="60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0" t="e">
        <f t="shared" si="74"/>
        <v>#N/A</v>
      </c>
      <c r="EO107" s="60" t="e">
        <f ca="1">AVERAGE(OFFSET($EN$3,0,0,'Données projet'!$E$15+1,1))-AVERAGE(OFFSET($H$3,0,0,'Données projet'!$E$15+1,1))</f>
        <v>#N/A</v>
      </c>
      <c r="EP107" s="60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8">
        <f t="shared" si="56"/>
        <v>406.9755188632746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2.2737367544323206E-13</v>
      </c>
      <c r="O108" s="14">
        <f>N108*VLOOKUP('Données projet'!$B$9,Paramètres!$A$1:$I$89,3,0)*VLOOKUP('Données projet'!$B$9,Paramètres!$A$1:$I$89,5,0)</f>
        <v>1.2710188457276673E-13</v>
      </c>
      <c r="P108" s="14">
        <f t="shared" si="87"/>
        <v>1.856866851063998E-12</v>
      </c>
      <c r="Q108" s="22">
        <f t="shared" si="107"/>
        <v>3.4554122145673649E-12</v>
      </c>
      <c r="R108" s="60">
        <f t="shared" si="55"/>
        <v>293.33333333333678</v>
      </c>
      <c r="S108" s="60">
        <f ca="1">AVERAGE(OFFSET($R$3,0,0,'Données projet'!$E$9+1,1))-AVERAGE(OFFSET($H$3,0,0,'Données projet'!$E$9+1,1))</f>
        <v>256.47911362806866</v>
      </c>
      <c r="T108" s="60">
        <f t="shared" si="88"/>
        <v>230.93438491511529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0.54686078269188698</v>
      </c>
      <c r="AB108" s="23">
        <f>EXP(-LN(2)/2)*AB107+(1-EXP(-LN(2)/2))/(LN(2)/2)*V108*Y108*VLOOKUP('Données projet'!$B$9,Paramètres!$A$1:$I$89,3,0)*0.475*44/12</f>
        <v>8.293589671619714E-11</v>
      </c>
      <c r="AC108" s="24">
        <f t="shared" si="57"/>
        <v>0.54686078277482286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-3.694822225952521E-13</v>
      </c>
      <c r="AJ108" s="14">
        <f>AI108*VLOOKUP('Données projet'!$B$10,Paramètres!$A$1:$I$89,3,0)*VLOOKUP('Données projet'!$B$10,Paramètres!$A$1:$I$89,5,0)</f>
        <v>-3.2277966965921228E-13</v>
      </c>
      <c r="AK108" s="14" t="e">
        <f t="shared" si="89"/>
        <v>#NUM!</v>
      </c>
      <c r="AL108" s="22" t="e">
        <f t="shared" si="58"/>
        <v>#NUM!</v>
      </c>
      <c r="AM108" s="60" t="e">
        <f t="shared" si="59"/>
        <v>#NUM!</v>
      </c>
      <c r="AN108" s="60">
        <f ca="1">AVERAGE(OFFSET($AM$3,0,0,'Données projet'!$E$10+1,1))-AVERAGE(OFFSET($H$3,0,0,'Données projet'!$E$10+1,1))</f>
        <v>233.41481265653817</v>
      </c>
      <c r="AO108" s="60">
        <f t="shared" si="90"/>
        <v>300.97465452084055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3.4106051316484809E-13</v>
      </c>
      <c r="BE108" s="14">
        <f>BD108*VLOOKUP('Données projet'!$B$11,Paramètres!$A$1:$I$89,3,0)*VLOOKUP('Données projet'!$B$11,Paramètres!$A$1:$I$89,5,0)</f>
        <v>2.7134774427395314E-13</v>
      </c>
      <c r="BF108" s="14">
        <f t="shared" si="91"/>
        <v>3.6292411711343559E-12</v>
      </c>
      <c r="BG108" s="22">
        <f t="shared" si="61"/>
        <v>6.7935256943361388E-12</v>
      </c>
      <c r="BH108" s="60">
        <f t="shared" si="62"/>
        <v>293.33333333334014</v>
      </c>
      <c r="BI108" s="60">
        <f ca="1">AVERAGE(OFFSET($BH$3,0,0,'Données projet'!$E$11+1,1))-AVERAGE(OFFSET($H$3,0,0,'Données projet'!$E$11+1,1))</f>
        <v>238.47463071449789</v>
      </c>
      <c r="BJ108" s="60">
        <f t="shared" si="92"/>
        <v>270.92950919803718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0" t="e">
        <f t="shared" si="65"/>
        <v>#N/A</v>
      </c>
      <c r="CD108" s="60" t="e">
        <f ca="1">AVERAGE(OFFSET($CC$3,0,0,'Données projet'!$E$12+1,1))-AVERAGE(OFFSET($H$3,0,0,'Données projet'!$E$12+1,1))</f>
        <v>#N/A</v>
      </c>
      <c r="CE108" s="60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0" t="e">
        <f t="shared" si="68"/>
        <v>#N/A</v>
      </c>
      <c r="CY108" s="60" t="e">
        <f ca="1">AVERAGE(OFFSET($CX$3,0,0,'Données projet'!$E$13+1,1))-AVERAGE(OFFSET($H$3,0,0,'Données projet'!$E$13+1,1))</f>
        <v>#N/A</v>
      </c>
      <c r="CZ108" s="60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0" t="e">
        <f t="shared" si="71"/>
        <v>#N/A</v>
      </c>
      <c r="DT108" s="60" t="e">
        <f ca="1">AVERAGE(OFFSET($DS$3,0,0,'Données projet'!$E$14+1,1))-AVERAGE(OFFSET($H$3,0,0,'Données projet'!$E$14+1,1))</f>
        <v>#N/A</v>
      </c>
      <c r="DU108" s="60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0" t="e">
        <f t="shared" si="74"/>
        <v>#N/A</v>
      </c>
      <c r="EO108" s="60" t="e">
        <f ca="1">AVERAGE(OFFSET($EN$3,0,0,'Données projet'!$E$15+1,1))-AVERAGE(OFFSET($H$3,0,0,'Données projet'!$E$15+1,1))</f>
        <v>#N/A</v>
      </c>
      <c r="EP108" s="60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8">
        <f t="shared" si="56"/>
        <v>408.0292386847965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2.2737367544323206E-13</v>
      </c>
      <c r="O109" s="14">
        <f>N109*VLOOKUP('Données projet'!$B$9,Paramètres!$A$1:$I$89,3,0)*VLOOKUP('Données projet'!$B$9,Paramètres!$A$1:$I$89,5,0)</f>
        <v>1.2710188457276673E-13</v>
      </c>
      <c r="P109" s="14">
        <f t="shared" si="87"/>
        <v>1.856866851063998E-12</v>
      </c>
      <c r="Q109" s="22">
        <f t="shared" si="107"/>
        <v>3.4554122145673649E-12</v>
      </c>
      <c r="R109" s="60">
        <f t="shared" si="55"/>
        <v>293.33333333333678</v>
      </c>
      <c r="S109" s="60">
        <f ca="1">AVERAGE(OFFSET($R$3,0,0,'Données projet'!$E$9+1,1))-AVERAGE(OFFSET($H$3,0,0,'Données projet'!$E$9+1,1))</f>
        <v>256.47911362806866</v>
      </c>
      <c r="T109" s="60">
        <f t="shared" si="88"/>
        <v>230.93438491511529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0.53190684583101866</v>
      </c>
      <c r="AB109" s="23">
        <f>EXP(-LN(2)/2)*AB108+(1-EXP(-LN(2)/2))/(LN(2)/2)*V109*Y109*VLOOKUP('Données projet'!$B$9,Paramètres!$A$1:$I$89,3,0)*0.475*44/12</f>
        <v>5.8644534971810116E-11</v>
      </c>
      <c r="AC109" s="24">
        <f t="shared" si="57"/>
        <v>0.53190684588966319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-3.694822225952521E-13</v>
      </c>
      <c r="AJ109" s="14">
        <f>AI109*VLOOKUP('Données projet'!$B$10,Paramètres!$A$1:$I$89,3,0)*VLOOKUP('Données projet'!$B$10,Paramètres!$A$1:$I$89,5,0)</f>
        <v>-3.2277966965921228E-13</v>
      </c>
      <c r="AK109" s="14" t="e">
        <f t="shared" si="89"/>
        <v>#NUM!</v>
      </c>
      <c r="AL109" s="22" t="e">
        <f t="shared" si="58"/>
        <v>#NUM!</v>
      </c>
      <c r="AM109" s="60" t="e">
        <f t="shared" si="59"/>
        <v>#NUM!</v>
      </c>
      <c r="AN109" s="60">
        <f ca="1">AVERAGE(OFFSET($AM$3,0,0,'Données projet'!$E$10+1,1))-AVERAGE(OFFSET($H$3,0,0,'Données projet'!$E$10+1,1))</f>
        <v>233.41481265653817</v>
      </c>
      <c r="AO109" s="60">
        <f t="shared" si="90"/>
        <v>300.97465452084055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3.4106051316484809E-13</v>
      </c>
      <c r="BE109" s="14">
        <f>BD109*VLOOKUP('Données projet'!$B$11,Paramètres!$A$1:$I$89,3,0)*VLOOKUP('Données projet'!$B$11,Paramètres!$A$1:$I$89,5,0)</f>
        <v>2.7134774427395314E-13</v>
      </c>
      <c r="BF109" s="14">
        <f t="shared" si="91"/>
        <v>3.6292411711343559E-12</v>
      </c>
      <c r="BG109" s="22">
        <f t="shared" si="61"/>
        <v>6.7935256943361388E-12</v>
      </c>
      <c r="BH109" s="60">
        <f t="shared" si="62"/>
        <v>293.33333333334014</v>
      </c>
      <c r="BI109" s="60">
        <f ca="1">AVERAGE(OFFSET($BH$3,0,0,'Données projet'!$E$11+1,1))-AVERAGE(OFFSET($H$3,0,0,'Données projet'!$E$11+1,1))</f>
        <v>238.47463071449789</v>
      </c>
      <c r="BJ109" s="60">
        <f t="shared" si="92"/>
        <v>270.92950919803718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0" t="e">
        <f t="shared" si="65"/>
        <v>#N/A</v>
      </c>
      <c r="CD109" s="60" t="e">
        <f ca="1">AVERAGE(OFFSET($CC$3,0,0,'Données projet'!$E$12+1,1))-AVERAGE(OFFSET($H$3,0,0,'Données projet'!$E$12+1,1))</f>
        <v>#N/A</v>
      </c>
      <c r="CE109" s="60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0" t="e">
        <f t="shared" si="68"/>
        <v>#N/A</v>
      </c>
      <c r="CY109" s="60" t="e">
        <f ca="1">AVERAGE(OFFSET($CX$3,0,0,'Données projet'!$E$13+1,1))-AVERAGE(OFFSET($H$3,0,0,'Données projet'!$E$13+1,1))</f>
        <v>#N/A</v>
      </c>
      <c r="CZ109" s="60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0" t="e">
        <f t="shared" si="71"/>
        <v>#N/A</v>
      </c>
      <c r="DT109" s="60" t="e">
        <f ca="1">AVERAGE(OFFSET($DS$3,0,0,'Données projet'!$E$14+1,1))-AVERAGE(OFFSET($H$3,0,0,'Données projet'!$E$14+1,1))</f>
        <v>#N/A</v>
      </c>
      <c r="DU109" s="60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0" t="e">
        <f t="shared" si="74"/>
        <v>#N/A</v>
      </c>
      <c r="EO109" s="60" t="e">
        <f ca="1">AVERAGE(OFFSET($EN$3,0,0,'Données projet'!$E$15+1,1))-AVERAGE(OFFSET($H$3,0,0,'Données projet'!$E$15+1,1))</f>
        <v>#N/A</v>
      </c>
      <c r="EP109" s="60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8">
        <f t="shared" si="56"/>
        <v>409.08272146430653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2.2737367544323206E-13</v>
      </c>
      <c r="O110" s="14">
        <f>N110*VLOOKUP('Données projet'!$B$9,Paramètres!$A$1:$I$89,3,0)*VLOOKUP('Données projet'!$B$9,Paramètres!$A$1:$I$89,5,0)</f>
        <v>1.2710188457276673E-13</v>
      </c>
      <c r="P110" s="14">
        <f t="shared" si="87"/>
        <v>1.856866851063998E-12</v>
      </c>
      <c r="Q110" s="22">
        <f t="shared" si="107"/>
        <v>3.4554122145673649E-12</v>
      </c>
      <c r="R110" s="60">
        <f t="shared" si="55"/>
        <v>293.33333333333678</v>
      </c>
      <c r="S110" s="60">
        <f ca="1">AVERAGE(OFFSET($R$3,0,0,'Données projet'!$E$9+1,1))-AVERAGE(OFFSET($H$3,0,0,'Données projet'!$E$9+1,1))</f>
        <v>256.47911362806866</v>
      </c>
      <c r="T110" s="60">
        <f t="shared" si="88"/>
        <v>230.93438491511529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0.51736182516000417</v>
      </c>
      <c r="AB110" s="23">
        <f>EXP(-LN(2)/2)*AB109+(1-EXP(-LN(2)/2))/(LN(2)/2)*V110*Y110*VLOOKUP('Données projet'!$B$9,Paramètres!$A$1:$I$89,3,0)*0.475*44/12</f>
        <v>4.146794835809857E-11</v>
      </c>
      <c r="AC110" s="24">
        <f t="shared" si="57"/>
        <v>0.51736182520147211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-3.694822225952521E-13</v>
      </c>
      <c r="AJ110" s="14">
        <f>AI110*VLOOKUP('Données projet'!$B$10,Paramètres!$A$1:$I$89,3,0)*VLOOKUP('Données projet'!$B$10,Paramètres!$A$1:$I$89,5,0)</f>
        <v>-3.2277966965921228E-13</v>
      </c>
      <c r="AK110" s="14" t="e">
        <f t="shared" si="89"/>
        <v>#NUM!</v>
      </c>
      <c r="AL110" s="22" t="e">
        <f t="shared" si="58"/>
        <v>#NUM!</v>
      </c>
      <c r="AM110" s="60" t="e">
        <f t="shared" si="59"/>
        <v>#NUM!</v>
      </c>
      <c r="AN110" s="60">
        <f ca="1">AVERAGE(OFFSET($AM$3,0,0,'Données projet'!$E$10+1,1))-AVERAGE(OFFSET($H$3,0,0,'Données projet'!$E$10+1,1))</f>
        <v>233.41481265653817</v>
      </c>
      <c r="AO110" s="60">
        <f t="shared" si="90"/>
        <v>300.97465452084055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3.4106051316484809E-13</v>
      </c>
      <c r="BE110" s="14">
        <f>BD110*VLOOKUP('Données projet'!$B$11,Paramètres!$A$1:$I$89,3,0)*VLOOKUP('Données projet'!$B$11,Paramètres!$A$1:$I$89,5,0)</f>
        <v>2.7134774427395314E-13</v>
      </c>
      <c r="BF110" s="14">
        <f t="shared" si="91"/>
        <v>3.6292411711343559E-12</v>
      </c>
      <c r="BG110" s="22">
        <f t="shared" si="61"/>
        <v>6.7935256943361388E-12</v>
      </c>
      <c r="BH110" s="60">
        <f t="shared" si="62"/>
        <v>293.33333333334014</v>
      </c>
      <c r="BI110" s="60">
        <f ca="1">AVERAGE(OFFSET($BH$3,0,0,'Données projet'!$E$11+1,1))-AVERAGE(OFFSET($H$3,0,0,'Données projet'!$E$11+1,1))</f>
        <v>238.47463071449789</v>
      </c>
      <c r="BJ110" s="60">
        <f t="shared" si="92"/>
        <v>270.92950919803718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0" t="e">
        <f t="shared" si="65"/>
        <v>#N/A</v>
      </c>
      <c r="CD110" s="60" t="e">
        <f ca="1">AVERAGE(OFFSET($CC$3,0,0,'Données projet'!$E$12+1,1))-AVERAGE(OFFSET($H$3,0,0,'Données projet'!$E$12+1,1))</f>
        <v>#N/A</v>
      </c>
      <c r="CE110" s="60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0" t="e">
        <f t="shared" si="68"/>
        <v>#N/A</v>
      </c>
      <c r="CY110" s="60" t="e">
        <f ca="1">AVERAGE(OFFSET($CX$3,0,0,'Données projet'!$E$13+1,1))-AVERAGE(OFFSET($H$3,0,0,'Données projet'!$E$13+1,1))</f>
        <v>#N/A</v>
      </c>
      <c r="CZ110" s="60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0" t="e">
        <f t="shared" si="71"/>
        <v>#N/A</v>
      </c>
      <c r="DT110" s="60" t="e">
        <f ca="1">AVERAGE(OFFSET($DS$3,0,0,'Données projet'!$E$14+1,1))-AVERAGE(OFFSET($H$3,0,0,'Données projet'!$E$14+1,1))</f>
        <v>#N/A</v>
      </c>
      <c r="DU110" s="60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0" t="e">
        <f t="shared" si="74"/>
        <v>#N/A</v>
      </c>
      <c r="EO110" s="60" t="e">
        <f ca="1">AVERAGE(OFFSET($EN$3,0,0,'Données projet'!$E$15+1,1))-AVERAGE(OFFSET($H$3,0,0,'Données projet'!$E$15+1,1))</f>
        <v>#N/A</v>
      </c>
      <c r="EP110" s="60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8">
        <f t="shared" si="56"/>
        <v>410.13596967374428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2.2737367544323206E-13</v>
      </c>
      <c r="O111" s="14">
        <f>N111*VLOOKUP('Données projet'!$B$9,Paramètres!$A$1:$I$89,3,0)*VLOOKUP('Données projet'!$B$9,Paramètres!$A$1:$I$89,5,0)</f>
        <v>1.2710188457276673E-13</v>
      </c>
      <c r="P111" s="14">
        <f t="shared" si="87"/>
        <v>1.856866851063998E-12</v>
      </c>
      <c r="Q111" s="22">
        <f t="shared" si="107"/>
        <v>3.4554122145673649E-12</v>
      </c>
      <c r="R111" s="60">
        <f t="shared" si="55"/>
        <v>293.33333333333678</v>
      </c>
      <c r="S111" s="60">
        <f ca="1">AVERAGE(OFFSET($R$3,0,0,'Données projet'!$E$9+1,1))-AVERAGE(OFFSET($H$3,0,0,'Données projet'!$E$9+1,1))</f>
        <v>256.47911362806866</v>
      </c>
      <c r="T111" s="60">
        <f t="shared" si="88"/>
        <v>230.93438491511529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0.50321453884412792</v>
      </c>
      <c r="AB111" s="23">
        <f>EXP(-LN(2)/2)*AB110+(1-EXP(-LN(2)/2))/(LN(2)/2)*V111*Y111*VLOOKUP('Données projet'!$B$9,Paramètres!$A$1:$I$89,3,0)*0.475*44/12</f>
        <v>2.9322267485905058E-11</v>
      </c>
      <c r="AC111" s="24">
        <f t="shared" si="57"/>
        <v>0.50321453887345025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-3.694822225952521E-13</v>
      </c>
      <c r="AJ111" s="14">
        <f>AI111*VLOOKUP('Données projet'!$B$10,Paramètres!$A$1:$I$89,3,0)*VLOOKUP('Données projet'!$B$10,Paramètres!$A$1:$I$89,5,0)</f>
        <v>-3.2277966965921228E-13</v>
      </c>
      <c r="AK111" s="14" t="e">
        <f t="shared" si="89"/>
        <v>#NUM!</v>
      </c>
      <c r="AL111" s="22" t="e">
        <f t="shared" si="58"/>
        <v>#NUM!</v>
      </c>
      <c r="AM111" s="60" t="e">
        <f t="shared" si="59"/>
        <v>#NUM!</v>
      </c>
      <c r="AN111" s="60">
        <f ca="1">AVERAGE(OFFSET($AM$3,0,0,'Données projet'!$E$10+1,1))-AVERAGE(OFFSET($H$3,0,0,'Données projet'!$E$10+1,1))</f>
        <v>233.41481265653817</v>
      </c>
      <c r="AO111" s="60">
        <f t="shared" si="90"/>
        <v>300.97465452084055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3.4106051316484809E-13</v>
      </c>
      <c r="BE111" s="14">
        <f>BD111*VLOOKUP('Données projet'!$B$11,Paramètres!$A$1:$I$89,3,0)*VLOOKUP('Données projet'!$B$11,Paramètres!$A$1:$I$89,5,0)</f>
        <v>2.7134774427395314E-13</v>
      </c>
      <c r="BF111" s="14">
        <f t="shared" si="91"/>
        <v>3.6292411711343559E-12</v>
      </c>
      <c r="BG111" s="22">
        <f t="shared" si="61"/>
        <v>6.7935256943361388E-12</v>
      </c>
      <c r="BH111" s="60">
        <f t="shared" si="62"/>
        <v>293.33333333334014</v>
      </c>
      <c r="BI111" s="60">
        <f ca="1">AVERAGE(OFFSET($BH$3,0,0,'Données projet'!$E$11+1,1))-AVERAGE(OFFSET($H$3,0,0,'Données projet'!$E$11+1,1))</f>
        <v>238.47463071449789</v>
      </c>
      <c r="BJ111" s="60">
        <f t="shared" si="92"/>
        <v>270.92950919803718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0" t="e">
        <f t="shared" si="65"/>
        <v>#N/A</v>
      </c>
      <c r="CD111" s="60" t="e">
        <f ca="1">AVERAGE(OFFSET($CC$3,0,0,'Données projet'!$E$12+1,1))-AVERAGE(OFFSET($H$3,0,0,'Données projet'!$E$12+1,1))</f>
        <v>#N/A</v>
      </c>
      <c r="CE111" s="60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0" t="e">
        <f t="shared" si="68"/>
        <v>#N/A</v>
      </c>
      <c r="CY111" s="60" t="e">
        <f ca="1">AVERAGE(OFFSET($CX$3,0,0,'Données projet'!$E$13+1,1))-AVERAGE(OFFSET($H$3,0,0,'Données projet'!$E$13+1,1))</f>
        <v>#N/A</v>
      </c>
      <c r="CZ111" s="60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0" t="e">
        <f t="shared" si="71"/>
        <v>#N/A</v>
      </c>
      <c r="DT111" s="60" t="e">
        <f ca="1">AVERAGE(OFFSET($DS$3,0,0,'Données projet'!$E$14+1,1))-AVERAGE(OFFSET($H$3,0,0,'Données projet'!$E$14+1,1))</f>
        <v>#N/A</v>
      </c>
      <c r="DU111" s="60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0" t="e">
        <f t="shared" si="74"/>
        <v>#N/A</v>
      </c>
      <c r="EO111" s="60" t="e">
        <f ca="1">AVERAGE(OFFSET($EN$3,0,0,'Données projet'!$E$15+1,1))-AVERAGE(OFFSET($H$3,0,0,'Données projet'!$E$15+1,1))</f>
        <v>#N/A</v>
      </c>
      <c r="EP111" s="60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8">
        <f t="shared" si="56"/>
        <v>411.18898573663273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2.2737367544323206E-13</v>
      </c>
      <c r="O112" s="14">
        <f>N112*VLOOKUP('Données projet'!$B$9,Paramètres!$A$1:$I$89,3,0)*VLOOKUP('Données projet'!$B$9,Paramètres!$A$1:$I$89,5,0)</f>
        <v>1.2710188457276673E-13</v>
      </c>
      <c r="P112" s="14">
        <f t="shared" si="87"/>
        <v>1.856866851063998E-12</v>
      </c>
      <c r="Q112" s="22">
        <f t="shared" si="107"/>
        <v>3.4554122145673649E-12</v>
      </c>
      <c r="R112" s="60">
        <f t="shared" si="55"/>
        <v>293.33333333333678</v>
      </c>
      <c r="S112" s="60">
        <f ca="1">AVERAGE(OFFSET($R$3,0,0,'Données projet'!$E$9+1,1))-AVERAGE(OFFSET($H$3,0,0,'Données projet'!$E$9+1,1))</f>
        <v>256.47911362806866</v>
      </c>
      <c r="T112" s="60">
        <f t="shared" si="88"/>
        <v>230.93438491511529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0.48945411081653278</v>
      </c>
      <c r="AB112" s="23">
        <f>EXP(-LN(2)/2)*AB111+(1-EXP(-LN(2)/2))/(LN(2)/2)*V112*Y112*VLOOKUP('Données projet'!$B$9,Paramètres!$A$1:$I$89,3,0)*0.475*44/12</f>
        <v>2.0733974179049285E-11</v>
      </c>
      <c r="AC112" s="24">
        <f t="shared" si="57"/>
        <v>0.48945411083726675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-3.694822225952521E-13</v>
      </c>
      <c r="AJ112" s="14">
        <f>AI112*VLOOKUP('Données projet'!$B$10,Paramètres!$A$1:$I$89,3,0)*VLOOKUP('Données projet'!$B$10,Paramètres!$A$1:$I$89,5,0)</f>
        <v>-3.2277966965921228E-13</v>
      </c>
      <c r="AK112" s="14" t="e">
        <f t="shared" si="89"/>
        <v>#NUM!</v>
      </c>
      <c r="AL112" s="22" t="e">
        <f t="shared" si="58"/>
        <v>#NUM!</v>
      </c>
      <c r="AM112" s="60" t="e">
        <f t="shared" si="59"/>
        <v>#NUM!</v>
      </c>
      <c r="AN112" s="60">
        <f ca="1">AVERAGE(OFFSET($AM$3,0,0,'Données projet'!$E$10+1,1))-AVERAGE(OFFSET($H$3,0,0,'Données projet'!$E$10+1,1))</f>
        <v>233.41481265653817</v>
      </c>
      <c r="AO112" s="60">
        <f t="shared" si="90"/>
        <v>300.97465452084055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3.4106051316484809E-13</v>
      </c>
      <c r="BE112" s="14">
        <f>BD112*VLOOKUP('Données projet'!$B$11,Paramètres!$A$1:$I$89,3,0)*VLOOKUP('Données projet'!$B$11,Paramètres!$A$1:$I$89,5,0)</f>
        <v>2.7134774427395314E-13</v>
      </c>
      <c r="BF112" s="14">
        <f t="shared" si="91"/>
        <v>3.6292411711343559E-12</v>
      </c>
      <c r="BG112" s="22">
        <f t="shared" si="61"/>
        <v>6.7935256943361388E-12</v>
      </c>
      <c r="BH112" s="60">
        <f t="shared" si="62"/>
        <v>293.33333333334014</v>
      </c>
      <c r="BI112" s="60">
        <f ca="1">AVERAGE(OFFSET($BH$3,0,0,'Données projet'!$E$11+1,1))-AVERAGE(OFFSET($H$3,0,0,'Données projet'!$E$11+1,1))</f>
        <v>238.47463071449789</v>
      </c>
      <c r="BJ112" s="60">
        <f t="shared" si="92"/>
        <v>270.92950919803718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0" t="e">
        <f t="shared" si="65"/>
        <v>#N/A</v>
      </c>
      <c r="CD112" s="60" t="e">
        <f ca="1">AVERAGE(OFFSET($CC$3,0,0,'Données projet'!$E$12+1,1))-AVERAGE(OFFSET($H$3,0,0,'Données projet'!$E$12+1,1))</f>
        <v>#N/A</v>
      </c>
      <c r="CE112" s="60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0" t="e">
        <f t="shared" si="68"/>
        <v>#N/A</v>
      </c>
      <c r="CY112" s="60" t="e">
        <f ca="1">AVERAGE(OFFSET($CX$3,0,0,'Données projet'!$E$13+1,1))-AVERAGE(OFFSET($H$3,0,0,'Données projet'!$E$13+1,1))</f>
        <v>#N/A</v>
      </c>
      <c r="CZ112" s="60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0" t="e">
        <f t="shared" si="71"/>
        <v>#N/A</v>
      </c>
      <c r="DT112" s="60" t="e">
        <f ca="1">AVERAGE(OFFSET($DS$3,0,0,'Données projet'!$E$14+1,1))-AVERAGE(OFFSET($H$3,0,0,'Données projet'!$E$14+1,1))</f>
        <v>#N/A</v>
      </c>
      <c r="DU112" s="60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0" t="e">
        <f t="shared" si="74"/>
        <v>#N/A</v>
      </c>
      <c r="EO112" s="60" t="e">
        <f ca="1">AVERAGE(OFFSET($EN$3,0,0,'Données projet'!$E$15+1,1))-AVERAGE(OFFSET($H$3,0,0,'Données projet'!$E$15+1,1))</f>
        <v>#N/A</v>
      </c>
      <c r="EP112" s="60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8">
        <f t="shared" si="56"/>
        <v>412.2417720294614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2.2737367544323206E-13</v>
      </c>
      <c r="O113" s="14">
        <f>N113*VLOOKUP('Données projet'!$B$9,Paramètres!$A$1:$I$89,3,0)*VLOOKUP('Données projet'!$B$9,Paramètres!$A$1:$I$89,5,0)</f>
        <v>1.2710188457276673E-13</v>
      </c>
      <c r="P113" s="14">
        <f t="shared" si="87"/>
        <v>1.856866851063998E-12</v>
      </c>
      <c r="Q113" s="22">
        <f t="shared" si="107"/>
        <v>3.4554122145673649E-12</v>
      </c>
      <c r="R113" s="60">
        <f t="shared" si="55"/>
        <v>293.33333333333678</v>
      </c>
      <c r="S113" s="60">
        <f ca="1">AVERAGE(OFFSET($R$3,0,0,'Données projet'!$E$9+1,1))-AVERAGE(OFFSET($H$3,0,0,'Données projet'!$E$9+1,1))</f>
        <v>256.47911362806866</v>
      </c>
      <c r="T113" s="60">
        <f t="shared" si="88"/>
        <v>230.93438491511529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0.47606996241698168</v>
      </c>
      <c r="AB113" s="23">
        <f>EXP(-LN(2)/2)*AB112+(1-EXP(-LN(2)/2))/(LN(2)/2)*V113*Y113*VLOOKUP('Données projet'!$B$9,Paramètres!$A$1:$I$89,3,0)*0.475*44/12</f>
        <v>1.4661133742952529E-11</v>
      </c>
      <c r="AC113" s="24">
        <f t="shared" si="57"/>
        <v>0.47606996243164285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-3.694822225952521E-13</v>
      </c>
      <c r="AJ113" s="14">
        <f>AI113*VLOOKUP('Données projet'!$B$10,Paramètres!$A$1:$I$89,3,0)*VLOOKUP('Données projet'!$B$10,Paramètres!$A$1:$I$89,5,0)</f>
        <v>-3.2277966965921228E-13</v>
      </c>
      <c r="AK113" s="14" t="e">
        <f t="shared" si="89"/>
        <v>#NUM!</v>
      </c>
      <c r="AL113" s="22" t="e">
        <f t="shared" si="58"/>
        <v>#NUM!</v>
      </c>
      <c r="AM113" s="60" t="e">
        <f t="shared" si="59"/>
        <v>#NUM!</v>
      </c>
      <c r="AN113" s="60">
        <f ca="1">AVERAGE(OFFSET($AM$3,0,0,'Données projet'!$E$10+1,1))-AVERAGE(OFFSET($H$3,0,0,'Données projet'!$E$10+1,1))</f>
        <v>233.41481265653817</v>
      </c>
      <c r="AO113" s="60">
        <f t="shared" si="90"/>
        <v>300.97465452084055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3.4106051316484809E-13</v>
      </c>
      <c r="BE113" s="14">
        <f>BD113*VLOOKUP('Données projet'!$B$11,Paramètres!$A$1:$I$89,3,0)*VLOOKUP('Données projet'!$B$11,Paramètres!$A$1:$I$89,5,0)</f>
        <v>2.7134774427395314E-13</v>
      </c>
      <c r="BF113" s="14">
        <f t="shared" si="91"/>
        <v>3.6292411711343559E-12</v>
      </c>
      <c r="BG113" s="22">
        <f t="shared" si="61"/>
        <v>6.7935256943361388E-12</v>
      </c>
      <c r="BH113" s="60">
        <f t="shared" si="62"/>
        <v>293.33333333334014</v>
      </c>
      <c r="BI113" s="60">
        <f ca="1">AVERAGE(OFFSET($BH$3,0,0,'Données projet'!$E$11+1,1))-AVERAGE(OFFSET($H$3,0,0,'Données projet'!$E$11+1,1))</f>
        <v>238.47463071449789</v>
      </c>
      <c r="BJ113" s="60">
        <f t="shared" si="92"/>
        <v>270.92950919803718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0" t="e">
        <f t="shared" si="65"/>
        <v>#N/A</v>
      </c>
      <c r="CD113" s="60" t="e">
        <f ca="1">AVERAGE(OFFSET($CC$3,0,0,'Données projet'!$E$12+1,1))-AVERAGE(OFFSET($H$3,0,0,'Données projet'!$E$12+1,1))</f>
        <v>#N/A</v>
      </c>
      <c r="CE113" s="60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0" t="e">
        <f t="shared" si="68"/>
        <v>#N/A</v>
      </c>
      <c r="CY113" s="60" t="e">
        <f ca="1">AVERAGE(OFFSET($CX$3,0,0,'Données projet'!$E$13+1,1))-AVERAGE(OFFSET($H$3,0,0,'Données projet'!$E$13+1,1))</f>
        <v>#N/A</v>
      </c>
      <c r="CZ113" s="60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0" t="e">
        <f t="shared" si="71"/>
        <v>#N/A</v>
      </c>
      <c r="DT113" s="60" t="e">
        <f ca="1">AVERAGE(OFFSET($DS$3,0,0,'Données projet'!$E$14+1,1))-AVERAGE(OFFSET($H$3,0,0,'Données projet'!$E$14+1,1))</f>
        <v>#N/A</v>
      </c>
      <c r="DU113" s="60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0" t="e">
        <f t="shared" si="74"/>
        <v>#N/A</v>
      </c>
      <c r="EO113" s="60" t="e">
        <f ca="1">AVERAGE(OFFSET($EN$3,0,0,'Données projet'!$E$15+1,1))-AVERAGE(OFFSET($H$3,0,0,'Données projet'!$E$15+1,1))</f>
        <v>#N/A</v>
      </c>
      <c r="EP113" s="60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8">
        <f t="shared" si="56"/>
        <v>413.29433088301869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2.2737367544323206E-13</v>
      </c>
      <c r="O114" s="14">
        <f>N114*VLOOKUP('Données projet'!$B$9,Paramètres!$A$1:$I$89,3,0)*VLOOKUP('Données projet'!$B$9,Paramètres!$A$1:$I$89,5,0)</f>
        <v>1.2710188457276673E-13</v>
      </c>
      <c r="P114" s="14">
        <f t="shared" si="87"/>
        <v>1.856866851063998E-12</v>
      </c>
      <c r="Q114" s="22">
        <f t="shared" si="107"/>
        <v>3.4554122145673649E-12</v>
      </c>
      <c r="R114" s="60">
        <f t="shared" si="55"/>
        <v>293.33333333333678</v>
      </c>
      <c r="S114" s="60">
        <f ca="1">AVERAGE(OFFSET($R$3,0,0,'Données projet'!$E$9+1,1))-AVERAGE(OFFSET($H$3,0,0,'Données projet'!$E$9+1,1))</f>
        <v>256.47911362806866</v>
      </c>
      <c r="T114" s="60">
        <f t="shared" si="88"/>
        <v>230.93438491511529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0.46305180425925807</v>
      </c>
      <c r="AB114" s="23">
        <f>EXP(-LN(2)/2)*AB113+(1-EXP(-LN(2)/2))/(LN(2)/2)*V114*Y114*VLOOKUP('Données projet'!$B$9,Paramètres!$A$1:$I$89,3,0)*0.475*44/12</f>
        <v>1.0366987089524642E-11</v>
      </c>
      <c r="AC114" s="24">
        <f t="shared" si="57"/>
        <v>0.46305180426962506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-3.694822225952521E-13</v>
      </c>
      <c r="AJ114" s="14">
        <f>AI114*VLOOKUP('Données projet'!$B$10,Paramètres!$A$1:$I$89,3,0)*VLOOKUP('Données projet'!$B$10,Paramètres!$A$1:$I$89,5,0)</f>
        <v>-3.2277966965921228E-13</v>
      </c>
      <c r="AK114" s="14" t="e">
        <f t="shared" si="89"/>
        <v>#NUM!</v>
      </c>
      <c r="AL114" s="22" t="e">
        <f t="shared" si="58"/>
        <v>#NUM!</v>
      </c>
      <c r="AM114" s="60" t="e">
        <f t="shared" si="59"/>
        <v>#NUM!</v>
      </c>
      <c r="AN114" s="60">
        <f ca="1">AVERAGE(OFFSET($AM$3,0,0,'Données projet'!$E$10+1,1))-AVERAGE(OFFSET($H$3,0,0,'Données projet'!$E$10+1,1))</f>
        <v>233.41481265653817</v>
      </c>
      <c r="AO114" s="60">
        <f t="shared" si="90"/>
        <v>300.97465452084055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3.4106051316484809E-13</v>
      </c>
      <c r="BE114" s="14">
        <f>BD114*VLOOKUP('Données projet'!$B$11,Paramètres!$A$1:$I$89,3,0)*VLOOKUP('Données projet'!$B$11,Paramètres!$A$1:$I$89,5,0)</f>
        <v>2.7134774427395314E-13</v>
      </c>
      <c r="BF114" s="14">
        <f t="shared" si="91"/>
        <v>3.6292411711343559E-12</v>
      </c>
      <c r="BG114" s="22">
        <f t="shared" si="61"/>
        <v>6.7935256943361388E-12</v>
      </c>
      <c r="BH114" s="60">
        <f t="shared" si="62"/>
        <v>293.33333333334014</v>
      </c>
      <c r="BI114" s="60">
        <f ca="1">AVERAGE(OFFSET($BH$3,0,0,'Données projet'!$E$11+1,1))-AVERAGE(OFFSET($H$3,0,0,'Données projet'!$E$11+1,1))</f>
        <v>238.47463071449789</v>
      </c>
      <c r="BJ114" s="60">
        <f t="shared" si="92"/>
        <v>270.92950919803718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0" t="e">
        <f t="shared" si="65"/>
        <v>#N/A</v>
      </c>
      <c r="CD114" s="60" t="e">
        <f ca="1">AVERAGE(OFFSET($CC$3,0,0,'Données projet'!$E$12+1,1))-AVERAGE(OFFSET($H$3,0,0,'Données projet'!$E$12+1,1))</f>
        <v>#N/A</v>
      </c>
      <c r="CE114" s="60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0" t="e">
        <f t="shared" si="68"/>
        <v>#N/A</v>
      </c>
      <c r="CY114" s="60" t="e">
        <f ca="1">AVERAGE(OFFSET($CX$3,0,0,'Données projet'!$E$13+1,1))-AVERAGE(OFFSET($H$3,0,0,'Données projet'!$E$13+1,1))</f>
        <v>#N/A</v>
      </c>
      <c r="CZ114" s="60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0" t="e">
        <f t="shared" si="71"/>
        <v>#N/A</v>
      </c>
      <c r="DT114" s="60" t="e">
        <f ca="1">AVERAGE(OFFSET($DS$3,0,0,'Données projet'!$E$14+1,1))-AVERAGE(OFFSET($H$3,0,0,'Données projet'!$E$14+1,1))</f>
        <v>#N/A</v>
      </c>
      <c r="DU114" s="60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0" t="e">
        <f t="shared" si="74"/>
        <v>#N/A</v>
      </c>
      <c r="EO114" s="60" t="e">
        <f ca="1">AVERAGE(OFFSET($EN$3,0,0,'Données projet'!$E$15+1,1))-AVERAGE(OFFSET($H$3,0,0,'Données projet'!$E$15+1,1))</f>
        <v>#N/A</v>
      </c>
      <c r="EP114" s="60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8">
        <f t="shared" si="56"/>
        <v>414.34666458367406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2.2737367544323206E-13</v>
      </c>
      <c r="O115" s="14">
        <f>N115*VLOOKUP('Données projet'!$B$9,Paramètres!$A$1:$I$89,3,0)*VLOOKUP('Données projet'!$B$9,Paramètres!$A$1:$I$89,5,0)</f>
        <v>1.2710188457276673E-13</v>
      </c>
      <c r="P115" s="14">
        <f t="shared" si="87"/>
        <v>1.856866851063998E-12</v>
      </c>
      <c r="Q115" s="22">
        <f t="shared" si="107"/>
        <v>3.4554122145673649E-12</v>
      </c>
      <c r="R115" s="60">
        <f t="shared" si="55"/>
        <v>293.33333333333678</v>
      </c>
      <c r="S115" s="60">
        <f ca="1">AVERAGE(OFFSET($R$3,0,0,'Données projet'!$E$9+1,1))-AVERAGE(OFFSET($H$3,0,0,'Données projet'!$E$9+1,1))</f>
        <v>256.47911362806866</v>
      </c>
      <c r="T115" s="60">
        <f t="shared" si="88"/>
        <v>230.93438491511529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0.45038962832095258</v>
      </c>
      <c r="AB115" s="23">
        <f>EXP(-LN(2)/2)*AB114+(1-EXP(-LN(2)/2))/(LN(2)/2)*V115*Y115*VLOOKUP('Données projet'!$B$9,Paramètres!$A$1:$I$89,3,0)*0.475*44/12</f>
        <v>7.3305668714762645E-12</v>
      </c>
      <c r="AC115" s="24">
        <f t="shared" si="57"/>
        <v>0.45038962832828316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-3.694822225952521E-13</v>
      </c>
      <c r="AJ115" s="14">
        <f>AI115*VLOOKUP('Données projet'!$B$10,Paramètres!$A$1:$I$89,3,0)*VLOOKUP('Données projet'!$B$10,Paramètres!$A$1:$I$89,5,0)</f>
        <v>-3.2277966965921228E-13</v>
      </c>
      <c r="AK115" s="14" t="e">
        <f t="shared" si="89"/>
        <v>#NUM!</v>
      </c>
      <c r="AL115" s="22" t="e">
        <f t="shared" si="58"/>
        <v>#NUM!</v>
      </c>
      <c r="AM115" s="60" t="e">
        <f t="shared" si="59"/>
        <v>#NUM!</v>
      </c>
      <c r="AN115" s="60">
        <f ca="1">AVERAGE(OFFSET($AM$3,0,0,'Données projet'!$E$10+1,1))-AVERAGE(OFFSET($H$3,0,0,'Données projet'!$E$10+1,1))</f>
        <v>233.41481265653817</v>
      </c>
      <c r="AO115" s="60">
        <f t="shared" si="90"/>
        <v>300.97465452084055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3.4106051316484809E-13</v>
      </c>
      <c r="BE115" s="14">
        <f>BD115*VLOOKUP('Données projet'!$B$11,Paramètres!$A$1:$I$89,3,0)*VLOOKUP('Données projet'!$B$11,Paramètres!$A$1:$I$89,5,0)</f>
        <v>2.7134774427395314E-13</v>
      </c>
      <c r="BF115" s="14">
        <f t="shared" si="91"/>
        <v>3.6292411711343559E-12</v>
      </c>
      <c r="BG115" s="22">
        <f t="shared" si="61"/>
        <v>6.7935256943361388E-12</v>
      </c>
      <c r="BH115" s="60">
        <f t="shared" si="62"/>
        <v>293.33333333334014</v>
      </c>
      <c r="BI115" s="60">
        <f ca="1">AVERAGE(OFFSET($BH$3,0,0,'Données projet'!$E$11+1,1))-AVERAGE(OFFSET($H$3,0,0,'Données projet'!$E$11+1,1))</f>
        <v>238.47463071449789</v>
      </c>
      <c r="BJ115" s="60">
        <f t="shared" si="92"/>
        <v>270.92950919803718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0" t="e">
        <f t="shared" si="65"/>
        <v>#N/A</v>
      </c>
      <c r="CD115" s="60" t="e">
        <f ca="1">AVERAGE(OFFSET($CC$3,0,0,'Données projet'!$E$12+1,1))-AVERAGE(OFFSET($H$3,0,0,'Données projet'!$E$12+1,1))</f>
        <v>#N/A</v>
      </c>
      <c r="CE115" s="60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0" t="e">
        <f t="shared" si="68"/>
        <v>#N/A</v>
      </c>
      <c r="CY115" s="60" t="e">
        <f ca="1">AVERAGE(OFFSET($CX$3,0,0,'Données projet'!$E$13+1,1))-AVERAGE(OFFSET($H$3,0,0,'Données projet'!$E$13+1,1))</f>
        <v>#N/A</v>
      </c>
      <c r="CZ115" s="60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0" t="e">
        <f t="shared" si="71"/>
        <v>#N/A</v>
      </c>
      <c r="DT115" s="60" t="e">
        <f ca="1">AVERAGE(OFFSET($DS$3,0,0,'Données projet'!$E$14+1,1))-AVERAGE(OFFSET($H$3,0,0,'Données projet'!$E$14+1,1))</f>
        <v>#N/A</v>
      </c>
      <c r="DU115" s="60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0" t="e">
        <f t="shared" si="74"/>
        <v>#N/A</v>
      </c>
      <c r="EO115" s="60" t="e">
        <f ca="1">AVERAGE(OFFSET($EN$3,0,0,'Données projet'!$E$15+1,1))-AVERAGE(OFFSET($H$3,0,0,'Données projet'!$E$15+1,1))</f>
        <v>#N/A</v>
      </c>
      <c r="EP115" s="60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8">
        <f t="shared" si="56"/>
        <v>415.39877537461348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2.2737367544323206E-13</v>
      </c>
      <c r="O116" s="14">
        <f>N116*VLOOKUP('Données projet'!$B$9,Paramètres!$A$1:$I$89,3,0)*VLOOKUP('Données projet'!$B$9,Paramètres!$A$1:$I$89,5,0)</f>
        <v>1.2710188457276673E-13</v>
      </c>
      <c r="P116" s="14">
        <f t="shared" si="87"/>
        <v>1.856866851063998E-12</v>
      </c>
      <c r="Q116" s="22">
        <f t="shared" si="107"/>
        <v>3.4554122145673649E-12</v>
      </c>
      <c r="R116" s="60">
        <f t="shared" si="55"/>
        <v>293.33333333333678</v>
      </c>
      <c r="S116" s="60">
        <f ca="1">AVERAGE(OFFSET($R$3,0,0,'Données projet'!$E$9+1,1))-AVERAGE(OFFSET($H$3,0,0,'Données projet'!$E$9+1,1))</f>
        <v>256.47911362806866</v>
      </c>
      <c r="T116" s="60">
        <f t="shared" si="88"/>
        <v>230.93438491511529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0.43807370024955494</v>
      </c>
      <c r="AB116" s="23">
        <f>EXP(-LN(2)/2)*AB115+(1-EXP(-LN(2)/2))/(LN(2)/2)*V116*Y116*VLOOKUP('Données projet'!$B$9,Paramètres!$A$1:$I$89,3,0)*0.475*44/12</f>
        <v>5.1834935447623212E-12</v>
      </c>
      <c r="AC116" s="24">
        <f t="shared" si="57"/>
        <v>0.43807370025473846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-3.694822225952521E-13</v>
      </c>
      <c r="AJ116" s="14">
        <f>AI116*VLOOKUP('Données projet'!$B$10,Paramètres!$A$1:$I$89,3,0)*VLOOKUP('Données projet'!$B$10,Paramètres!$A$1:$I$89,5,0)</f>
        <v>-3.2277966965921228E-13</v>
      </c>
      <c r="AK116" s="14" t="e">
        <f t="shared" si="89"/>
        <v>#NUM!</v>
      </c>
      <c r="AL116" s="22" t="e">
        <f t="shared" si="58"/>
        <v>#NUM!</v>
      </c>
      <c r="AM116" s="60" t="e">
        <f t="shared" si="59"/>
        <v>#NUM!</v>
      </c>
      <c r="AN116" s="60">
        <f ca="1">AVERAGE(OFFSET($AM$3,0,0,'Données projet'!$E$10+1,1))-AVERAGE(OFFSET($H$3,0,0,'Données projet'!$E$10+1,1))</f>
        <v>233.41481265653817</v>
      </c>
      <c r="AO116" s="60">
        <f t="shared" si="90"/>
        <v>300.97465452084055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3.4106051316484809E-13</v>
      </c>
      <c r="BE116" s="14">
        <f>BD116*VLOOKUP('Données projet'!$B$11,Paramètres!$A$1:$I$89,3,0)*VLOOKUP('Données projet'!$B$11,Paramètres!$A$1:$I$89,5,0)</f>
        <v>2.7134774427395314E-13</v>
      </c>
      <c r="BF116" s="14">
        <f t="shared" si="91"/>
        <v>3.6292411711343559E-12</v>
      </c>
      <c r="BG116" s="22">
        <f t="shared" si="61"/>
        <v>6.7935256943361388E-12</v>
      </c>
      <c r="BH116" s="60">
        <f t="shared" si="62"/>
        <v>293.33333333334014</v>
      </c>
      <c r="BI116" s="60">
        <f ca="1">AVERAGE(OFFSET($BH$3,0,0,'Données projet'!$E$11+1,1))-AVERAGE(OFFSET($H$3,0,0,'Données projet'!$E$11+1,1))</f>
        <v>238.47463071449789</v>
      </c>
      <c r="BJ116" s="60">
        <f t="shared" si="92"/>
        <v>270.92950919803718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0" t="e">
        <f t="shared" si="65"/>
        <v>#N/A</v>
      </c>
      <c r="CD116" s="60" t="e">
        <f ca="1">AVERAGE(OFFSET($CC$3,0,0,'Données projet'!$E$12+1,1))-AVERAGE(OFFSET($H$3,0,0,'Données projet'!$E$12+1,1))</f>
        <v>#N/A</v>
      </c>
      <c r="CE116" s="60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0" t="e">
        <f t="shared" si="68"/>
        <v>#N/A</v>
      </c>
      <c r="CY116" s="60" t="e">
        <f ca="1">AVERAGE(OFFSET($CX$3,0,0,'Données projet'!$E$13+1,1))-AVERAGE(OFFSET($H$3,0,0,'Données projet'!$E$13+1,1))</f>
        <v>#N/A</v>
      </c>
      <c r="CZ116" s="60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0" t="e">
        <f t="shared" si="71"/>
        <v>#N/A</v>
      </c>
      <c r="DT116" s="60" t="e">
        <f ca="1">AVERAGE(OFFSET($DS$3,0,0,'Données projet'!$E$14+1,1))-AVERAGE(OFFSET($H$3,0,0,'Données projet'!$E$14+1,1))</f>
        <v>#N/A</v>
      </c>
      <c r="DU116" s="60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0" t="e">
        <f t="shared" si="74"/>
        <v>#N/A</v>
      </c>
      <c r="EO116" s="60" t="e">
        <f ca="1">AVERAGE(OFFSET($EN$3,0,0,'Données projet'!$E$15+1,1))-AVERAGE(OFFSET($H$3,0,0,'Données projet'!$E$15+1,1))</f>
        <v>#N/A</v>
      </c>
      <c r="EP116" s="60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8">
        <f t="shared" si="56"/>
        <v>416.45066545702986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2.2737367544323206E-13</v>
      </c>
      <c r="O117" s="14">
        <f>N117*VLOOKUP('Données projet'!$B$9,Paramètres!$A$1:$I$89,3,0)*VLOOKUP('Données projet'!$B$9,Paramètres!$A$1:$I$89,5,0)</f>
        <v>1.2710188457276673E-13</v>
      </c>
      <c r="P117" s="14">
        <f t="shared" si="87"/>
        <v>1.856866851063998E-12</v>
      </c>
      <c r="Q117" s="22">
        <f t="shared" si="107"/>
        <v>3.4554122145673649E-12</v>
      </c>
      <c r="R117" s="60">
        <f t="shared" si="55"/>
        <v>293.33333333333678</v>
      </c>
      <c r="S117" s="60">
        <f ca="1">AVERAGE(OFFSET($R$3,0,0,'Données projet'!$E$9+1,1))-AVERAGE(OFFSET($H$3,0,0,'Données projet'!$E$9+1,1))</f>
        <v>256.47911362806866</v>
      </c>
      <c r="T117" s="60">
        <f t="shared" si="88"/>
        <v>230.93438491511529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0.42609455187893619</v>
      </c>
      <c r="AB117" s="23">
        <f>EXP(-LN(2)/2)*AB116+(1-EXP(-LN(2)/2))/(LN(2)/2)*V117*Y117*VLOOKUP('Données projet'!$B$9,Paramètres!$A$1:$I$89,3,0)*0.475*44/12</f>
        <v>3.6652834357381322E-12</v>
      </c>
      <c r="AC117" s="24">
        <f t="shared" si="57"/>
        <v>0.42609455188260148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-3.694822225952521E-13</v>
      </c>
      <c r="AJ117" s="14">
        <f>AI117*VLOOKUP('Données projet'!$B$10,Paramètres!$A$1:$I$89,3,0)*VLOOKUP('Données projet'!$B$10,Paramètres!$A$1:$I$89,5,0)</f>
        <v>-3.2277966965921228E-13</v>
      </c>
      <c r="AK117" s="14" t="e">
        <f t="shared" si="89"/>
        <v>#NUM!</v>
      </c>
      <c r="AL117" s="22" t="e">
        <f t="shared" si="58"/>
        <v>#NUM!</v>
      </c>
      <c r="AM117" s="60" t="e">
        <f t="shared" si="59"/>
        <v>#NUM!</v>
      </c>
      <c r="AN117" s="60">
        <f ca="1">AVERAGE(OFFSET($AM$3,0,0,'Données projet'!$E$10+1,1))-AVERAGE(OFFSET($H$3,0,0,'Données projet'!$E$10+1,1))</f>
        <v>233.41481265653817</v>
      </c>
      <c r="AO117" s="60">
        <f t="shared" si="90"/>
        <v>300.97465452084055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3.4106051316484809E-13</v>
      </c>
      <c r="BE117" s="14">
        <f>BD117*VLOOKUP('Données projet'!$B$11,Paramètres!$A$1:$I$89,3,0)*VLOOKUP('Données projet'!$B$11,Paramètres!$A$1:$I$89,5,0)</f>
        <v>2.7134774427395314E-13</v>
      </c>
      <c r="BF117" s="14">
        <f t="shared" si="91"/>
        <v>3.6292411711343559E-12</v>
      </c>
      <c r="BG117" s="22">
        <f t="shared" si="61"/>
        <v>6.7935256943361388E-12</v>
      </c>
      <c r="BH117" s="60">
        <f t="shared" si="62"/>
        <v>293.33333333334014</v>
      </c>
      <c r="BI117" s="60">
        <f ca="1">AVERAGE(OFFSET($BH$3,0,0,'Données projet'!$E$11+1,1))-AVERAGE(OFFSET($H$3,0,0,'Données projet'!$E$11+1,1))</f>
        <v>238.47463071449789</v>
      </c>
      <c r="BJ117" s="60">
        <f t="shared" si="92"/>
        <v>270.92950919803718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0" t="e">
        <f t="shared" si="65"/>
        <v>#N/A</v>
      </c>
      <c r="CD117" s="60" t="e">
        <f ca="1">AVERAGE(OFFSET($CC$3,0,0,'Données projet'!$E$12+1,1))-AVERAGE(OFFSET($H$3,0,0,'Données projet'!$E$12+1,1))</f>
        <v>#N/A</v>
      </c>
      <c r="CE117" s="60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0" t="e">
        <f t="shared" si="68"/>
        <v>#N/A</v>
      </c>
      <c r="CY117" s="60" t="e">
        <f ca="1">AVERAGE(OFFSET($CX$3,0,0,'Données projet'!$E$13+1,1))-AVERAGE(OFFSET($H$3,0,0,'Données projet'!$E$13+1,1))</f>
        <v>#N/A</v>
      </c>
      <c r="CZ117" s="60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0" t="e">
        <f t="shared" si="71"/>
        <v>#N/A</v>
      </c>
      <c r="DT117" s="60" t="e">
        <f ca="1">AVERAGE(OFFSET($DS$3,0,0,'Données projet'!$E$14+1,1))-AVERAGE(OFFSET($H$3,0,0,'Données projet'!$E$14+1,1))</f>
        <v>#N/A</v>
      </c>
      <c r="DU117" s="60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0" t="e">
        <f t="shared" si="74"/>
        <v>#N/A</v>
      </c>
      <c r="EO117" s="60" t="e">
        <f ca="1">AVERAGE(OFFSET($EN$3,0,0,'Données projet'!$E$15+1,1))-AVERAGE(OFFSET($H$3,0,0,'Données projet'!$E$15+1,1))</f>
        <v>#N/A</v>
      </c>
      <c r="EP117" s="60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8">
        <f t="shared" si="56"/>
        <v>417.5023369912704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2.2737367544323206E-13</v>
      </c>
      <c r="O118" s="14">
        <f>N118*VLOOKUP('Données projet'!$B$9,Paramètres!$A$1:$I$89,3,0)*VLOOKUP('Données projet'!$B$9,Paramètres!$A$1:$I$89,5,0)</f>
        <v>1.2710188457276673E-13</v>
      </c>
      <c r="P118" s="14">
        <f t="shared" si="87"/>
        <v>1.856866851063998E-12</v>
      </c>
      <c r="Q118" s="22">
        <f t="shared" si="107"/>
        <v>3.4554122145673649E-12</v>
      </c>
      <c r="R118" s="60">
        <f t="shared" si="55"/>
        <v>293.33333333333678</v>
      </c>
      <c r="S118" s="60">
        <f ca="1">AVERAGE(OFFSET($R$3,0,0,'Données projet'!$E$9+1,1))-AVERAGE(OFFSET($H$3,0,0,'Données projet'!$E$9+1,1))</f>
        <v>256.47911362806866</v>
      </c>
      <c r="T118" s="60">
        <f t="shared" si="88"/>
        <v>230.93438491511529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0.41444297395046803</v>
      </c>
      <c r="AB118" s="23">
        <f>EXP(-LN(2)/2)*AB117+(1-EXP(-LN(2)/2))/(LN(2)/2)*V118*Y118*VLOOKUP('Données projet'!$B$9,Paramètres!$A$1:$I$89,3,0)*0.475*44/12</f>
        <v>2.5917467723811606E-12</v>
      </c>
      <c r="AC118" s="24">
        <f t="shared" si="57"/>
        <v>0.41444297395305979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-3.694822225952521E-13</v>
      </c>
      <c r="AJ118" s="14">
        <f>AI118*VLOOKUP('Données projet'!$B$10,Paramètres!$A$1:$I$89,3,0)*VLOOKUP('Données projet'!$B$10,Paramètres!$A$1:$I$89,5,0)</f>
        <v>-3.2277966965921228E-13</v>
      </c>
      <c r="AK118" s="14" t="e">
        <f t="shared" si="89"/>
        <v>#NUM!</v>
      </c>
      <c r="AL118" s="22" t="e">
        <f t="shared" si="58"/>
        <v>#NUM!</v>
      </c>
      <c r="AM118" s="60" t="e">
        <f t="shared" si="59"/>
        <v>#NUM!</v>
      </c>
      <c r="AN118" s="60">
        <f ca="1">AVERAGE(OFFSET($AM$3,0,0,'Données projet'!$E$10+1,1))-AVERAGE(OFFSET($H$3,0,0,'Données projet'!$E$10+1,1))</f>
        <v>233.41481265653817</v>
      </c>
      <c r="AO118" s="60">
        <f t="shared" si="90"/>
        <v>300.97465452084055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3.4106051316484809E-13</v>
      </c>
      <c r="BE118" s="14">
        <f>BD118*VLOOKUP('Données projet'!$B$11,Paramètres!$A$1:$I$89,3,0)*VLOOKUP('Données projet'!$B$11,Paramètres!$A$1:$I$89,5,0)</f>
        <v>2.7134774427395314E-13</v>
      </c>
      <c r="BF118" s="14">
        <f t="shared" si="91"/>
        <v>3.6292411711343559E-12</v>
      </c>
      <c r="BG118" s="22">
        <f t="shared" si="61"/>
        <v>6.7935256943361388E-12</v>
      </c>
      <c r="BH118" s="60">
        <f t="shared" si="62"/>
        <v>293.33333333334014</v>
      </c>
      <c r="BI118" s="60">
        <f ca="1">AVERAGE(OFFSET($BH$3,0,0,'Données projet'!$E$11+1,1))-AVERAGE(OFFSET($H$3,0,0,'Données projet'!$E$11+1,1))</f>
        <v>238.47463071449789</v>
      </c>
      <c r="BJ118" s="60">
        <f t="shared" si="92"/>
        <v>270.92950919803718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0" t="e">
        <f t="shared" si="65"/>
        <v>#N/A</v>
      </c>
      <c r="CD118" s="60" t="e">
        <f ca="1">AVERAGE(OFFSET($CC$3,0,0,'Données projet'!$E$12+1,1))-AVERAGE(OFFSET($H$3,0,0,'Données projet'!$E$12+1,1))</f>
        <v>#N/A</v>
      </c>
      <c r="CE118" s="60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0" t="e">
        <f t="shared" si="68"/>
        <v>#N/A</v>
      </c>
      <c r="CY118" s="60" t="e">
        <f ca="1">AVERAGE(OFFSET($CX$3,0,0,'Données projet'!$E$13+1,1))-AVERAGE(OFFSET($H$3,0,0,'Données projet'!$E$13+1,1))</f>
        <v>#N/A</v>
      </c>
      <c r="CZ118" s="60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0" t="e">
        <f t="shared" si="71"/>
        <v>#N/A</v>
      </c>
      <c r="DT118" s="60" t="e">
        <f ca="1">AVERAGE(OFFSET($DS$3,0,0,'Données projet'!$E$14+1,1))-AVERAGE(OFFSET($H$3,0,0,'Données projet'!$E$14+1,1))</f>
        <v>#N/A</v>
      </c>
      <c r="DU118" s="60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0" t="e">
        <f t="shared" si="74"/>
        <v>#N/A</v>
      </c>
      <c r="EO118" s="60" t="e">
        <f ca="1">AVERAGE(OFFSET($EN$3,0,0,'Données projet'!$E$15+1,1))-AVERAGE(OFFSET($H$3,0,0,'Données projet'!$E$15+1,1))</f>
        <v>#N/A</v>
      </c>
      <c r="EP118" s="60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8">
        <f t="shared" si="56"/>
        <v>418.55379209794313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2.2737367544323206E-13</v>
      </c>
      <c r="O119" s="14">
        <f>N119*VLOOKUP('Données projet'!$B$9,Paramètres!$A$1:$I$89,3,0)*VLOOKUP('Données projet'!$B$9,Paramètres!$A$1:$I$89,5,0)</f>
        <v>1.2710188457276673E-13</v>
      </c>
      <c r="P119" s="14">
        <f t="shared" si="87"/>
        <v>1.856866851063998E-12</v>
      </c>
      <c r="Q119" s="22">
        <f t="shared" si="107"/>
        <v>3.4554122145673649E-12</v>
      </c>
      <c r="R119" s="60">
        <f t="shared" si="55"/>
        <v>293.33333333333678</v>
      </c>
      <c r="S119" s="60">
        <f ca="1">AVERAGE(OFFSET($R$3,0,0,'Données projet'!$E$9+1,1))-AVERAGE(OFFSET($H$3,0,0,'Données projet'!$E$9+1,1))</f>
        <v>256.47911362806866</v>
      </c>
      <c r="T119" s="60">
        <f t="shared" si="88"/>
        <v>230.93438491511529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0.40311000903318372</v>
      </c>
      <c r="AB119" s="23">
        <f>EXP(-LN(2)/2)*AB118+(1-EXP(-LN(2)/2))/(LN(2)/2)*V119*Y119*VLOOKUP('Données projet'!$B$9,Paramètres!$A$1:$I$89,3,0)*0.475*44/12</f>
        <v>1.8326417178690661E-12</v>
      </c>
      <c r="AC119" s="24">
        <f t="shared" si="57"/>
        <v>0.40311000903501637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-3.694822225952521E-13</v>
      </c>
      <c r="AJ119" s="14">
        <f>AI119*VLOOKUP('Données projet'!$B$10,Paramètres!$A$1:$I$89,3,0)*VLOOKUP('Données projet'!$B$10,Paramètres!$A$1:$I$89,5,0)</f>
        <v>-3.2277966965921228E-13</v>
      </c>
      <c r="AK119" s="14" t="e">
        <f t="shared" si="89"/>
        <v>#NUM!</v>
      </c>
      <c r="AL119" s="22" t="e">
        <f t="shared" si="58"/>
        <v>#NUM!</v>
      </c>
      <c r="AM119" s="60" t="e">
        <f t="shared" si="59"/>
        <v>#NUM!</v>
      </c>
      <c r="AN119" s="60">
        <f ca="1">AVERAGE(OFFSET($AM$3,0,0,'Données projet'!$E$10+1,1))-AVERAGE(OFFSET($H$3,0,0,'Données projet'!$E$10+1,1))</f>
        <v>233.41481265653817</v>
      </c>
      <c r="AO119" s="60">
        <f t="shared" si="90"/>
        <v>300.97465452084055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3.4106051316484809E-13</v>
      </c>
      <c r="BE119" s="14">
        <f>BD119*VLOOKUP('Données projet'!$B$11,Paramètres!$A$1:$I$89,3,0)*VLOOKUP('Données projet'!$B$11,Paramètres!$A$1:$I$89,5,0)</f>
        <v>2.7134774427395314E-13</v>
      </c>
      <c r="BF119" s="14">
        <f t="shared" si="91"/>
        <v>3.6292411711343559E-12</v>
      </c>
      <c r="BG119" s="22">
        <f t="shared" si="61"/>
        <v>6.7935256943361388E-12</v>
      </c>
      <c r="BH119" s="60">
        <f t="shared" si="62"/>
        <v>293.33333333334014</v>
      </c>
      <c r="BI119" s="60">
        <f ca="1">AVERAGE(OFFSET($BH$3,0,0,'Données projet'!$E$11+1,1))-AVERAGE(OFFSET($H$3,0,0,'Données projet'!$E$11+1,1))</f>
        <v>238.47463071449789</v>
      </c>
      <c r="BJ119" s="60">
        <f t="shared" si="92"/>
        <v>270.92950919803718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0" t="e">
        <f t="shared" si="65"/>
        <v>#N/A</v>
      </c>
      <c r="CD119" s="60" t="e">
        <f ca="1">AVERAGE(OFFSET($CC$3,0,0,'Données projet'!$E$12+1,1))-AVERAGE(OFFSET($H$3,0,0,'Données projet'!$E$12+1,1))</f>
        <v>#N/A</v>
      </c>
      <c r="CE119" s="60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0" t="e">
        <f t="shared" si="68"/>
        <v>#N/A</v>
      </c>
      <c r="CY119" s="60" t="e">
        <f ca="1">AVERAGE(OFFSET($CX$3,0,0,'Données projet'!$E$13+1,1))-AVERAGE(OFFSET($H$3,0,0,'Données projet'!$E$13+1,1))</f>
        <v>#N/A</v>
      </c>
      <c r="CZ119" s="60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0" t="e">
        <f t="shared" si="71"/>
        <v>#N/A</v>
      </c>
      <c r="DT119" s="60" t="e">
        <f ca="1">AVERAGE(OFFSET($DS$3,0,0,'Données projet'!$E$14+1,1))-AVERAGE(OFFSET($H$3,0,0,'Données projet'!$E$14+1,1))</f>
        <v>#N/A</v>
      </c>
      <c r="DU119" s="60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0" t="e">
        <f t="shared" si="74"/>
        <v>#N/A</v>
      </c>
      <c r="EO119" s="60" t="e">
        <f ca="1">AVERAGE(OFFSET($EN$3,0,0,'Données projet'!$E$15+1,1))-AVERAGE(OFFSET($H$3,0,0,'Données projet'!$E$15+1,1))</f>
        <v>#N/A</v>
      </c>
      <c r="EP119" s="60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8">
        <f t="shared" si="56"/>
        <v>419.60503285898386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2.2737367544323206E-13</v>
      </c>
      <c r="O120" s="14">
        <f>N120*VLOOKUP('Données projet'!$B$9,Paramètres!$A$1:$I$89,3,0)*VLOOKUP('Données projet'!$B$9,Paramètres!$A$1:$I$89,5,0)</f>
        <v>1.2710188457276673E-13</v>
      </c>
      <c r="P120" s="14">
        <f t="shared" si="87"/>
        <v>1.856866851063998E-12</v>
      </c>
      <c r="Q120" s="22">
        <f t="shared" si="107"/>
        <v>3.4554122145673649E-12</v>
      </c>
      <c r="R120" s="60">
        <f t="shared" si="55"/>
        <v>293.33333333333678</v>
      </c>
      <c r="S120" s="60">
        <f ca="1">AVERAGE(OFFSET($R$3,0,0,'Données projet'!$E$9+1,1))-AVERAGE(OFFSET($H$3,0,0,'Données projet'!$E$9+1,1))</f>
        <v>256.47911362806866</v>
      </c>
      <c r="T120" s="60">
        <f t="shared" si="88"/>
        <v>230.93438491511529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0.39208694463753724</v>
      </c>
      <c r="AB120" s="23">
        <f>EXP(-LN(2)/2)*AB119+(1-EXP(-LN(2)/2))/(LN(2)/2)*V120*Y120*VLOOKUP('Données projet'!$B$9,Paramètres!$A$1:$I$89,3,0)*0.475*44/12</f>
        <v>1.2958733861905803E-12</v>
      </c>
      <c r="AC120" s="24">
        <f t="shared" si="57"/>
        <v>0.39208694463883309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-3.694822225952521E-13</v>
      </c>
      <c r="AJ120" s="14">
        <f>AI120*VLOOKUP('Données projet'!$B$10,Paramètres!$A$1:$I$89,3,0)*VLOOKUP('Données projet'!$B$10,Paramètres!$A$1:$I$89,5,0)</f>
        <v>-3.2277966965921228E-13</v>
      </c>
      <c r="AK120" s="14" t="e">
        <f t="shared" si="89"/>
        <v>#NUM!</v>
      </c>
      <c r="AL120" s="22" t="e">
        <f t="shared" si="58"/>
        <v>#NUM!</v>
      </c>
      <c r="AM120" s="60" t="e">
        <f t="shared" si="59"/>
        <v>#NUM!</v>
      </c>
      <c r="AN120" s="60">
        <f ca="1">AVERAGE(OFFSET($AM$3,0,0,'Données projet'!$E$10+1,1))-AVERAGE(OFFSET($H$3,0,0,'Données projet'!$E$10+1,1))</f>
        <v>233.41481265653817</v>
      </c>
      <c r="AO120" s="60">
        <f t="shared" si="90"/>
        <v>300.97465452084055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3.4106051316484809E-13</v>
      </c>
      <c r="BE120" s="14">
        <f>BD120*VLOOKUP('Données projet'!$B$11,Paramètres!$A$1:$I$89,3,0)*VLOOKUP('Données projet'!$B$11,Paramètres!$A$1:$I$89,5,0)</f>
        <v>2.7134774427395314E-13</v>
      </c>
      <c r="BF120" s="14">
        <f t="shared" si="91"/>
        <v>3.6292411711343559E-12</v>
      </c>
      <c r="BG120" s="22">
        <f t="shared" si="61"/>
        <v>6.7935256943361388E-12</v>
      </c>
      <c r="BH120" s="60">
        <f t="shared" si="62"/>
        <v>293.33333333334014</v>
      </c>
      <c r="BI120" s="60">
        <f ca="1">AVERAGE(OFFSET($BH$3,0,0,'Données projet'!$E$11+1,1))-AVERAGE(OFFSET($H$3,0,0,'Données projet'!$E$11+1,1))</f>
        <v>238.47463071449789</v>
      </c>
      <c r="BJ120" s="60">
        <f t="shared" si="92"/>
        <v>270.92950919803718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0" t="e">
        <f t="shared" si="65"/>
        <v>#N/A</v>
      </c>
      <c r="CD120" s="60" t="e">
        <f ca="1">AVERAGE(OFFSET($CC$3,0,0,'Données projet'!$E$12+1,1))-AVERAGE(OFFSET($H$3,0,0,'Données projet'!$E$12+1,1))</f>
        <v>#N/A</v>
      </c>
      <c r="CE120" s="60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0" t="e">
        <f t="shared" si="68"/>
        <v>#N/A</v>
      </c>
      <c r="CY120" s="60" t="e">
        <f ca="1">AVERAGE(OFFSET($CX$3,0,0,'Données projet'!$E$13+1,1))-AVERAGE(OFFSET($H$3,0,0,'Données projet'!$E$13+1,1))</f>
        <v>#N/A</v>
      </c>
      <c r="CZ120" s="60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0" t="e">
        <f t="shared" si="71"/>
        <v>#N/A</v>
      </c>
      <c r="DT120" s="60" t="e">
        <f ca="1">AVERAGE(OFFSET($DS$3,0,0,'Données projet'!$E$14+1,1))-AVERAGE(OFFSET($H$3,0,0,'Données projet'!$E$14+1,1))</f>
        <v>#N/A</v>
      </c>
      <c r="DU120" s="60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0" t="e">
        <f t="shared" si="74"/>
        <v>#N/A</v>
      </c>
      <c r="EO120" s="60" t="e">
        <f ca="1">AVERAGE(OFFSET($EN$3,0,0,'Données projet'!$E$15+1,1))-AVERAGE(OFFSET($H$3,0,0,'Données projet'!$E$15+1,1))</f>
        <v>#N/A</v>
      </c>
      <c r="EP120" s="60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8">
        <f t="shared" si="56"/>
        <v>420.65606131868589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2.2737367544323206E-13</v>
      </c>
      <c r="O121" s="14">
        <f>N121*VLOOKUP('Données projet'!$B$9,Paramètres!$A$1:$I$89,3,0)*VLOOKUP('Données projet'!$B$9,Paramètres!$A$1:$I$89,5,0)</f>
        <v>1.2710188457276673E-13</v>
      </c>
      <c r="P121" s="14">
        <f t="shared" si="87"/>
        <v>1.856866851063998E-12</v>
      </c>
      <c r="Q121" s="22">
        <f t="shared" si="107"/>
        <v>3.4554122145673649E-12</v>
      </c>
      <c r="R121" s="60">
        <f t="shared" si="55"/>
        <v>293.33333333333678</v>
      </c>
      <c r="S121" s="60">
        <f ca="1">AVERAGE(OFFSET($R$3,0,0,'Données projet'!$E$9+1,1))-AVERAGE(OFFSET($H$3,0,0,'Données projet'!$E$9+1,1))</f>
        <v>256.47911362806866</v>
      </c>
      <c r="T121" s="60">
        <f t="shared" si="88"/>
        <v>230.93438491511529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0.38136530651746747</v>
      </c>
      <c r="AB121" s="23">
        <f>EXP(-LN(2)/2)*AB120+(1-EXP(-LN(2)/2))/(LN(2)/2)*V121*Y121*VLOOKUP('Données projet'!$B$9,Paramètres!$A$1:$I$89,3,0)*0.475*44/12</f>
        <v>9.1632085893453306E-13</v>
      </c>
      <c r="AC121" s="24">
        <f t="shared" si="57"/>
        <v>0.3813653065183838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-3.694822225952521E-13</v>
      </c>
      <c r="AJ121" s="14">
        <f>AI121*VLOOKUP('Données projet'!$B$10,Paramètres!$A$1:$I$89,3,0)*VLOOKUP('Données projet'!$B$10,Paramètres!$A$1:$I$89,5,0)</f>
        <v>-3.2277966965921228E-13</v>
      </c>
      <c r="AK121" s="14" t="e">
        <f t="shared" si="89"/>
        <v>#NUM!</v>
      </c>
      <c r="AL121" s="22" t="e">
        <f t="shared" si="58"/>
        <v>#NUM!</v>
      </c>
      <c r="AM121" s="60" t="e">
        <f t="shared" si="59"/>
        <v>#NUM!</v>
      </c>
      <c r="AN121" s="60">
        <f ca="1">AVERAGE(OFFSET($AM$3,0,0,'Données projet'!$E$10+1,1))-AVERAGE(OFFSET($H$3,0,0,'Données projet'!$E$10+1,1))</f>
        <v>233.41481265653817</v>
      </c>
      <c r="AO121" s="60">
        <f t="shared" si="90"/>
        <v>300.97465452084055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3.4106051316484809E-13</v>
      </c>
      <c r="BE121" s="14">
        <f>BD121*VLOOKUP('Données projet'!$B$11,Paramètres!$A$1:$I$89,3,0)*VLOOKUP('Données projet'!$B$11,Paramètres!$A$1:$I$89,5,0)</f>
        <v>2.7134774427395314E-13</v>
      </c>
      <c r="BF121" s="14">
        <f t="shared" si="91"/>
        <v>3.6292411711343559E-12</v>
      </c>
      <c r="BG121" s="22">
        <f t="shared" si="61"/>
        <v>6.7935256943361388E-12</v>
      </c>
      <c r="BH121" s="60">
        <f t="shared" si="62"/>
        <v>293.33333333334014</v>
      </c>
      <c r="BI121" s="60">
        <f ca="1">AVERAGE(OFFSET($BH$3,0,0,'Données projet'!$E$11+1,1))-AVERAGE(OFFSET($H$3,0,0,'Données projet'!$E$11+1,1))</f>
        <v>238.47463071449789</v>
      </c>
      <c r="BJ121" s="60">
        <f t="shared" si="92"/>
        <v>270.92950919803718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0" t="e">
        <f t="shared" si="65"/>
        <v>#N/A</v>
      </c>
      <c r="CD121" s="60" t="e">
        <f ca="1">AVERAGE(OFFSET($CC$3,0,0,'Données projet'!$E$12+1,1))-AVERAGE(OFFSET($H$3,0,0,'Données projet'!$E$12+1,1))</f>
        <v>#N/A</v>
      </c>
      <c r="CE121" s="60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0" t="e">
        <f t="shared" si="68"/>
        <v>#N/A</v>
      </c>
      <c r="CY121" s="60" t="e">
        <f ca="1">AVERAGE(OFFSET($CX$3,0,0,'Données projet'!$E$13+1,1))-AVERAGE(OFFSET($H$3,0,0,'Données projet'!$E$13+1,1))</f>
        <v>#N/A</v>
      </c>
      <c r="CZ121" s="60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0" t="e">
        <f t="shared" si="71"/>
        <v>#N/A</v>
      </c>
      <c r="DT121" s="60" t="e">
        <f ca="1">AVERAGE(OFFSET($DS$3,0,0,'Données projet'!$E$14+1,1))-AVERAGE(OFFSET($H$3,0,0,'Données projet'!$E$14+1,1))</f>
        <v>#N/A</v>
      </c>
      <c r="DU121" s="60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0" t="e">
        <f t="shared" si="74"/>
        <v>#N/A</v>
      </c>
      <c r="EO121" s="60" t="e">
        <f ca="1">AVERAGE(OFFSET($EN$3,0,0,'Données projet'!$E$15+1,1))-AVERAGE(OFFSET($H$3,0,0,'Données projet'!$E$15+1,1))</f>
        <v>#N/A</v>
      </c>
      <c r="EP121" s="60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8">
        <f t="shared" si="56"/>
        <v>421.70687948469367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2.2737367544323206E-13</v>
      </c>
      <c r="O122" s="14">
        <f>N122*VLOOKUP('Données projet'!$B$9,Paramètres!$A$1:$I$89,3,0)*VLOOKUP('Données projet'!$B$9,Paramètres!$A$1:$I$89,5,0)</f>
        <v>1.2710188457276673E-13</v>
      </c>
      <c r="P122" s="14">
        <f t="shared" si="87"/>
        <v>1.856866851063998E-12</v>
      </c>
      <c r="Q122" s="22">
        <f t="shared" si="107"/>
        <v>3.4554122145673649E-12</v>
      </c>
      <c r="R122" s="60">
        <f t="shared" si="55"/>
        <v>293.33333333333678</v>
      </c>
      <c r="S122" s="60">
        <f ca="1">AVERAGE(OFFSET($R$3,0,0,'Données projet'!$E$9+1,1))-AVERAGE(OFFSET($H$3,0,0,'Données projet'!$E$9+1,1))</f>
        <v>256.47911362806866</v>
      </c>
      <c r="T122" s="60">
        <f t="shared" si="88"/>
        <v>230.93438491511529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0.3709368521556175</v>
      </c>
      <c r="AB122" s="23">
        <f>EXP(-LN(2)/2)*AB121+(1-EXP(-LN(2)/2))/(LN(2)/2)*V122*Y122*VLOOKUP('Données projet'!$B$9,Paramètres!$A$1:$I$89,3,0)*0.475*44/12</f>
        <v>6.4793669309529015E-13</v>
      </c>
      <c r="AC122" s="24">
        <f t="shared" si="57"/>
        <v>0.37093685215626543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-3.694822225952521E-13</v>
      </c>
      <c r="AJ122" s="14">
        <f>AI122*VLOOKUP('Données projet'!$B$10,Paramètres!$A$1:$I$89,3,0)*VLOOKUP('Données projet'!$B$10,Paramètres!$A$1:$I$89,5,0)</f>
        <v>-3.2277966965921228E-13</v>
      </c>
      <c r="AK122" s="14" t="e">
        <f t="shared" si="89"/>
        <v>#NUM!</v>
      </c>
      <c r="AL122" s="22" t="e">
        <f t="shared" si="58"/>
        <v>#NUM!</v>
      </c>
      <c r="AM122" s="60" t="e">
        <f t="shared" si="59"/>
        <v>#NUM!</v>
      </c>
      <c r="AN122" s="60">
        <f ca="1">AVERAGE(OFFSET($AM$3,0,0,'Données projet'!$E$10+1,1))-AVERAGE(OFFSET($H$3,0,0,'Données projet'!$E$10+1,1))</f>
        <v>233.41481265653817</v>
      </c>
      <c r="AO122" s="60">
        <f t="shared" si="90"/>
        <v>300.97465452084055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3.4106051316484809E-13</v>
      </c>
      <c r="BE122" s="14">
        <f>BD122*VLOOKUP('Données projet'!$B$11,Paramètres!$A$1:$I$89,3,0)*VLOOKUP('Données projet'!$B$11,Paramètres!$A$1:$I$89,5,0)</f>
        <v>2.7134774427395314E-13</v>
      </c>
      <c r="BF122" s="14">
        <f t="shared" si="91"/>
        <v>3.6292411711343559E-12</v>
      </c>
      <c r="BG122" s="22">
        <f t="shared" si="61"/>
        <v>6.7935256943361388E-12</v>
      </c>
      <c r="BH122" s="60">
        <f t="shared" si="62"/>
        <v>293.33333333334014</v>
      </c>
      <c r="BI122" s="60">
        <f ca="1">AVERAGE(OFFSET($BH$3,0,0,'Données projet'!$E$11+1,1))-AVERAGE(OFFSET($H$3,0,0,'Données projet'!$E$11+1,1))</f>
        <v>238.47463071449789</v>
      </c>
      <c r="BJ122" s="60">
        <f t="shared" si="92"/>
        <v>270.92950919803718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0" t="e">
        <f t="shared" si="65"/>
        <v>#N/A</v>
      </c>
      <c r="CD122" s="60" t="e">
        <f ca="1">AVERAGE(OFFSET($CC$3,0,0,'Données projet'!$E$12+1,1))-AVERAGE(OFFSET($H$3,0,0,'Données projet'!$E$12+1,1))</f>
        <v>#N/A</v>
      </c>
      <c r="CE122" s="60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0" t="e">
        <f t="shared" si="68"/>
        <v>#N/A</v>
      </c>
      <c r="CY122" s="60" t="e">
        <f ca="1">AVERAGE(OFFSET($CX$3,0,0,'Données projet'!$E$13+1,1))-AVERAGE(OFFSET($H$3,0,0,'Données projet'!$E$13+1,1))</f>
        <v>#N/A</v>
      </c>
      <c r="CZ122" s="60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0" t="e">
        <f t="shared" si="71"/>
        <v>#N/A</v>
      </c>
      <c r="DT122" s="60" t="e">
        <f ca="1">AVERAGE(OFFSET($DS$3,0,0,'Données projet'!$E$14+1,1))-AVERAGE(OFFSET($H$3,0,0,'Données projet'!$E$14+1,1))</f>
        <v>#N/A</v>
      </c>
      <c r="DU122" s="60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0" t="e">
        <f t="shared" si="74"/>
        <v>#N/A</v>
      </c>
      <c r="EO122" s="60" t="e">
        <f ca="1">AVERAGE(OFFSET($EN$3,0,0,'Données projet'!$E$15+1,1))-AVERAGE(OFFSET($H$3,0,0,'Données projet'!$E$15+1,1))</f>
        <v>#N/A</v>
      </c>
      <c r="EP122" s="60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8">
        <f t="shared" si="56"/>
        <v>422.75748932896221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2.2737367544323206E-13</v>
      </c>
      <c r="O123" s="14">
        <f>N123*VLOOKUP('Données projet'!$B$9,Paramètres!$A$1:$I$89,3,0)*VLOOKUP('Données projet'!$B$9,Paramètres!$A$1:$I$89,5,0)</f>
        <v>1.2710188457276673E-13</v>
      </c>
      <c r="P123" s="14">
        <f t="shared" si="87"/>
        <v>1.856866851063998E-12</v>
      </c>
      <c r="Q123" s="22">
        <f t="shared" si="107"/>
        <v>3.4554122145673649E-12</v>
      </c>
      <c r="R123" s="60">
        <f t="shared" si="55"/>
        <v>293.33333333333678</v>
      </c>
      <c r="S123" s="60">
        <f ca="1">AVERAGE(OFFSET($R$3,0,0,'Données projet'!$E$9+1,1))-AVERAGE(OFFSET($H$3,0,0,'Données projet'!$E$9+1,1))</f>
        <v>256.47911362806866</v>
      </c>
      <c r="T123" s="60">
        <f t="shared" si="88"/>
        <v>230.93438491511529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0.36079356442670085</v>
      </c>
      <c r="AB123" s="23">
        <f>EXP(-LN(2)/2)*AB122+(1-EXP(-LN(2)/2))/(LN(2)/2)*V123*Y123*VLOOKUP('Données projet'!$B$9,Paramètres!$A$1:$I$89,3,0)*0.475*44/12</f>
        <v>4.5816042946726653E-13</v>
      </c>
      <c r="AC123" s="24">
        <f t="shared" si="57"/>
        <v>0.36079356442715899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-3.694822225952521E-13</v>
      </c>
      <c r="AJ123" s="14">
        <f>AI123*VLOOKUP('Données projet'!$B$10,Paramètres!$A$1:$I$89,3,0)*VLOOKUP('Données projet'!$B$10,Paramètres!$A$1:$I$89,5,0)</f>
        <v>-3.2277966965921228E-13</v>
      </c>
      <c r="AK123" s="14" t="e">
        <f t="shared" si="89"/>
        <v>#NUM!</v>
      </c>
      <c r="AL123" s="22" t="e">
        <f t="shared" si="58"/>
        <v>#NUM!</v>
      </c>
      <c r="AM123" s="60" t="e">
        <f t="shared" si="59"/>
        <v>#NUM!</v>
      </c>
      <c r="AN123" s="60">
        <f ca="1">AVERAGE(OFFSET($AM$3,0,0,'Données projet'!$E$10+1,1))-AVERAGE(OFFSET($H$3,0,0,'Données projet'!$E$10+1,1))</f>
        <v>233.41481265653817</v>
      </c>
      <c r="AO123" s="60">
        <f t="shared" si="90"/>
        <v>300.97465452084055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3.4106051316484809E-13</v>
      </c>
      <c r="BE123" s="14">
        <f>BD123*VLOOKUP('Données projet'!$B$11,Paramètres!$A$1:$I$89,3,0)*VLOOKUP('Données projet'!$B$11,Paramètres!$A$1:$I$89,5,0)</f>
        <v>2.7134774427395314E-13</v>
      </c>
      <c r="BF123" s="14">
        <f t="shared" si="91"/>
        <v>3.6292411711343559E-12</v>
      </c>
      <c r="BG123" s="22">
        <f t="shared" si="61"/>
        <v>6.7935256943361388E-12</v>
      </c>
      <c r="BH123" s="60">
        <f t="shared" si="62"/>
        <v>293.33333333334014</v>
      </c>
      <c r="BI123" s="60">
        <f ca="1">AVERAGE(OFFSET($BH$3,0,0,'Données projet'!$E$11+1,1))-AVERAGE(OFFSET($H$3,0,0,'Données projet'!$E$11+1,1))</f>
        <v>238.47463071449789</v>
      </c>
      <c r="BJ123" s="60">
        <f t="shared" si="92"/>
        <v>270.92950919803718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0" t="e">
        <f t="shared" si="65"/>
        <v>#N/A</v>
      </c>
      <c r="CD123" s="60" t="e">
        <f ca="1">AVERAGE(OFFSET($CC$3,0,0,'Données projet'!$E$12+1,1))-AVERAGE(OFFSET($H$3,0,0,'Données projet'!$E$12+1,1))</f>
        <v>#N/A</v>
      </c>
      <c r="CE123" s="60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0" t="e">
        <f t="shared" si="68"/>
        <v>#N/A</v>
      </c>
      <c r="CY123" s="60" t="e">
        <f ca="1">AVERAGE(OFFSET($CX$3,0,0,'Données projet'!$E$13+1,1))-AVERAGE(OFFSET($H$3,0,0,'Données projet'!$E$13+1,1))</f>
        <v>#N/A</v>
      </c>
      <c r="CZ123" s="60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0" t="e">
        <f t="shared" si="71"/>
        <v>#N/A</v>
      </c>
      <c r="DT123" s="60" t="e">
        <f ca="1">AVERAGE(OFFSET($DS$3,0,0,'Données projet'!$E$14+1,1))-AVERAGE(OFFSET($H$3,0,0,'Données projet'!$E$14+1,1))</f>
        <v>#N/A</v>
      </c>
      <c r="DU123" s="60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0" t="e">
        <f t="shared" si="74"/>
        <v>#N/A</v>
      </c>
      <c r="EO123" s="60" t="e">
        <f ca="1">AVERAGE(OFFSET($EN$3,0,0,'Données projet'!$E$15+1,1))-AVERAGE(OFFSET($H$3,0,0,'Données projet'!$E$15+1,1))</f>
        <v>#N/A</v>
      </c>
      <c r="EP123" s="60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8">
        <f t="shared" si="56"/>
        <v>423.80789278868326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2.2737367544323206E-13</v>
      </c>
      <c r="O124" s="14">
        <f>N124*VLOOKUP('Données projet'!$B$9,Paramètres!$A$1:$I$89,3,0)*VLOOKUP('Données projet'!$B$9,Paramètres!$A$1:$I$89,5,0)</f>
        <v>1.2710188457276673E-13</v>
      </c>
      <c r="P124" s="14">
        <f t="shared" si="87"/>
        <v>1.856866851063998E-12</v>
      </c>
      <c r="Q124" s="22">
        <f t="shared" si="107"/>
        <v>3.4554122145673649E-12</v>
      </c>
      <c r="R124" s="60">
        <f t="shared" si="55"/>
        <v>293.33333333333678</v>
      </c>
      <c r="S124" s="60">
        <f ca="1">AVERAGE(OFFSET($R$3,0,0,'Données projet'!$E$9+1,1))-AVERAGE(OFFSET($H$3,0,0,'Données projet'!$E$9+1,1))</f>
        <v>256.47911362806866</v>
      </c>
      <c r="T124" s="60">
        <f t="shared" si="88"/>
        <v>230.93438491511529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0.35092764543414379</v>
      </c>
      <c r="AB124" s="23">
        <f>EXP(-LN(2)/2)*AB123+(1-EXP(-LN(2)/2))/(LN(2)/2)*V124*Y124*VLOOKUP('Données projet'!$B$9,Paramètres!$A$1:$I$89,3,0)*0.475*44/12</f>
        <v>3.2396834654764508E-13</v>
      </c>
      <c r="AC124" s="24">
        <f t="shared" si="57"/>
        <v>0.35092764543446775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-3.694822225952521E-13</v>
      </c>
      <c r="AJ124" s="14">
        <f>AI124*VLOOKUP('Données projet'!$B$10,Paramètres!$A$1:$I$89,3,0)*VLOOKUP('Données projet'!$B$10,Paramètres!$A$1:$I$89,5,0)</f>
        <v>-3.2277966965921228E-13</v>
      </c>
      <c r="AK124" s="14" t="e">
        <f t="shared" si="89"/>
        <v>#NUM!</v>
      </c>
      <c r="AL124" s="22" t="e">
        <f t="shared" si="58"/>
        <v>#NUM!</v>
      </c>
      <c r="AM124" s="60" t="e">
        <f t="shared" si="59"/>
        <v>#NUM!</v>
      </c>
      <c r="AN124" s="60">
        <f ca="1">AVERAGE(OFFSET($AM$3,0,0,'Données projet'!$E$10+1,1))-AVERAGE(OFFSET($H$3,0,0,'Données projet'!$E$10+1,1))</f>
        <v>233.41481265653817</v>
      </c>
      <c r="AO124" s="60">
        <f t="shared" si="90"/>
        <v>300.97465452084055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3.4106051316484809E-13</v>
      </c>
      <c r="BE124" s="14">
        <f>BD124*VLOOKUP('Données projet'!$B$11,Paramètres!$A$1:$I$89,3,0)*VLOOKUP('Données projet'!$B$11,Paramètres!$A$1:$I$89,5,0)</f>
        <v>2.7134774427395314E-13</v>
      </c>
      <c r="BF124" s="14">
        <f t="shared" si="91"/>
        <v>3.6292411711343559E-12</v>
      </c>
      <c r="BG124" s="22">
        <f t="shared" si="61"/>
        <v>6.7935256943361388E-12</v>
      </c>
      <c r="BH124" s="60">
        <f t="shared" si="62"/>
        <v>293.33333333334014</v>
      </c>
      <c r="BI124" s="60">
        <f ca="1">AVERAGE(OFFSET($BH$3,0,0,'Données projet'!$E$11+1,1))-AVERAGE(OFFSET($H$3,0,0,'Données projet'!$E$11+1,1))</f>
        <v>238.47463071449789</v>
      </c>
      <c r="BJ124" s="60">
        <f t="shared" si="92"/>
        <v>270.92950919803718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0" t="e">
        <f t="shared" si="65"/>
        <v>#N/A</v>
      </c>
      <c r="CD124" s="60" t="e">
        <f ca="1">AVERAGE(OFFSET($CC$3,0,0,'Données projet'!$E$12+1,1))-AVERAGE(OFFSET($H$3,0,0,'Données projet'!$E$12+1,1))</f>
        <v>#N/A</v>
      </c>
      <c r="CE124" s="60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0" t="e">
        <f t="shared" si="68"/>
        <v>#N/A</v>
      </c>
      <c r="CY124" s="60" t="e">
        <f ca="1">AVERAGE(OFFSET($CX$3,0,0,'Données projet'!$E$13+1,1))-AVERAGE(OFFSET($H$3,0,0,'Données projet'!$E$13+1,1))</f>
        <v>#N/A</v>
      </c>
      <c r="CZ124" s="60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0" t="e">
        <f t="shared" si="71"/>
        <v>#N/A</v>
      </c>
      <c r="DT124" s="60" t="e">
        <f ca="1">AVERAGE(OFFSET($DS$3,0,0,'Données projet'!$E$14+1,1))-AVERAGE(OFFSET($H$3,0,0,'Données projet'!$E$14+1,1))</f>
        <v>#N/A</v>
      </c>
      <c r="DU124" s="60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0" t="e">
        <f t="shared" si="74"/>
        <v>#N/A</v>
      </c>
      <c r="EO124" s="60" t="e">
        <f ca="1">AVERAGE(OFFSET($EN$3,0,0,'Données projet'!$E$15+1,1))-AVERAGE(OFFSET($H$3,0,0,'Données projet'!$E$15+1,1))</f>
        <v>#N/A</v>
      </c>
      <c r="EP124" s="60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8">
        <f t="shared" si="56"/>
        <v>424.85809176718089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2.2737367544323206E-13</v>
      </c>
      <c r="O125" s="14">
        <f>N125*VLOOKUP('Données projet'!$B$9,Paramètres!$A$1:$I$89,3,0)*VLOOKUP('Données projet'!$B$9,Paramètres!$A$1:$I$89,5,0)</f>
        <v>1.2710188457276673E-13</v>
      </c>
      <c r="P125" s="14">
        <f t="shared" si="87"/>
        <v>1.856866851063998E-12</v>
      </c>
      <c r="Q125" s="22">
        <f t="shared" si="107"/>
        <v>3.4554122145673649E-12</v>
      </c>
      <c r="R125" s="60">
        <f t="shared" si="55"/>
        <v>293.33333333333678</v>
      </c>
      <c r="S125" s="60">
        <f ca="1">AVERAGE(OFFSET($R$3,0,0,'Données projet'!$E$9+1,1))-AVERAGE(OFFSET($H$3,0,0,'Données projet'!$E$9+1,1))</f>
        <v>256.47911362806866</v>
      </c>
      <c r="T125" s="60">
        <f t="shared" si="88"/>
        <v>230.93438491511529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0.34133151051526428</v>
      </c>
      <c r="AB125" s="23">
        <f>EXP(-LN(2)/2)*AB124+(1-EXP(-LN(2)/2))/(LN(2)/2)*V125*Y125*VLOOKUP('Données projet'!$B$9,Paramètres!$A$1:$I$89,3,0)*0.475*44/12</f>
        <v>2.2908021473363326E-13</v>
      </c>
      <c r="AC125" s="24">
        <f t="shared" si="57"/>
        <v>0.34133151051549337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-3.694822225952521E-13</v>
      </c>
      <c r="AJ125" s="14">
        <f>AI125*VLOOKUP('Données projet'!$B$10,Paramètres!$A$1:$I$89,3,0)*VLOOKUP('Données projet'!$B$10,Paramètres!$A$1:$I$89,5,0)</f>
        <v>-3.2277966965921228E-13</v>
      </c>
      <c r="AK125" s="14" t="e">
        <f t="shared" si="89"/>
        <v>#NUM!</v>
      </c>
      <c r="AL125" s="22" t="e">
        <f t="shared" si="58"/>
        <v>#NUM!</v>
      </c>
      <c r="AM125" s="60" t="e">
        <f t="shared" si="59"/>
        <v>#NUM!</v>
      </c>
      <c r="AN125" s="60">
        <f ca="1">AVERAGE(OFFSET($AM$3,0,0,'Données projet'!$E$10+1,1))-AVERAGE(OFFSET($H$3,0,0,'Données projet'!$E$10+1,1))</f>
        <v>233.41481265653817</v>
      </c>
      <c r="AO125" s="60">
        <f t="shared" si="90"/>
        <v>300.97465452084055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3.4106051316484809E-13</v>
      </c>
      <c r="BE125" s="14">
        <f>BD125*VLOOKUP('Données projet'!$B$11,Paramètres!$A$1:$I$89,3,0)*VLOOKUP('Données projet'!$B$11,Paramètres!$A$1:$I$89,5,0)</f>
        <v>2.7134774427395314E-13</v>
      </c>
      <c r="BF125" s="14">
        <f t="shared" si="91"/>
        <v>3.6292411711343559E-12</v>
      </c>
      <c r="BG125" s="22">
        <f t="shared" si="61"/>
        <v>6.7935256943361388E-12</v>
      </c>
      <c r="BH125" s="60">
        <f t="shared" si="62"/>
        <v>293.33333333334014</v>
      </c>
      <c r="BI125" s="60">
        <f ca="1">AVERAGE(OFFSET($BH$3,0,0,'Données projet'!$E$11+1,1))-AVERAGE(OFFSET($H$3,0,0,'Données projet'!$E$11+1,1))</f>
        <v>238.47463071449789</v>
      </c>
      <c r="BJ125" s="60">
        <f t="shared" si="92"/>
        <v>270.92950919803718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0" t="e">
        <f t="shared" si="65"/>
        <v>#N/A</v>
      </c>
      <c r="CD125" s="60" t="e">
        <f ca="1">AVERAGE(OFFSET($CC$3,0,0,'Données projet'!$E$12+1,1))-AVERAGE(OFFSET($H$3,0,0,'Données projet'!$E$12+1,1))</f>
        <v>#N/A</v>
      </c>
      <c r="CE125" s="60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0" t="e">
        <f t="shared" si="68"/>
        <v>#N/A</v>
      </c>
      <c r="CY125" s="60" t="e">
        <f ca="1">AVERAGE(OFFSET($CX$3,0,0,'Données projet'!$E$13+1,1))-AVERAGE(OFFSET($H$3,0,0,'Données projet'!$E$13+1,1))</f>
        <v>#N/A</v>
      </c>
      <c r="CZ125" s="60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0" t="e">
        <f t="shared" si="71"/>
        <v>#N/A</v>
      </c>
      <c r="DT125" s="60" t="e">
        <f ca="1">AVERAGE(OFFSET($DS$3,0,0,'Données projet'!$E$14+1,1))-AVERAGE(OFFSET($H$3,0,0,'Données projet'!$E$14+1,1))</f>
        <v>#N/A</v>
      </c>
      <c r="DU125" s="60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0" t="e">
        <f t="shared" si="74"/>
        <v>#N/A</v>
      </c>
      <c r="EO125" s="60" t="e">
        <f ca="1">AVERAGE(OFFSET($EN$3,0,0,'Données projet'!$E$15+1,1))-AVERAGE(OFFSET($H$3,0,0,'Données projet'!$E$15+1,1))</f>
        <v>#N/A</v>
      </c>
      <c r="EP125" s="60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8">
        <f t="shared" si="56"/>
        <v>425.90808813477543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2.2737367544323206E-13</v>
      </c>
      <c r="O126" s="14">
        <f>N126*VLOOKUP('Données projet'!$B$9,Paramètres!$A$1:$I$89,3,0)*VLOOKUP('Données projet'!$B$9,Paramètres!$A$1:$I$89,5,0)</f>
        <v>1.2710188457276673E-13</v>
      </c>
      <c r="P126" s="14">
        <f t="shared" si="87"/>
        <v>1.856866851063998E-12</v>
      </c>
      <c r="Q126" s="22">
        <f t="shared" si="107"/>
        <v>3.4554122145673649E-12</v>
      </c>
      <c r="R126" s="60">
        <f t="shared" si="55"/>
        <v>293.33333333333678</v>
      </c>
      <c r="S126" s="60">
        <f ca="1">AVERAGE(OFFSET($R$3,0,0,'Données projet'!$E$9+1,1))-AVERAGE(OFFSET($H$3,0,0,'Données projet'!$E$9+1,1))</f>
        <v>256.47911362806866</v>
      </c>
      <c r="T126" s="60">
        <f t="shared" si="88"/>
        <v>230.93438491511529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0.33199778241038036</v>
      </c>
      <c r="AB126" s="23">
        <f>EXP(-LN(2)/2)*AB125+(1-EXP(-LN(2)/2))/(LN(2)/2)*V126*Y126*VLOOKUP('Données projet'!$B$9,Paramètres!$A$1:$I$89,3,0)*0.475*44/12</f>
        <v>1.6198417327382254E-13</v>
      </c>
      <c r="AC126" s="24">
        <f t="shared" si="57"/>
        <v>0.33199778241054234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-3.694822225952521E-13</v>
      </c>
      <c r="AJ126" s="14">
        <f>AI126*VLOOKUP('Données projet'!$B$10,Paramètres!$A$1:$I$89,3,0)*VLOOKUP('Données projet'!$B$10,Paramètres!$A$1:$I$89,5,0)</f>
        <v>-3.2277966965921228E-13</v>
      </c>
      <c r="AK126" s="14" t="e">
        <f t="shared" si="89"/>
        <v>#NUM!</v>
      </c>
      <c r="AL126" s="22" t="e">
        <f t="shared" si="58"/>
        <v>#NUM!</v>
      </c>
      <c r="AM126" s="60" t="e">
        <f t="shared" si="59"/>
        <v>#NUM!</v>
      </c>
      <c r="AN126" s="60">
        <f ca="1">AVERAGE(OFFSET($AM$3,0,0,'Données projet'!$E$10+1,1))-AVERAGE(OFFSET($H$3,0,0,'Données projet'!$E$10+1,1))</f>
        <v>233.41481265653817</v>
      </c>
      <c r="AO126" s="60">
        <f t="shared" si="90"/>
        <v>300.97465452084055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3.4106051316484809E-13</v>
      </c>
      <c r="BE126" s="14">
        <f>BD126*VLOOKUP('Données projet'!$B$11,Paramètres!$A$1:$I$89,3,0)*VLOOKUP('Données projet'!$B$11,Paramètres!$A$1:$I$89,5,0)</f>
        <v>2.7134774427395314E-13</v>
      </c>
      <c r="BF126" s="14">
        <f t="shared" si="91"/>
        <v>3.6292411711343559E-12</v>
      </c>
      <c r="BG126" s="22">
        <f t="shared" si="61"/>
        <v>6.7935256943361388E-12</v>
      </c>
      <c r="BH126" s="60">
        <f t="shared" si="62"/>
        <v>293.33333333334014</v>
      </c>
      <c r="BI126" s="60">
        <f ca="1">AVERAGE(OFFSET($BH$3,0,0,'Données projet'!$E$11+1,1))-AVERAGE(OFFSET($H$3,0,0,'Données projet'!$E$11+1,1))</f>
        <v>238.47463071449789</v>
      </c>
      <c r="BJ126" s="60">
        <f t="shared" si="92"/>
        <v>270.92950919803718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0" t="e">
        <f t="shared" si="65"/>
        <v>#N/A</v>
      </c>
      <c r="CD126" s="60" t="e">
        <f ca="1">AVERAGE(OFFSET($CC$3,0,0,'Données projet'!$E$12+1,1))-AVERAGE(OFFSET($H$3,0,0,'Données projet'!$E$12+1,1))</f>
        <v>#N/A</v>
      </c>
      <c r="CE126" s="60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0" t="e">
        <f t="shared" si="68"/>
        <v>#N/A</v>
      </c>
      <c r="CY126" s="60" t="e">
        <f ca="1">AVERAGE(OFFSET($CX$3,0,0,'Données projet'!$E$13+1,1))-AVERAGE(OFFSET($H$3,0,0,'Données projet'!$E$13+1,1))</f>
        <v>#N/A</v>
      </c>
      <c r="CZ126" s="60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0" t="e">
        <f t="shared" si="71"/>
        <v>#N/A</v>
      </c>
      <c r="DT126" s="60" t="e">
        <f ca="1">AVERAGE(OFFSET($DS$3,0,0,'Données projet'!$E$14+1,1))-AVERAGE(OFFSET($H$3,0,0,'Données projet'!$E$14+1,1))</f>
        <v>#N/A</v>
      </c>
      <c r="DU126" s="60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0" t="e">
        <f t="shared" si="74"/>
        <v>#N/A</v>
      </c>
      <c r="EO126" s="60" t="e">
        <f ca="1">AVERAGE(OFFSET($EN$3,0,0,'Données projet'!$E$15+1,1))-AVERAGE(OFFSET($H$3,0,0,'Données projet'!$E$15+1,1))</f>
        <v>#N/A</v>
      </c>
      <c r="EP126" s="60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8">
        <f t="shared" si="56"/>
        <v>426.95788372961988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2.2737367544323206E-13</v>
      </c>
      <c r="O127" s="14">
        <f>N127*VLOOKUP('Données projet'!$B$9,Paramètres!$A$1:$I$89,3,0)*VLOOKUP('Données projet'!$B$9,Paramètres!$A$1:$I$89,5,0)</f>
        <v>1.2710188457276673E-13</v>
      </c>
      <c r="P127" s="14">
        <f t="shared" si="87"/>
        <v>1.856866851063998E-12</v>
      </c>
      <c r="Q127" s="22">
        <f t="shared" si="107"/>
        <v>3.4554122145673649E-12</v>
      </c>
      <c r="R127" s="60">
        <f t="shared" si="55"/>
        <v>293.33333333333678</v>
      </c>
      <c r="S127" s="60">
        <f ca="1">AVERAGE(OFFSET($R$3,0,0,'Données projet'!$E$9+1,1))-AVERAGE(OFFSET($H$3,0,0,'Données projet'!$E$9+1,1))</f>
        <v>256.47911362806866</v>
      </c>
      <c r="T127" s="60">
        <f t="shared" si="88"/>
        <v>230.93438491511529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0.3229192855913639</v>
      </c>
      <c r="AB127" s="23">
        <f>EXP(-LN(2)/2)*AB126+(1-EXP(-LN(2)/2))/(LN(2)/2)*V127*Y127*VLOOKUP('Données projet'!$B$9,Paramètres!$A$1:$I$89,3,0)*0.475*44/12</f>
        <v>1.1454010736681663E-13</v>
      </c>
      <c r="AC127" s="24">
        <f t="shared" si="57"/>
        <v>0.32291928559147842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-3.694822225952521E-13</v>
      </c>
      <c r="AJ127" s="14">
        <f>AI127*VLOOKUP('Données projet'!$B$10,Paramètres!$A$1:$I$89,3,0)*VLOOKUP('Données projet'!$B$10,Paramètres!$A$1:$I$89,5,0)</f>
        <v>-3.2277966965921228E-13</v>
      </c>
      <c r="AK127" s="14" t="e">
        <f t="shared" si="89"/>
        <v>#NUM!</v>
      </c>
      <c r="AL127" s="22" t="e">
        <f t="shared" si="58"/>
        <v>#NUM!</v>
      </c>
      <c r="AM127" s="60" t="e">
        <f t="shared" si="59"/>
        <v>#NUM!</v>
      </c>
      <c r="AN127" s="60">
        <f ca="1">AVERAGE(OFFSET($AM$3,0,0,'Données projet'!$E$10+1,1))-AVERAGE(OFFSET($H$3,0,0,'Données projet'!$E$10+1,1))</f>
        <v>233.41481265653817</v>
      </c>
      <c r="AO127" s="60">
        <f t="shared" si="90"/>
        <v>300.97465452084055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3.4106051316484809E-13</v>
      </c>
      <c r="BE127" s="14">
        <f>BD127*VLOOKUP('Données projet'!$B$11,Paramètres!$A$1:$I$89,3,0)*VLOOKUP('Données projet'!$B$11,Paramètres!$A$1:$I$89,5,0)</f>
        <v>2.7134774427395314E-13</v>
      </c>
      <c r="BF127" s="14">
        <f t="shared" si="91"/>
        <v>3.6292411711343559E-12</v>
      </c>
      <c r="BG127" s="22">
        <f t="shared" si="61"/>
        <v>6.7935256943361388E-12</v>
      </c>
      <c r="BH127" s="60">
        <f t="shared" si="62"/>
        <v>293.33333333334014</v>
      </c>
      <c r="BI127" s="60">
        <f ca="1">AVERAGE(OFFSET($BH$3,0,0,'Données projet'!$E$11+1,1))-AVERAGE(OFFSET($H$3,0,0,'Données projet'!$E$11+1,1))</f>
        <v>238.47463071449789</v>
      </c>
      <c r="BJ127" s="60">
        <f t="shared" si="92"/>
        <v>270.92950919803718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0" t="e">
        <f t="shared" si="65"/>
        <v>#N/A</v>
      </c>
      <c r="CD127" s="60" t="e">
        <f ca="1">AVERAGE(OFFSET($CC$3,0,0,'Données projet'!$E$12+1,1))-AVERAGE(OFFSET($H$3,0,0,'Données projet'!$E$12+1,1))</f>
        <v>#N/A</v>
      </c>
      <c r="CE127" s="60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0" t="e">
        <f t="shared" si="68"/>
        <v>#N/A</v>
      </c>
      <c r="CY127" s="60" t="e">
        <f ca="1">AVERAGE(OFFSET($CX$3,0,0,'Données projet'!$E$13+1,1))-AVERAGE(OFFSET($H$3,0,0,'Données projet'!$E$13+1,1))</f>
        <v>#N/A</v>
      </c>
      <c r="CZ127" s="60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0" t="e">
        <f t="shared" si="71"/>
        <v>#N/A</v>
      </c>
      <c r="DT127" s="60" t="e">
        <f ca="1">AVERAGE(OFFSET($DS$3,0,0,'Données projet'!$E$14+1,1))-AVERAGE(OFFSET($H$3,0,0,'Données projet'!$E$14+1,1))</f>
        <v>#N/A</v>
      </c>
      <c r="DU127" s="60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0" t="e">
        <f t="shared" si="74"/>
        <v>#N/A</v>
      </c>
      <c r="EO127" s="60" t="e">
        <f ca="1">AVERAGE(OFFSET($EN$3,0,0,'Données projet'!$E$15+1,1))-AVERAGE(OFFSET($H$3,0,0,'Données projet'!$E$15+1,1))</f>
        <v>#N/A</v>
      </c>
      <c r="EP127" s="60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8">
        <f t="shared" si="56"/>
        <v>428.00748035850785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2.2737367544323206E-13</v>
      </c>
      <c r="O128" s="14">
        <f>N128*VLOOKUP('Données projet'!$B$9,Paramètres!$A$1:$I$89,3,0)*VLOOKUP('Données projet'!$B$9,Paramètres!$A$1:$I$89,5,0)</f>
        <v>1.2710188457276673E-13</v>
      </c>
      <c r="P128" s="14">
        <f t="shared" si="87"/>
        <v>1.856866851063998E-12</v>
      </c>
      <c r="Q128" s="22">
        <f t="shared" si="107"/>
        <v>3.4554122145673649E-12</v>
      </c>
      <c r="R128" s="60">
        <f t="shared" si="55"/>
        <v>293.33333333333678</v>
      </c>
      <c r="S128" s="60">
        <f ca="1">AVERAGE(OFFSET($R$3,0,0,'Données projet'!$E$9+1,1))-AVERAGE(OFFSET($H$3,0,0,'Données projet'!$E$9+1,1))</f>
        <v>256.47911362806866</v>
      </c>
      <c r="T128" s="60">
        <f t="shared" si="88"/>
        <v>230.93438491511529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0.31408904074528088</v>
      </c>
      <c r="AB128" s="23">
        <f>EXP(-LN(2)/2)*AB127+(1-EXP(-LN(2)/2))/(LN(2)/2)*V128*Y128*VLOOKUP('Données projet'!$B$9,Paramètres!$A$1:$I$89,3,0)*0.475*44/12</f>
        <v>8.0992086636911269E-14</v>
      </c>
      <c r="AC128" s="24">
        <f t="shared" si="57"/>
        <v>0.31408904074536187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-3.694822225952521E-13</v>
      </c>
      <c r="AJ128" s="14">
        <f>AI128*VLOOKUP('Données projet'!$B$10,Paramètres!$A$1:$I$89,3,0)*VLOOKUP('Données projet'!$B$10,Paramètres!$A$1:$I$89,5,0)</f>
        <v>-3.2277966965921228E-13</v>
      </c>
      <c r="AK128" s="14" t="e">
        <f t="shared" si="89"/>
        <v>#NUM!</v>
      </c>
      <c r="AL128" s="22" t="e">
        <f t="shared" si="58"/>
        <v>#NUM!</v>
      </c>
      <c r="AM128" s="60" t="e">
        <f t="shared" si="59"/>
        <v>#NUM!</v>
      </c>
      <c r="AN128" s="60">
        <f ca="1">AVERAGE(OFFSET($AM$3,0,0,'Données projet'!$E$10+1,1))-AVERAGE(OFFSET($H$3,0,0,'Données projet'!$E$10+1,1))</f>
        <v>233.41481265653817</v>
      </c>
      <c r="AO128" s="60">
        <f t="shared" si="90"/>
        <v>300.97465452084055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3.4106051316484809E-13</v>
      </c>
      <c r="BE128" s="14">
        <f>BD128*VLOOKUP('Données projet'!$B$11,Paramètres!$A$1:$I$89,3,0)*VLOOKUP('Données projet'!$B$11,Paramètres!$A$1:$I$89,5,0)</f>
        <v>2.7134774427395314E-13</v>
      </c>
      <c r="BF128" s="14">
        <f t="shared" si="91"/>
        <v>3.6292411711343559E-12</v>
      </c>
      <c r="BG128" s="22">
        <f t="shared" si="61"/>
        <v>6.7935256943361388E-12</v>
      </c>
      <c r="BH128" s="60">
        <f t="shared" si="62"/>
        <v>293.33333333334014</v>
      </c>
      <c r="BI128" s="60">
        <f ca="1">AVERAGE(OFFSET($BH$3,0,0,'Données projet'!$E$11+1,1))-AVERAGE(OFFSET($H$3,0,0,'Données projet'!$E$11+1,1))</f>
        <v>238.47463071449789</v>
      </c>
      <c r="BJ128" s="60">
        <f t="shared" si="92"/>
        <v>270.92950919803718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0" t="e">
        <f t="shared" si="65"/>
        <v>#N/A</v>
      </c>
      <c r="CD128" s="60" t="e">
        <f ca="1">AVERAGE(OFFSET($CC$3,0,0,'Données projet'!$E$12+1,1))-AVERAGE(OFFSET($H$3,0,0,'Données projet'!$E$12+1,1))</f>
        <v>#N/A</v>
      </c>
      <c r="CE128" s="60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0" t="e">
        <f t="shared" si="68"/>
        <v>#N/A</v>
      </c>
      <c r="CY128" s="60" t="e">
        <f ca="1">AVERAGE(OFFSET($CX$3,0,0,'Données projet'!$E$13+1,1))-AVERAGE(OFFSET($H$3,0,0,'Données projet'!$E$13+1,1))</f>
        <v>#N/A</v>
      </c>
      <c r="CZ128" s="60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0" t="e">
        <f t="shared" si="71"/>
        <v>#N/A</v>
      </c>
      <c r="DT128" s="60" t="e">
        <f ca="1">AVERAGE(OFFSET($DS$3,0,0,'Données projet'!$E$14+1,1))-AVERAGE(OFFSET($H$3,0,0,'Données projet'!$E$14+1,1))</f>
        <v>#N/A</v>
      </c>
      <c r="DU128" s="60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0" t="e">
        <f t="shared" si="74"/>
        <v>#N/A</v>
      </c>
      <c r="EO128" s="60" t="e">
        <f ca="1">AVERAGE(OFFSET($EN$3,0,0,'Données projet'!$E$15+1,1))-AVERAGE(OFFSET($H$3,0,0,'Données projet'!$E$15+1,1))</f>
        <v>#N/A</v>
      </c>
      <c r="EP128" s="60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8">
        <f t="shared" si="56"/>
        <v>429.05687979765503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2.2737367544323206E-13</v>
      </c>
      <c r="O129" s="14">
        <f>N129*VLOOKUP('Données projet'!$B$9,Paramètres!$A$1:$I$89,3,0)*VLOOKUP('Données projet'!$B$9,Paramètres!$A$1:$I$89,5,0)</f>
        <v>1.2710188457276673E-13</v>
      </c>
      <c r="P129" s="14">
        <f t="shared" si="87"/>
        <v>1.856866851063998E-12</v>
      </c>
      <c r="Q129" s="22">
        <f t="shared" si="107"/>
        <v>3.4554122145673649E-12</v>
      </c>
      <c r="R129" s="60">
        <f t="shared" si="55"/>
        <v>293.33333333333678</v>
      </c>
      <c r="S129" s="60">
        <f ca="1">AVERAGE(OFFSET($R$3,0,0,'Données projet'!$E$9+1,1))-AVERAGE(OFFSET($H$3,0,0,'Données projet'!$E$9+1,1))</f>
        <v>256.47911362806866</v>
      </c>
      <c r="T129" s="60">
        <f t="shared" si="88"/>
        <v>230.93438491511529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0.30550025940887637</v>
      </c>
      <c r="AB129" s="23">
        <f>EXP(-LN(2)/2)*AB128+(1-EXP(-LN(2)/2))/(LN(2)/2)*V129*Y129*VLOOKUP('Données projet'!$B$9,Paramètres!$A$1:$I$89,3,0)*0.475*44/12</f>
        <v>5.7270053683408316E-14</v>
      </c>
      <c r="AC129" s="24">
        <f t="shared" si="57"/>
        <v>0.30550025940893366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-3.694822225952521E-13</v>
      </c>
      <c r="AJ129" s="14">
        <f>AI129*VLOOKUP('Données projet'!$B$10,Paramètres!$A$1:$I$89,3,0)*VLOOKUP('Données projet'!$B$10,Paramètres!$A$1:$I$89,5,0)</f>
        <v>-3.2277966965921228E-13</v>
      </c>
      <c r="AK129" s="14" t="e">
        <f t="shared" si="89"/>
        <v>#NUM!</v>
      </c>
      <c r="AL129" s="22" t="e">
        <f t="shared" si="58"/>
        <v>#NUM!</v>
      </c>
      <c r="AM129" s="60" t="e">
        <f t="shared" si="59"/>
        <v>#NUM!</v>
      </c>
      <c r="AN129" s="60">
        <f ca="1">AVERAGE(OFFSET($AM$3,0,0,'Données projet'!$E$10+1,1))-AVERAGE(OFFSET($H$3,0,0,'Données projet'!$E$10+1,1))</f>
        <v>233.41481265653817</v>
      </c>
      <c r="AO129" s="60">
        <f t="shared" si="90"/>
        <v>300.97465452084055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3.4106051316484809E-13</v>
      </c>
      <c r="BE129" s="14">
        <f>BD129*VLOOKUP('Données projet'!$B$11,Paramètres!$A$1:$I$89,3,0)*VLOOKUP('Données projet'!$B$11,Paramètres!$A$1:$I$89,5,0)</f>
        <v>2.7134774427395314E-13</v>
      </c>
      <c r="BF129" s="14">
        <f t="shared" si="91"/>
        <v>3.6292411711343559E-12</v>
      </c>
      <c r="BG129" s="22">
        <f t="shared" si="61"/>
        <v>6.7935256943361388E-12</v>
      </c>
      <c r="BH129" s="60">
        <f t="shared" si="62"/>
        <v>293.33333333334014</v>
      </c>
      <c r="BI129" s="60">
        <f ca="1">AVERAGE(OFFSET($BH$3,0,0,'Données projet'!$E$11+1,1))-AVERAGE(OFFSET($H$3,0,0,'Données projet'!$E$11+1,1))</f>
        <v>238.47463071449789</v>
      </c>
      <c r="BJ129" s="60">
        <f t="shared" si="92"/>
        <v>270.92950919803718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0" t="e">
        <f t="shared" si="65"/>
        <v>#N/A</v>
      </c>
      <c r="CD129" s="60" t="e">
        <f ca="1">AVERAGE(OFFSET($CC$3,0,0,'Données projet'!$E$12+1,1))-AVERAGE(OFFSET($H$3,0,0,'Données projet'!$E$12+1,1))</f>
        <v>#N/A</v>
      </c>
      <c r="CE129" s="60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0" t="e">
        <f t="shared" si="68"/>
        <v>#N/A</v>
      </c>
      <c r="CY129" s="60" t="e">
        <f ca="1">AVERAGE(OFFSET($CX$3,0,0,'Données projet'!$E$13+1,1))-AVERAGE(OFFSET($H$3,0,0,'Données projet'!$E$13+1,1))</f>
        <v>#N/A</v>
      </c>
      <c r="CZ129" s="60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0" t="e">
        <f t="shared" si="71"/>
        <v>#N/A</v>
      </c>
      <c r="DT129" s="60" t="e">
        <f ca="1">AVERAGE(OFFSET($DS$3,0,0,'Données projet'!$E$14+1,1))-AVERAGE(OFFSET($H$3,0,0,'Données projet'!$E$14+1,1))</f>
        <v>#N/A</v>
      </c>
      <c r="DU129" s="60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0" t="e">
        <f t="shared" si="74"/>
        <v>#N/A</v>
      </c>
      <c r="EO129" s="60" t="e">
        <f ca="1">AVERAGE(OFFSET($EN$3,0,0,'Données projet'!$E$15+1,1))-AVERAGE(OFFSET($H$3,0,0,'Données projet'!$E$15+1,1))</f>
        <v>#N/A</v>
      </c>
      <c r="EP129" s="60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8">
        <f t="shared" si="56"/>
        <v>430.10608379345501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2.2737367544323206E-13</v>
      </c>
      <c r="O130" s="14">
        <f>N130*VLOOKUP('Données projet'!$B$9,Paramètres!$A$1:$I$89,3,0)*VLOOKUP('Données projet'!$B$9,Paramètres!$A$1:$I$89,5,0)</f>
        <v>1.2710188457276673E-13</v>
      </c>
      <c r="P130" s="14">
        <f t="shared" si="87"/>
        <v>1.856866851063998E-12</v>
      </c>
      <c r="Q130" s="22">
        <f t="shared" si="107"/>
        <v>3.4554122145673649E-12</v>
      </c>
      <c r="R130" s="60">
        <f t="shared" si="55"/>
        <v>293.33333333333678</v>
      </c>
      <c r="S130" s="60">
        <f ca="1">AVERAGE(OFFSET($R$3,0,0,'Données projet'!$E$9+1,1))-AVERAGE(OFFSET($H$3,0,0,'Données projet'!$E$9+1,1))</f>
        <v>256.47911362806866</v>
      </c>
      <c r="T130" s="60">
        <f t="shared" si="88"/>
        <v>230.93438491511529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0.29714633874978025</v>
      </c>
      <c r="AB130" s="23">
        <f>EXP(-LN(2)/2)*AB129+(1-EXP(-LN(2)/2))/(LN(2)/2)*V130*Y130*VLOOKUP('Données projet'!$B$9,Paramètres!$A$1:$I$89,3,0)*0.475*44/12</f>
        <v>4.0496043318455635E-14</v>
      </c>
      <c r="AC130" s="24">
        <f t="shared" si="57"/>
        <v>0.29714633874982077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-3.694822225952521E-13</v>
      </c>
      <c r="AJ130" s="14">
        <f>AI130*VLOOKUP('Données projet'!$B$10,Paramètres!$A$1:$I$89,3,0)*VLOOKUP('Données projet'!$B$10,Paramètres!$A$1:$I$89,5,0)</f>
        <v>-3.2277966965921228E-13</v>
      </c>
      <c r="AK130" s="14" t="e">
        <f t="shared" si="89"/>
        <v>#NUM!</v>
      </c>
      <c r="AL130" s="22" t="e">
        <f t="shared" si="58"/>
        <v>#NUM!</v>
      </c>
      <c r="AM130" s="60" t="e">
        <f t="shared" si="59"/>
        <v>#NUM!</v>
      </c>
      <c r="AN130" s="60">
        <f ca="1">AVERAGE(OFFSET($AM$3,0,0,'Données projet'!$E$10+1,1))-AVERAGE(OFFSET($H$3,0,0,'Données projet'!$E$10+1,1))</f>
        <v>233.41481265653817</v>
      </c>
      <c r="AO130" s="60">
        <f t="shared" si="90"/>
        <v>300.97465452084055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3.4106051316484809E-13</v>
      </c>
      <c r="BE130" s="14">
        <f>BD130*VLOOKUP('Données projet'!$B$11,Paramètres!$A$1:$I$89,3,0)*VLOOKUP('Données projet'!$B$11,Paramètres!$A$1:$I$89,5,0)</f>
        <v>2.7134774427395314E-13</v>
      </c>
      <c r="BF130" s="14">
        <f t="shared" si="91"/>
        <v>3.6292411711343559E-12</v>
      </c>
      <c r="BG130" s="22">
        <f t="shared" si="61"/>
        <v>6.7935256943361388E-12</v>
      </c>
      <c r="BH130" s="60">
        <f t="shared" si="62"/>
        <v>293.33333333334014</v>
      </c>
      <c r="BI130" s="60">
        <f ca="1">AVERAGE(OFFSET($BH$3,0,0,'Données projet'!$E$11+1,1))-AVERAGE(OFFSET($H$3,0,0,'Données projet'!$E$11+1,1))</f>
        <v>238.47463071449789</v>
      </c>
      <c r="BJ130" s="60">
        <f t="shared" si="92"/>
        <v>270.92950919803718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0" t="e">
        <f t="shared" si="65"/>
        <v>#N/A</v>
      </c>
      <c r="CD130" s="60" t="e">
        <f ca="1">AVERAGE(OFFSET($CC$3,0,0,'Données projet'!$E$12+1,1))-AVERAGE(OFFSET($H$3,0,0,'Données projet'!$E$12+1,1))</f>
        <v>#N/A</v>
      </c>
      <c r="CE130" s="60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0" t="e">
        <f t="shared" si="68"/>
        <v>#N/A</v>
      </c>
      <c r="CY130" s="60" t="e">
        <f ca="1">AVERAGE(OFFSET($CX$3,0,0,'Données projet'!$E$13+1,1))-AVERAGE(OFFSET($H$3,0,0,'Données projet'!$E$13+1,1))</f>
        <v>#N/A</v>
      </c>
      <c r="CZ130" s="60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0" t="e">
        <f t="shared" si="71"/>
        <v>#N/A</v>
      </c>
      <c r="DT130" s="60" t="e">
        <f ca="1">AVERAGE(OFFSET($DS$3,0,0,'Données projet'!$E$14+1,1))-AVERAGE(OFFSET($H$3,0,0,'Données projet'!$E$14+1,1))</f>
        <v>#N/A</v>
      </c>
      <c r="DU130" s="60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0" t="e">
        <f t="shared" si="74"/>
        <v>#N/A</v>
      </c>
      <c r="EO130" s="60" t="e">
        <f ca="1">AVERAGE(OFFSET($EN$3,0,0,'Données projet'!$E$15+1,1))-AVERAGE(OFFSET($H$3,0,0,'Données projet'!$E$15+1,1))</f>
        <v>#N/A</v>
      </c>
      <c r="EP130" s="60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8">
        <f t="shared" si="56"/>
        <v>431.15509406321121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2.2737367544323206E-13</v>
      </c>
      <c r="O131" s="14">
        <f>N131*VLOOKUP('Données projet'!$B$9,Paramètres!$A$1:$I$89,3,0)*VLOOKUP('Données projet'!$B$9,Paramètres!$A$1:$I$89,5,0)</f>
        <v>1.2710188457276673E-13</v>
      </c>
      <c r="P131" s="14">
        <f t="shared" si="87"/>
        <v>1.856866851063998E-12</v>
      </c>
      <c r="Q131" s="22">
        <f t="shared" ref="Q131:Q153" si="108">(O131+P131)*0.475*44/12</f>
        <v>3.4554122145673649E-12</v>
      </c>
      <c r="R131" s="60">
        <f t="shared" ref="R131:R194" si="109">Q131+(I131+J131)*44/12</f>
        <v>293.33333333333678</v>
      </c>
      <c r="S131" s="60">
        <f ca="1">AVERAGE(OFFSET($R$3,0,0,'Données projet'!$E$9+1,1))-AVERAGE(OFFSET($H$3,0,0,'Données projet'!$E$9+1,1))</f>
        <v>256.47911362806866</v>
      </c>
      <c r="T131" s="60">
        <f t="shared" si="88"/>
        <v>230.93438491511529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0.2890208564904207</v>
      </c>
      <c r="AB131" s="23">
        <f>EXP(-LN(2)/2)*AB130+(1-EXP(-LN(2)/2))/(LN(2)/2)*V131*Y131*VLOOKUP('Données projet'!$B$9,Paramètres!$A$1:$I$89,3,0)*0.475*44/12</f>
        <v>2.8635026841704158E-14</v>
      </c>
      <c r="AC131" s="24">
        <f t="shared" si="57"/>
        <v>0.28902085649044934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-3.694822225952521E-13</v>
      </c>
      <c r="AJ131" s="14">
        <f>AI131*VLOOKUP('Données projet'!$B$10,Paramètres!$A$1:$I$89,3,0)*VLOOKUP('Données projet'!$B$10,Paramètres!$A$1:$I$89,5,0)</f>
        <v>-3.2277966965921228E-13</v>
      </c>
      <c r="AK131" s="14" t="e">
        <f t="shared" si="89"/>
        <v>#NUM!</v>
      </c>
      <c r="AL131" s="22" t="e">
        <f t="shared" si="58"/>
        <v>#NUM!</v>
      </c>
      <c r="AM131" s="60" t="e">
        <f t="shared" si="59"/>
        <v>#NUM!</v>
      </c>
      <c r="AN131" s="60">
        <f ca="1">AVERAGE(OFFSET($AM$3,0,0,'Données projet'!$E$10+1,1))-AVERAGE(OFFSET($H$3,0,0,'Données projet'!$E$10+1,1))</f>
        <v>233.41481265653817</v>
      </c>
      <c r="AO131" s="60">
        <f t="shared" si="90"/>
        <v>300.97465452084055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3.4106051316484809E-13</v>
      </c>
      <c r="BE131" s="14">
        <f>BD131*VLOOKUP('Données projet'!$B$11,Paramètres!$A$1:$I$89,3,0)*VLOOKUP('Données projet'!$B$11,Paramètres!$A$1:$I$89,5,0)</f>
        <v>2.7134774427395314E-13</v>
      </c>
      <c r="BF131" s="14">
        <f t="shared" si="91"/>
        <v>3.6292411711343559E-12</v>
      </c>
      <c r="BG131" s="22">
        <f t="shared" si="61"/>
        <v>6.7935256943361388E-12</v>
      </c>
      <c r="BH131" s="60">
        <f t="shared" si="62"/>
        <v>293.33333333334014</v>
      </c>
      <c r="BI131" s="60">
        <f ca="1">AVERAGE(OFFSET($BH$3,0,0,'Données projet'!$E$11+1,1))-AVERAGE(OFFSET($H$3,0,0,'Données projet'!$E$11+1,1))</f>
        <v>238.47463071449789</v>
      </c>
      <c r="BJ131" s="60">
        <f t="shared" si="92"/>
        <v>270.92950919803718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0" t="e">
        <f t="shared" si="65"/>
        <v>#N/A</v>
      </c>
      <c r="CD131" s="60" t="e">
        <f ca="1">AVERAGE(OFFSET($CC$3,0,0,'Données projet'!$E$12+1,1))-AVERAGE(OFFSET($H$3,0,0,'Données projet'!$E$12+1,1))</f>
        <v>#N/A</v>
      </c>
      <c r="CE131" s="60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0" t="e">
        <f t="shared" si="68"/>
        <v>#N/A</v>
      </c>
      <c r="CY131" s="60" t="e">
        <f ca="1">AVERAGE(OFFSET($CX$3,0,0,'Données projet'!$E$13+1,1))-AVERAGE(OFFSET($H$3,0,0,'Données projet'!$E$13+1,1))</f>
        <v>#N/A</v>
      </c>
      <c r="CZ131" s="60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0" t="e">
        <f t="shared" si="71"/>
        <v>#N/A</v>
      </c>
      <c r="DT131" s="60" t="e">
        <f ca="1">AVERAGE(OFFSET($DS$3,0,0,'Données projet'!$E$14+1,1))-AVERAGE(OFFSET($H$3,0,0,'Données projet'!$E$14+1,1))</f>
        <v>#N/A</v>
      </c>
      <c r="DU131" s="60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0" t="e">
        <f t="shared" si="74"/>
        <v>#N/A</v>
      </c>
      <c r="EO131" s="60" t="e">
        <f ca="1">AVERAGE(OFFSET($EN$3,0,0,'Données projet'!$E$15+1,1))-AVERAGE(OFFSET($H$3,0,0,'Données projet'!$E$15+1,1))</f>
        <v>#N/A</v>
      </c>
      <c r="EP131" s="60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8">
        <f t="shared" ref="H132:H195" si="110">(B132+E132+F132)*44/12+(C132+D132)*0.475*44/12</f>
        <v>432.20391229584436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2.2737367544323206E-13</v>
      </c>
      <c r="O132" s="14">
        <f>N132*VLOOKUP('Données projet'!$B$9,Paramètres!$A$1:$I$89,3,0)*VLOOKUP('Données projet'!$B$9,Paramètres!$A$1:$I$89,5,0)</f>
        <v>1.2710188457276673E-13</v>
      </c>
      <c r="P132" s="14">
        <f t="shared" si="87"/>
        <v>1.856866851063998E-12</v>
      </c>
      <c r="Q132" s="22">
        <f t="shared" si="108"/>
        <v>3.4554122145673649E-12</v>
      </c>
      <c r="R132" s="60">
        <f t="shared" si="109"/>
        <v>293.33333333333678</v>
      </c>
      <c r="S132" s="60">
        <f ca="1">AVERAGE(OFFSET($R$3,0,0,'Données projet'!$E$9+1,1))-AVERAGE(OFFSET($H$3,0,0,'Données projet'!$E$9+1,1))</f>
        <v>256.47911362806866</v>
      </c>
      <c r="T132" s="60">
        <f t="shared" si="88"/>
        <v>230.93438491511529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0.28111756597074389</v>
      </c>
      <c r="AB132" s="23">
        <f>EXP(-LN(2)/2)*AB131+(1-EXP(-LN(2)/2))/(LN(2)/2)*V132*Y132*VLOOKUP('Données projet'!$B$9,Paramètres!$A$1:$I$89,3,0)*0.475*44/12</f>
        <v>2.0248021659227817E-14</v>
      </c>
      <c r="AC132" s="24">
        <f t="shared" ref="AC132:AC153" si="111">SUM(Z132:AB132)</f>
        <v>0.28111756597076415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-3.694822225952521E-13</v>
      </c>
      <c r="AJ132" s="14">
        <f>AI132*VLOOKUP('Données projet'!$B$10,Paramètres!$A$1:$I$89,3,0)*VLOOKUP('Données projet'!$B$10,Paramètres!$A$1:$I$89,5,0)</f>
        <v>-3.2277966965921228E-13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0" t="e">
        <f t="shared" ref="AM132:AM195" si="113">AL132+(AD132+AE132)*44/12</f>
        <v>#NUM!</v>
      </c>
      <c r="AN132" s="60">
        <f ca="1">AVERAGE(OFFSET($AM$3,0,0,'Données projet'!$E$10+1,1))-AVERAGE(OFFSET($H$3,0,0,'Données projet'!$E$10+1,1))</f>
        <v>233.41481265653817</v>
      </c>
      <c r="AO132" s="60">
        <f t="shared" si="90"/>
        <v>300.97465452084055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3.4106051316484809E-13</v>
      </c>
      <c r="BE132" s="14">
        <f>BD132*VLOOKUP('Données projet'!$B$11,Paramètres!$A$1:$I$89,3,0)*VLOOKUP('Données projet'!$B$11,Paramètres!$A$1:$I$89,5,0)</f>
        <v>2.7134774427395314E-13</v>
      </c>
      <c r="BF132" s="14">
        <f t="shared" si="91"/>
        <v>3.6292411711343559E-12</v>
      </c>
      <c r="BG132" s="22">
        <f t="shared" ref="BG132:BG153" si="115">(BE132+BF132)*0.475*44/12</f>
        <v>6.7935256943361388E-12</v>
      </c>
      <c r="BH132" s="60">
        <f t="shared" ref="BH132:BH195" si="116">BG132+(AY132+AZ132)*44/12</f>
        <v>293.33333333334014</v>
      </c>
      <c r="BI132" s="60">
        <f ca="1">AVERAGE(OFFSET($BH$3,0,0,'Données projet'!$E$11+1,1))-AVERAGE(OFFSET($H$3,0,0,'Données projet'!$E$11+1,1))</f>
        <v>238.47463071449789</v>
      </c>
      <c r="BJ132" s="60">
        <f t="shared" si="92"/>
        <v>270.92950919803718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0" t="e">
        <f t="shared" ref="CC132:CC195" si="119">CB132+(BT132+BU132)*44/12</f>
        <v>#N/A</v>
      </c>
      <c r="CD132" s="60" t="e">
        <f ca="1">AVERAGE(OFFSET($CC$3,0,0,'Données projet'!$E$12+1,1))-AVERAGE(OFFSET($H$3,0,0,'Données projet'!$E$12+1,1))</f>
        <v>#N/A</v>
      </c>
      <c r="CE132" s="60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0" t="e">
        <f t="shared" ref="CX132:CX195" si="122">CW132+(CO132+CP132)*44/12</f>
        <v>#N/A</v>
      </c>
      <c r="CY132" s="60" t="e">
        <f ca="1">AVERAGE(OFFSET($CX$3,0,0,'Données projet'!$E$13+1,1))-AVERAGE(OFFSET($H$3,0,0,'Données projet'!$E$13+1,1))</f>
        <v>#N/A</v>
      </c>
      <c r="CZ132" s="60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0" t="e">
        <f t="shared" ref="DS132:DS195" si="125">DR132+(DJ132+DK132)*44/12</f>
        <v>#N/A</v>
      </c>
      <c r="DT132" s="60" t="e">
        <f ca="1">AVERAGE(OFFSET($DS$3,0,0,'Données projet'!$E$14+1,1))-AVERAGE(OFFSET($H$3,0,0,'Données projet'!$E$14+1,1))</f>
        <v>#N/A</v>
      </c>
      <c r="DU132" s="60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0" t="e">
        <f t="shared" ref="EN132:EN195" si="128">EM132+(EE132+EF132)*44/12</f>
        <v>#N/A</v>
      </c>
      <c r="EO132" s="60" t="e">
        <f ca="1">AVERAGE(OFFSET($EN$3,0,0,'Données projet'!$E$15+1,1))-AVERAGE(OFFSET($H$3,0,0,'Données projet'!$E$15+1,1))</f>
        <v>#N/A</v>
      </c>
      <c r="EP132" s="60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8">
        <f t="shared" si="110"/>
        <v>433.25254015257815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2.2737367544323206E-13</v>
      </c>
      <c r="O133" s="14">
        <f>N133*VLOOKUP('Données projet'!$B$9,Paramètres!$A$1:$I$89,3,0)*VLOOKUP('Données projet'!$B$9,Paramètres!$A$1:$I$89,5,0)</f>
        <v>1.2710188457276673E-13</v>
      </c>
      <c r="P133" s="14">
        <f t="shared" ref="P133:P196" si="141">EXP(-1.0587+0.8836*LN(O133)+0.284)</f>
        <v>1.856866851063998E-12</v>
      </c>
      <c r="Q133" s="22">
        <f t="shared" si="108"/>
        <v>3.4554122145673649E-12</v>
      </c>
      <c r="R133" s="60">
        <f t="shared" si="109"/>
        <v>293.33333333333678</v>
      </c>
      <c r="S133" s="60">
        <f ca="1">AVERAGE(OFFSET($R$3,0,0,'Données projet'!$E$9+1,1))-AVERAGE(OFFSET($H$3,0,0,'Données projet'!$E$9+1,1))</f>
        <v>256.47911362806866</v>
      </c>
      <c r="T133" s="60">
        <f t="shared" ref="T133:T196" si="142">$T$3</f>
        <v>230.93438491511529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0.2734303913459436</v>
      </c>
      <c r="AB133" s="23">
        <f>EXP(-LN(2)/2)*AB132+(1-EXP(-LN(2)/2))/(LN(2)/2)*V133*Y133*VLOOKUP('Données projet'!$B$9,Paramètres!$A$1:$I$89,3,0)*0.475*44/12</f>
        <v>1.4317513420852079E-14</v>
      </c>
      <c r="AC133" s="24">
        <f t="shared" si="111"/>
        <v>0.27343039134595792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-3.694822225952521E-13</v>
      </c>
      <c r="AJ133" s="14">
        <f>AI133*VLOOKUP('Données projet'!$B$10,Paramètres!$A$1:$I$89,3,0)*VLOOKUP('Données projet'!$B$10,Paramètres!$A$1:$I$89,5,0)</f>
        <v>-3.2277966965921228E-13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0" t="e">
        <f t="shared" si="113"/>
        <v>#NUM!</v>
      </c>
      <c r="AN133" s="60">
        <f ca="1">AVERAGE(OFFSET($AM$3,0,0,'Données projet'!$E$10+1,1))-AVERAGE(OFFSET($H$3,0,0,'Données projet'!$E$10+1,1))</f>
        <v>233.41481265653817</v>
      </c>
      <c r="AO133" s="60">
        <f t="shared" ref="AO133:AO196" si="144">$AO$3</f>
        <v>300.97465452084055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3.4106051316484809E-13</v>
      </c>
      <c r="BE133" s="14">
        <f>BD133*VLOOKUP('Données projet'!$B$11,Paramètres!$A$1:$I$89,3,0)*VLOOKUP('Données projet'!$B$11,Paramètres!$A$1:$I$89,5,0)</f>
        <v>2.7134774427395314E-13</v>
      </c>
      <c r="BF133" s="14">
        <f t="shared" ref="BF133:BF153" si="145">EXP(-1.0587+0.8836*LN(BE133)+0.284)</f>
        <v>3.6292411711343559E-12</v>
      </c>
      <c r="BG133" s="22">
        <f t="shared" si="115"/>
        <v>6.7935256943361388E-12</v>
      </c>
      <c r="BH133" s="60">
        <f t="shared" si="116"/>
        <v>293.33333333334014</v>
      </c>
      <c r="BI133" s="60">
        <f ca="1">AVERAGE(OFFSET($BH$3,0,0,'Données projet'!$E$11+1,1))-AVERAGE(OFFSET($H$3,0,0,'Données projet'!$E$11+1,1))</f>
        <v>238.47463071449789</v>
      </c>
      <c r="BJ133" s="60">
        <f t="shared" ref="BJ133:BJ196" si="146">$BJ$3</f>
        <v>270.92950919803718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0" t="e">
        <f t="shared" si="119"/>
        <v>#N/A</v>
      </c>
      <c r="CD133" s="60" t="e">
        <f ca="1">AVERAGE(OFFSET($CC$3,0,0,'Données projet'!$E$12+1,1))-AVERAGE(OFFSET($H$3,0,0,'Données projet'!$E$12+1,1))</f>
        <v>#N/A</v>
      </c>
      <c r="CE133" s="60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0" t="e">
        <f t="shared" si="122"/>
        <v>#N/A</v>
      </c>
      <c r="CY133" s="60" t="e">
        <f ca="1">AVERAGE(OFFSET($CX$3,0,0,'Données projet'!$E$13+1,1))-AVERAGE(OFFSET($H$3,0,0,'Données projet'!$E$13+1,1))</f>
        <v>#N/A</v>
      </c>
      <c r="CZ133" s="60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0" t="e">
        <f t="shared" si="125"/>
        <v>#N/A</v>
      </c>
      <c r="DT133" s="60" t="e">
        <f ca="1">AVERAGE(OFFSET($DS$3,0,0,'Données projet'!$E$14+1,1))-AVERAGE(OFFSET($H$3,0,0,'Données projet'!$E$14+1,1))</f>
        <v>#N/A</v>
      </c>
      <c r="DU133" s="60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0" t="e">
        <f t="shared" si="128"/>
        <v>#N/A</v>
      </c>
      <c r="EO133" s="60" t="e">
        <f ca="1">AVERAGE(OFFSET($EN$3,0,0,'Données projet'!$E$15+1,1))-AVERAGE(OFFSET($H$3,0,0,'Données projet'!$E$15+1,1))</f>
        <v>#N/A</v>
      </c>
      <c r="EP133" s="60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8">
        <f t="shared" si="110"/>
        <v>434.30097926760288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2.2737367544323206E-13</v>
      </c>
      <c r="O134" s="14">
        <f>N134*VLOOKUP('Données projet'!$B$9,Paramètres!$A$1:$I$89,3,0)*VLOOKUP('Données projet'!$B$9,Paramètres!$A$1:$I$89,5,0)</f>
        <v>1.2710188457276673E-13</v>
      </c>
      <c r="P134" s="14">
        <f t="shared" si="141"/>
        <v>1.856866851063998E-12</v>
      </c>
      <c r="Q134" s="22">
        <f t="shared" si="108"/>
        <v>3.4554122145673649E-12</v>
      </c>
      <c r="R134" s="60">
        <f t="shared" si="109"/>
        <v>293.33333333333678</v>
      </c>
      <c r="S134" s="60">
        <f ca="1">AVERAGE(OFFSET($R$3,0,0,'Données projet'!$E$9+1,1))-AVERAGE(OFFSET($H$3,0,0,'Données projet'!$E$9+1,1))</f>
        <v>256.47911362806866</v>
      </c>
      <c r="T134" s="60">
        <f t="shared" si="142"/>
        <v>230.93438491511529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0.26595342291550944</v>
      </c>
      <c r="AB134" s="23">
        <f>EXP(-LN(2)/2)*AB133+(1-EXP(-LN(2)/2))/(LN(2)/2)*V134*Y134*VLOOKUP('Données projet'!$B$9,Paramètres!$A$1:$I$89,3,0)*0.475*44/12</f>
        <v>1.0124010829613909E-14</v>
      </c>
      <c r="AC134" s="24">
        <f t="shared" si="111"/>
        <v>0.26595342291551954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-3.694822225952521E-13</v>
      </c>
      <c r="AJ134" s="14">
        <f>AI134*VLOOKUP('Données projet'!$B$10,Paramètres!$A$1:$I$89,3,0)*VLOOKUP('Données projet'!$B$10,Paramètres!$A$1:$I$89,5,0)</f>
        <v>-3.2277966965921228E-13</v>
      </c>
      <c r="AK134" s="14" t="e">
        <f t="shared" si="143"/>
        <v>#NUM!</v>
      </c>
      <c r="AL134" s="22" t="e">
        <f t="shared" si="112"/>
        <v>#NUM!</v>
      </c>
      <c r="AM134" s="60" t="e">
        <f t="shared" si="113"/>
        <v>#NUM!</v>
      </c>
      <c r="AN134" s="60">
        <f ca="1">AVERAGE(OFFSET($AM$3,0,0,'Données projet'!$E$10+1,1))-AVERAGE(OFFSET($H$3,0,0,'Données projet'!$E$10+1,1))</f>
        <v>233.41481265653817</v>
      </c>
      <c r="AO134" s="60">
        <f t="shared" si="144"/>
        <v>300.97465452084055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3.4106051316484809E-13</v>
      </c>
      <c r="BE134" s="14">
        <f>BD134*VLOOKUP('Données projet'!$B$11,Paramètres!$A$1:$I$89,3,0)*VLOOKUP('Données projet'!$B$11,Paramètres!$A$1:$I$89,5,0)</f>
        <v>2.7134774427395314E-13</v>
      </c>
      <c r="BF134" s="14">
        <f t="shared" si="145"/>
        <v>3.6292411711343559E-12</v>
      </c>
      <c r="BG134" s="22">
        <f t="shared" si="115"/>
        <v>6.7935256943361388E-12</v>
      </c>
      <c r="BH134" s="60">
        <f t="shared" si="116"/>
        <v>293.33333333334014</v>
      </c>
      <c r="BI134" s="60">
        <f ca="1">AVERAGE(OFFSET($BH$3,0,0,'Données projet'!$E$11+1,1))-AVERAGE(OFFSET($H$3,0,0,'Données projet'!$E$11+1,1))</f>
        <v>238.47463071449789</v>
      </c>
      <c r="BJ134" s="60">
        <f t="shared" si="146"/>
        <v>270.92950919803718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0" t="e">
        <f t="shared" si="119"/>
        <v>#N/A</v>
      </c>
      <c r="CD134" s="60" t="e">
        <f ca="1">AVERAGE(OFFSET($CC$3,0,0,'Données projet'!$E$12+1,1))-AVERAGE(OFFSET($H$3,0,0,'Données projet'!$E$12+1,1))</f>
        <v>#N/A</v>
      </c>
      <c r="CE134" s="60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0" t="e">
        <f t="shared" si="122"/>
        <v>#N/A</v>
      </c>
      <c r="CY134" s="60" t="e">
        <f ca="1">AVERAGE(OFFSET($CX$3,0,0,'Données projet'!$E$13+1,1))-AVERAGE(OFFSET($H$3,0,0,'Données projet'!$E$13+1,1))</f>
        <v>#N/A</v>
      </c>
      <c r="CZ134" s="60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0" t="e">
        <f t="shared" si="125"/>
        <v>#N/A</v>
      </c>
      <c r="DT134" s="60" t="e">
        <f ca="1">AVERAGE(OFFSET($DS$3,0,0,'Données projet'!$E$14+1,1))-AVERAGE(OFFSET($H$3,0,0,'Données projet'!$E$14+1,1))</f>
        <v>#N/A</v>
      </c>
      <c r="DU134" s="60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0" t="e">
        <f t="shared" si="128"/>
        <v>#N/A</v>
      </c>
      <c r="EO134" s="60" t="e">
        <f ca="1">AVERAGE(OFFSET($EN$3,0,0,'Données projet'!$E$15+1,1))-AVERAGE(OFFSET($H$3,0,0,'Données projet'!$E$15+1,1))</f>
        <v>#N/A</v>
      </c>
      <c r="EP134" s="60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8">
        <f t="shared" si="110"/>
        <v>435.34923124871818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2.2737367544323206E-13</v>
      </c>
      <c r="O135" s="14">
        <f>N135*VLOOKUP('Données projet'!$B$9,Paramètres!$A$1:$I$89,3,0)*VLOOKUP('Données projet'!$B$9,Paramètres!$A$1:$I$89,5,0)</f>
        <v>1.2710188457276673E-13</v>
      </c>
      <c r="P135" s="14">
        <f t="shared" si="141"/>
        <v>1.856866851063998E-12</v>
      </c>
      <c r="Q135" s="22">
        <f t="shared" si="108"/>
        <v>3.4554122145673649E-12</v>
      </c>
      <c r="R135" s="60">
        <f t="shared" si="109"/>
        <v>293.33333333333678</v>
      </c>
      <c r="S135" s="60">
        <f ca="1">AVERAGE(OFFSET($R$3,0,0,'Données projet'!$E$9+1,1))-AVERAGE(OFFSET($H$3,0,0,'Données projet'!$E$9+1,1))</f>
        <v>256.47911362806866</v>
      </c>
      <c r="T135" s="60">
        <f t="shared" si="142"/>
        <v>230.93438491511529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0.25868091258000214</v>
      </c>
      <c r="AB135" s="23">
        <f>EXP(-LN(2)/2)*AB134+(1-EXP(-LN(2)/2))/(LN(2)/2)*V135*Y135*VLOOKUP('Données projet'!$B$9,Paramètres!$A$1:$I$89,3,0)*0.475*44/12</f>
        <v>7.1587567104260395E-15</v>
      </c>
      <c r="AC135" s="24">
        <f t="shared" si="111"/>
        <v>0.2586809125800093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-3.694822225952521E-13</v>
      </c>
      <c r="AJ135" s="14">
        <f>AI135*VLOOKUP('Données projet'!$B$10,Paramètres!$A$1:$I$89,3,0)*VLOOKUP('Données projet'!$B$10,Paramètres!$A$1:$I$89,5,0)</f>
        <v>-3.2277966965921228E-13</v>
      </c>
      <c r="AK135" s="14" t="e">
        <f t="shared" si="143"/>
        <v>#NUM!</v>
      </c>
      <c r="AL135" s="22" t="e">
        <f t="shared" si="112"/>
        <v>#NUM!</v>
      </c>
      <c r="AM135" s="60" t="e">
        <f t="shared" si="113"/>
        <v>#NUM!</v>
      </c>
      <c r="AN135" s="60">
        <f ca="1">AVERAGE(OFFSET($AM$3,0,0,'Données projet'!$E$10+1,1))-AVERAGE(OFFSET($H$3,0,0,'Données projet'!$E$10+1,1))</f>
        <v>233.41481265653817</v>
      </c>
      <c r="AO135" s="60">
        <f t="shared" si="144"/>
        <v>300.97465452084055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3.4106051316484809E-13</v>
      </c>
      <c r="BE135" s="14">
        <f>BD135*VLOOKUP('Données projet'!$B$11,Paramètres!$A$1:$I$89,3,0)*VLOOKUP('Données projet'!$B$11,Paramètres!$A$1:$I$89,5,0)</f>
        <v>2.7134774427395314E-13</v>
      </c>
      <c r="BF135" s="14">
        <f t="shared" si="145"/>
        <v>3.6292411711343559E-12</v>
      </c>
      <c r="BG135" s="22">
        <f t="shared" si="115"/>
        <v>6.7935256943361388E-12</v>
      </c>
      <c r="BH135" s="60">
        <f t="shared" si="116"/>
        <v>293.33333333334014</v>
      </c>
      <c r="BI135" s="60">
        <f ca="1">AVERAGE(OFFSET($BH$3,0,0,'Données projet'!$E$11+1,1))-AVERAGE(OFFSET($H$3,0,0,'Données projet'!$E$11+1,1))</f>
        <v>238.47463071449789</v>
      </c>
      <c r="BJ135" s="60">
        <f t="shared" si="146"/>
        <v>270.92950919803718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0" t="e">
        <f t="shared" si="119"/>
        <v>#N/A</v>
      </c>
      <c r="CD135" s="60" t="e">
        <f ca="1">AVERAGE(OFFSET($CC$3,0,0,'Données projet'!$E$12+1,1))-AVERAGE(OFFSET($H$3,0,0,'Données projet'!$E$12+1,1))</f>
        <v>#N/A</v>
      </c>
      <c r="CE135" s="60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0" t="e">
        <f t="shared" si="122"/>
        <v>#N/A</v>
      </c>
      <c r="CY135" s="60" t="e">
        <f ca="1">AVERAGE(OFFSET($CX$3,0,0,'Données projet'!$E$13+1,1))-AVERAGE(OFFSET($H$3,0,0,'Données projet'!$E$13+1,1))</f>
        <v>#N/A</v>
      </c>
      <c r="CZ135" s="60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0" t="e">
        <f t="shared" si="125"/>
        <v>#N/A</v>
      </c>
      <c r="DT135" s="60" t="e">
        <f ca="1">AVERAGE(OFFSET($DS$3,0,0,'Données projet'!$E$14+1,1))-AVERAGE(OFFSET($H$3,0,0,'Données projet'!$E$14+1,1))</f>
        <v>#N/A</v>
      </c>
      <c r="DU135" s="60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0" t="e">
        <f t="shared" si="128"/>
        <v>#N/A</v>
      </c>
      <c r="EO135" s="60" t="e">
        <f ca="1">AVERAGE(OFFSET($EN$3,0,0,'Données projet'!$E$15+1,1))-AVERAGE(OFFSET($H$3,0,0,'Données projet'!$E$15+1,1))</f>
        <v>#N/A</v>
      </c>
      <c r="EP135" s="60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8">
        <f t="shared" si="110"/>
        <v>436.39729767795615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2.2737367544323206E-13</v>
      </c>
      <c r="O136" s="14">
        <f>N136*VLOOKUP('Données projet'!$B$9,Paramètres!$A$1:$I$89,3,0)*VLOOKUP('Données projet'!$B$9,Paramètres!$A$1:$I$89,5,0)</f>
        <v>1.2710188457276673E-13</v>
      </c>
      <c r="P136" s="14">
        <f t="shared" si="141"/>
        <v>1.856866851063998E-12</v>
      </c>
      <c r="Q136" s="22">
        <f t="shared" si="108"/>
        <v>3.4554122145673649E-12</v>
      </c>
      <c r="R136" s="60">
        <f t="shared" si="109"/>
        <v>293.33333333333678</v>
      </c>
      <c r="S136" s="60">
        <f ca="1">AVERAGE(OFFSET($R$3,0,0,'Données projet'!$E$9+1,1))-AVERAGE(OFFSET($H$3,0,0,'Données projet'!$E$9+1,1))</f>
        <v>256.47911362806866</v>
      </c>
      <c r="T136" s="60">
        <f t="shared" si="142"/>
        <v>230.93438491511529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0.25160726942206402</v>
      </c>
      <c r="AB136" s="23">
        <f>EXP(-LN(2)/2)*AB135+(1-EXP(-LN(2)/2))/(LN(2)/2)*V136*Y136*VLOOKUP('Données projet'!$B$9,Paramètres!$A$1:$I$89,3,0)*0.475*44/12</f>
        <v>5.0620054148069543E-15</v>
      </c>
      <c r="AC136" s="24">
        <f t="shared" si="111"/>
        <v>0.25160726942206907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-3.694822225952521E-13</v>
      </c>
      <c r="AJ136" s="14">
        <f>AI136*VLOOKUP('Données projet'!$B$10,Paramètres!$A$1:$I$89,3,0)*VLOOKUP('Données projet'!$B$10,Paramètres!$A$1:$I$89,5,0)</f>
        <v>-3.2277966965921228E-13</v>
      </c>
      <c r="AK136" s="14" t="e">
        <f t="shared" si="143"/>
        <v>#NUM!</v>
      </c>
      <c r="AL136" s="22" t="e">
        <f t="shared" si="112"/>
        <v>#NUM!</v>
      </c>
      <c r="AM136" s="60" t="e">
        <f t="shared" si="113"/>
        <v>#NUM!</v>
      </c>
      <c r="AN136" s="60">
        <f ca="1">AVERAGE(OFFSET($AM$3,0,0,'Données projet'!$E$10+1,1))-AVERAGE(OFFSET($H$3,0,0,'Données projet'!$E$10+1,1))</f>
        <v>233.41481265653817</v>
      </c>
      <c r="AO136" s="60">
        <f t="shared" si="144"/>
        <v>300.97465452084055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3.4106051316484809E-13</v>
      </c>
      <c r="BE136" s="14">
        <f>BD136*VLOOKUP('Données projet'!$B$11,Paramètres!$A$1:$I$89,3,0)*VLOOKUP('Données projet'!$B$11,Paramètres!$A$1:$I$89,5,0)</f>
        <v>2.7134774427395314E-13</v>
      </c>
      <c r="BF136" s="14">
        <f t="shared" si="145"/>
        <v>3.6292411711343559E-12</v>
      </c>
      <c r="BG136" s="22">
        <f t="shared" si="115"/>
        <v>6.7935256943361388E-12</v>
      </c>
      <c r="BH136" s="60">
        <f t="shared" si="116"/>
        <v>293.33333333334014</v>
      </c>
      <c r="BI136" s="60">
        <f ca="1">AVERAGE(OFFSET($BH$3,0,0,'Données projet'!$E$11+1,1))-AVERAGE(OFFSET($H$3,0,0,'Données projet'!$E$11+1,1))</f>
        <v>238.47463071449789</v>
      </c>
      <c r="BJ136" s="60">
        <f t="shared" si="146"/>
        <v>270.92950919803718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0" t="e">
        <f t="shared" si="119"/>
        <v>#N/A</v>
      </c>
      <c r="CD136" s="60" t="e">
        <f ca="1">AVERAGE(OFFSET($CC$3,0,0,'Données projet'!$E$12+1,1))-AVERAGE(OFFSET($H$3,0,0,'Données projet'!$E$12+1,1))</f>
        <v>#N/A</v>
      </c>
      <c r="CE136" s="60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0" t="e">
        <f t="shared" si="122"/>
        <v>#N/A</v>
      </c>
      <c r="CY136" s="60" t="e">
        <f ca="1">AVERAGE(OFFSET($CX$3,0,0,'Données projet'!$E$13+1,1))-AVERAGE(OFFSET($H$3,0,0,'Données projet'!$E$13+1,1))</f>
        <v>#N/A</v>
      </c>
      <c r="CZ136" s="60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0" t="e">
        <f t="shared" si="125"/>
        <v>#N/A</v>
      </c>
      <c r="DT136" s="60" t="e">
        <f ca="1">AVERAGE(OFFSET($DS$3,0,0,'Données projet'!$E$14+1,1))-AVERAGE(OFFSET($H$3,0,0,'Données projet'!$E$14+1,1))</f>
        <v>#N/A</v>
      </c>
      <c r="DU136" s="60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0" t="e">
        <f t="shared" si="128"/>
        <v>#N/A</v>
      </c>
      <c r="EO136" s="60" t="e">
        <f ca="1">AVERAGE(OFFSET($EN$3,0,0,'Données projet'!$E$15+1,1))-AVERAGE(OFFSET($H$3,0,0,'Données projet'!$E$15+1,1))</f>
        <v>#N/A</v>
      </c>
      <c r="EP136" s="60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8">
        <f t="shared" si="110"/>
        <v>437.4451801121844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2.2737367544323206E-13</v>
      </c>
      <c r="O137" s="14">
        <f>N137*VLOOKUP('Données projet'!$B$9,Paramètres!$A$1:$I$89,3,0)*VLOOKUP('Données projet'!$B$9,Paramètres!$A$1:$I$89,5,0)</f>
        <v>1.2710188457276673E-13</v>
      </c>
      <c r="P137" s="14">
        <f t="shared" si="141"/>
        <v>1.856866851063998E-12</v>
      </c>
      <c r="Q137" s="22">
        <f t="shared" si="108"/>
        <v>3.4554122145673649E-12</v>
      </c>
      <c r="R137" s="60">
        <f t="shared" si="109"/>
        <v>293.33333333333678</v>
      </c>
      <c r="S137" s="60">
        <f ca="1">AVERAGE(OFFSET($R$3,0,0,'Données projet'!$E$9+1,1))-AVERAGE(OFFSET($H$3,0,0,'Données projet'!$E$9+1,1))</f>
        <v>256.47911362806866</v>
      </c>
      <c r="T137" s="60">
        <f t="shared" si="142"/>
        <v>230.93438491511529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0.24472705540826645</v>
      </c>
      <c r="AB137" s="23">
        <f>EXP(-LN(2)/2)*AB136+(1-EXP(-LN(2)/2))/(LN(2)/2)*V137*Y137*VLOOKUP('Données projet'!$B$9,Paramètres!$A$1:$I$89,3,0)*0.475*44/12</f>
        <v>3.5793783552130198E-15</v>
      </c>
      <c r="AC137" s="24">
        <f t="shared" si="111"/>
        <v>0.24472705540827003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-3.694822225952521E-13</v>
      </c>
      <c r="AJ137" s="14">
        <f>AI137*VLOOKUP('Données projet'!$B$10,Paramètres!$A$1:$I$89,3,0)*VLOOKUP('Données projet'!$B$10,Paramètres!$A$1:$I$89,5,0)</f>
        <v>-3.2277966965921228E-13</v>
      </c>
      <c r="AK137" s="14" t="e">
        <f t="shared" si="143"/>
        <v>#NUM!</v>
      </c>
      <c r="AL137" s="22" t="e">
        <f t="shared" si="112"/>
        <v>#NUM!</v>
      </c>
      <c r="AM137" s="60" t="e">
        <f t="shared" si="113"/>
        <v>#NUM!</v>
      </c>
      <c r="AN137" s="60">
        <f ca="1">AVERAGE(OFFSET($AM$3,0,0,'Données projet'!$E$10+1,1))-AVERAGE(OFFSET($H$3,0,0,'Données projet'!$E$10+1,1))</f>
        <v>233.41481265653817</v>
      </c>
      <c r="AO137" s="60">
        <f t="shared" si="144"/>
        <v>300.97465452084055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3.4106051316484809E-13</v>
      </c>
      <c r="BE137" s="14">
        <f>BD137*VLOOKUP('Données projet'!$B$11,Paramètres!$A$1:$I$89,3,0)*VLOOKUP('Données projet'!$B$11,Paramètres!$A$1:$I$89,5,0)</f>
        <v>2.7134774427395314E-13</v>
      </c>
      <c r="BF137" s="14">
        <f t="shared" si="145"/>
        <v>3.6292411711343559E-12</v>
      </c>
      <c r="BG137" s="22">
        <f t="shared" si="115"/>
        <v>6.7935256943361388E-12</v>
      </c>
      <c r="BH137" s="60">
        <f t="shared" si="116"/>
        <v>293.33333333334014</v>
      </c>
      <c r="BI137" s="60">
        <f ca="1">AVERAGE(OFFSET($BH$3,0,0,'Données projet'!$E$11+1,1))-AVERAGE(OFFSET($H$3,0,0,'Données projet'!$E$11+1,1))</f>
        <v>238.47463071449789</v>
      </c>
      <c r="BJ137" s="60">
        <f t="shared" si="146"/>
        <v>270.92950919803718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0" t="e">
        <f t="shared" si="119"/>
        <v>#N/A</v>
      </c>
      <c r="CD137" s="60" t="e">
        <f ca="1">AVERAGE(OFFSET($CC$3,0,0,'Données projet'!$E$12+1,1))-AVERAGE(OFFSET($H$3,0,0,'Données projet'!$E$12+1,1))</f>
        <v>#N/A</v>
      </c>
      <c r="CE137" s="60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0" t="e">
        <f t="shared" si="122"/>
        <v>#N/A</v>
      </c>
      <c r="CY137" s="60" t="e">
        <f ca="1">AVERAGE(OFFSET($CX$3,0,0,'Données projet'!$E$13+1,1))-AVERAGE(OFFSET($H$3,0,0,'Données projet'!$E$13+1,1))</f>
        <v>#N/A</v>
      </c>
      <c r="CZ137" s="60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0" t="e">
        <f t="shared" si="125"/>
        <v>#N/A</v>
      </c>
      <c r="DT137" s="60" t="e">
        <f ca="1">AVERAGE(OFFSET($DS$3,0,0,'Données projet'!$E$14+1,1))-AVERAGE(OFFSET($H$3,0,0,'Données projet'!$E$14+1,1))</f>
        <v>#N/A</v>
      </c>
      <c r="DU137" s="60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0" t="e">
        <f t="shared" si="128"/>
        <v>#N/A</v>
      </c>
      <c r="EO137" s="60" t="e">
        <f ca="1">AVERAGE(OFFSET($EN$3,0,0,'Données projet'!$E$15+1,1))-AVERAGE(OFFSET($H$3,0,0,'Données projet'!$E$15+1,1))</f>
        <v>#N/A</v>
      </c>
      <c r="EP137" s="60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8">
        <f t="shared" si="110"/>
        <v>438.49288008369155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2.2737367544323206E-13</v>
      </c>
      <c r="O138" s="14">
        <f>N138*VLOOKUP('Données projet'!$B$9,Paramètres!$A$1:$I$89,3,0)*VLOOKUP('Données projet'!$B$9,Paramètres!$A$1:$I$89,5,0)</f>
        <v>1.2710188457276673E-13</v>
      </c>
      <c r="P138" s="14">
        <f t="shared" si="141"/>
        <v>1.856866851063998E-12</v>
      </c>
      <c r="Q138" s="22">
        <f t="shared" si="108"/>
        <v>3.4554122145673649E-12</v>
      </c>
      <c r="R138" s="60">
        <f t="shared" si="109"/>
        <v>293.33333333333678</v>
      </c>
      <c r="S138" s="60">
        <f ca="1">AVERAGE(OFFSET($R$3,0,0,'Données projet'!$E$9+1,1))-AVERAGE(OFFSET($H$3,0,0,'Données projet'!$E$9+1,1))</f>
        <v>256.47911362806866</v>
      </c>
      <c r="T138" s="60">
        <f t="shared" si="142"/>
        <v>230.93438491511529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0.2380349812084909</v>
      </c>
      <c r="AB138" s="23">
        <f>EXP(-LN(2)/2)*AB137+(1-EXP(-LN(2)/2))/(LN(2)/2)*V138*Y138*VLOOKUP('Données projet'!$B$9,Paramètres!$A$1:$I$89,3,0)*0.475*44/12</f>
        <v>2.5310027074034772E-15</v>
      </c>
      <c r="AC138" s="24">
        <f t="shared" si="111"/>
        <v>0.23803498120849342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-3.694822225952521E-13</v>
      </c>
      <c r="AJ138" s="14">
        <f>AI138*VLOOKUP('Données projet'!$B$10,Paramètres!$A$1:$I$89,3,0)*VLOOKUP('Données projet'!$B$10,Paramètres!$A$1:$I$89,5,0)</f>
        <v>-3.2277966965921228E-13</v>
      </c>
      <c r="AK138" s="14" t="e">
        <f t="shared" si="143"/>
        <v>#NUM!</v>
      </c>
      <c r="AL138" s="22" t="e">
        <f t="shared" si="112"/>
        <v>#NUM!</v>
      </c>
      <c r="AM138" s="60" t="e">
        <f t="shared" si="113"/>
        <v>#NUM!</v>
      </c>
      <c r="AN138" s="60">
        <f ca="1">AVERAGE(OFFSET($AM$3,0,0,'Données projet'!$E$10+1,1))-AVERAGE(OFFSET($H$3,0,0,'Données projet'!$E$10+1,1))</f>
        <v>233.41481265653817</v>
      </c>
      <c r="AO138" s="60">
        <f t="shared" si="144"/>
        <v>300.97465452084055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3.4106051316484809E-13</v>
      </c>
      <c r="BE138" s="14">
        <f>BD138*VLOOKUP('Données projet'!$B$11,Paramètres!$A$1:$I$89,3,0)*VLOOKUP('Données projet'!$B$11,Paramètres!$A$1:$I$89,5,0)</f>
        <v>2.7134774427395314E-13</v>
      </c>
      <c r="BF138" s="14">
        <f t="shared" si="145"/>
        <v>3.6292411711343559E-12</v>
      </c>
      <c r="BG138" s="22">
        <f t="shared" si="115"/>
        <v>6.7935256943361388E-12</v>
      </c>
      <c r="BH138" s="60">
        <f t="shared" si="116"/>
        <v>293.33333333334014</v>
      </c>
      <c r="BI138" s="60">
        <f ca="1">AVERAGE(OFFSET($BH$3,0,0,'Données projet'!$E$11+1,1))-AVERAGE(OFFSET($H$3,0,0,'Données projet'!$E$11+1,1))</f>
        <v>238.47463071449789</v>
      </c>
      <c r="BJ138" s="60">
        <f t="shared" si="146"/>
        <v>270.92950919803718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0" t="e">
        <f t="shared" si="119"/>
        <v>#N/A</v>
      </c>
      <c r="CD138" s="60" t="e">
        <f ca="1">AVERAGE(OFFSET($CC$3,0,0,'Données projet'!$E$12+1,1))-AVERAGE(OFFSET($H$3,0,0,'Données projet'!$E$12+1,1))</f>
        <v>#N/A</v>
      </c>
      <c r="CE138" s="60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0" t="e">
        <f t="shared" si="122"/>
        <v>#N/A</v>
      </c>
      <c r="CY138" s="60" t="e">
        <f ca="1">AVERAGE(OFFSET($CX$3,0,0,'Données projet'!$E$13+1,1))-AVERAGE(OFFSET($H$3,0,0,'Données projet'!$E$13+1,1))</f>
        <v>#N/A</v>
      </c>
      <c r="CZ138" s="60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0" t="e">
        <f t="shared" si="125"/>
        <v>#N/A</v>
      </c>
      <c r="DT138" s="60" t="e">
        <f ca="1">AVERAGE(OFFSET($DS$3,0,0,'Données projet'!$E$14+1,1))-AVERAGE(OFFSET($H$3,0,0,'Données projet'!$E$14+1,1))</f>
        <v>#N/A</v>
      </c>
      <c r="DU138" s="60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0" t="e">
        <f t="shared" si="128"/>
        <v>#N/A</v>
      </c>
      <c r="EO138" s="60" t="e">
        <f ca="1">AVERAGE(OFFSET($EN$3,0,0,'Données projet'!$E$15+1,1))-AVERAGE(OFFSET($H$3,0,0,'Données projet'!$E$15+1,1))</f>
        <v>#N/A</v>
      </c>
      <c r="EP138" s="60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8">
        <f t="shared" si="110"/>
        <v>439.54039910075409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2.2737367544323206E-13</v>
      </c>
      <c r="O139" s="14">
        <f>N139*VLOOKUP('Données projet'!$B$9,Paramètres!$A$1:$I$89,3,0)*VLOOKUP('Données projet'!$B$9,Paramètres!$A$1:$I$89,5,0)</f>
        <v>1.2710188457276673E-13</v>
      </c>
      <c r="P139" s="14">
        <f t="shared" si="141"/>
        <v>1.856866851063998E-12</v>
      </c>
      <c r="Q139" s="22">
        <f t="shared" si="108"/>
        <v>3.4554122145673649E-12</v>
      </c>
      <c r="R139" s="60">
        <f t="shared" si="109"/>
        <v>293.33333333333678</v>
      </c>
      <c r="S139" s="60">
        <f ca="1">AVERAGE(OFFSET($R$3,0,0,'Données projet'!$E$9+1,1))-AVERAGE(OFFSET($H$3,0,0,'Données projet'!$E$9+1,1))</f>
        <v>256.47911362806866</v>
      </c>
      <c r="T139" s="60">
        <f t="shared" si="142"/>
        <v>230.93438491511529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0.23152590212962909</v>
      </c>
      <c r="AB139" s="23">
        <f>EXP(-LN(2)/2)*AB138+(1-EXP(-LN(2)/2))/(LN(2)/2)*V139*Y139*VLOOKUP('Données projet'!$B$9,Paramètres!$A$1:$I$89,3,0)*0.475*44/12</f>
        <v>1.7896891776065099E-15</v>
      </c>
      <c r="AC139" s="24">
        <f t="shared" si="111"/>
        <v>0.23152590212963087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-3.694822225952521E-13</v>
      </c>
      <c r="AJ139" s="14">
        <f>AI139*VLOOKUP('Données projet'!$B$10,Paramètres!$A$1:$I$89,3,0)*VLOOKUP('Données projet'!$B$10,Paramètres!$A$1:$I$89,5,0)</f>
        <v>-3.2277966965921228E-13</v>
      </c>
      <c r="AK139" s="14" t="e">
        <f t="shared" si="143"/>
        <v>#NUM!</v>
      </c>
      <c r="AL139" s="22" t="e">
        <f t="shared" si="112"/>
        <v>#NUM!</v>
      </c>
      <c r="AM139" s="60" t="e">
        <f t="shared" si="113"/>
        <v>#NUM!</v>
      </c>
      <c r="AN139" s="60">
        <f ca="1">AVERAGE(OFFSET($AM$3,0,0,'Données projet'!$E$10+1,1))-AVERAGE(OFFSET($H$3,0,0,'Données projet'!$E$10+1,1))</f>
        <v>233.41481265653817</v>
      </c>
      <c r="AO139" s="60">
        <f t="shared" si="144"/>
        <v>300.97465452084055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3.4106051316484809E-13</v>
      </c>
      <c r="BE139" s="14">
        <f>BD139*VLOOKUP('Données projet'!$B$11,Paramètres!$A$1:$I$89,3,0)*VLOOKUP('Données projet'!$B$11,Paramètres!$A$1:$I$89,5,0)</f>
        <v>2.7134774427395314E-13</v>
      </c>
      <c r="BF139" s="14">
        <f t="shared" si="145"/>
        <v>3.6292411711343559E-12</v>
      </c>
      <c r="BG139" s="22">
        <f t="shared" si="115"/>
        <v>6.7935256943361388E-12</v>
      </c>
      <c r="BH139" s="60">
        <f t="shared" si="116"/>
        <v>293.33333333334014</v>
      </c>
      <c r="BI139" s="60">
        <f ca="1">AVERAGE(OFFSET($BH$3,0,0,'Données projet'!$E$11+1,1))-AVERAGE(OFFSET($H$3,0,0,'Données projet'!$E$11+1,1))</f>
        <v>238.47463071449789</v>
      </c>
      <c r="BJ139" s="60">
        <f t="shared" si="146"/>
        <v>270.92950919803718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0" t="e">
        <f t="shared" si="119"/>
        <v>#N/A</v>
      </c>
      <c r="CD139" s="60" t="e">
        <f ca="1">AVERAGE(OFFSET($CC$3,0,0,'Données projet'!$E$12+1,1))-AVERAGE(OFFSET($H$3,0,0,'Données projet'!$E$12+1,1))</f>
        <v>#N/A</v>
      </c>
      <c r="CE139" s="60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0" t="e">
        <f t="shared" si="122"/>
        <v>#N/A</v>
      </c>
      <c r="CY139" s="60" t="e">
        <f ca="1">AVERAGE(OFFSET($CX$3,0,0,'Données projet'!$E$13+1,1))-AVERAGE(OFFSET($H$3,0,0,'Données projet'!$E$13+1,1))</f>
        <v>#N/A</v>
      </c>
      <c r="CZ139" s="60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0" t="e">
        <f t="shared" si="125"/>
        <v>#N/A</v>
      </c>
      <c r="DT139" s="60" t="e">
        <f ca="1">AVERAGE(OFFSET($DS$3,0,0,'Données projet'!$E$14+1,1))-AVERAGE(OFFSET($H$3,0,0,'Données projet'!$E$14+1,1))</f>
        <v>#N/A</v>
      </c>
      <c r="DU139" s="60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0" t="e">
        <f t="shared" si="128"/>
        <v>#N/A</v>
      </c>
      <c r="EO139" s="60" t="e">
        <f ca="1">AVERAGE(OFFSET($EN$3,0,0,'Données projet'!$E$15+1,1))-AVERAGE(OFFSET($H$3,0,0,'Données projet'!$E$15+1,1))</f>
        <v>#N/A</v>
      </c>
      <c r="EP139" s="60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8">
        <f t="shared" si="110"/>
        <v>440.58773864818636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2.2737367544323206E-13</v>
      </c>
      <c r="O140" s="14">
        <f>N140*VLOOKUP('Données projet'!$B$9,Paramètres!$A$1:$I$89,3,0)*VLOOKUP('Données projet'!$B$9,Paramètres!$A$1:$I$89,5,0)</f>
        <v>1.2710188457276673E-13</v>
      </c>
      <c r="P140" s="14">
        <f t="shared" si="141"/>
        <v>1.856866851063998E-12</v>
      </c>
      <c r="Q140" s="22">
        <f t="shared" si="108"/>
        <v>3.4554122145673649E-12</v>
      </c>
      <c r="R140" s="60">
        <f t="shared" si="109"/>
        <v>293.33333333333678</v>
      </c>
      <c r="S140" s="60">
        <f ca="1">AVERAGE(OFFSET($R$3,0,0,'Données projet'!$E$9+1,1))-AVERAGE(OFFSET($H$3,0,0,'Données projet'!$E$9+1,1))</f>
        <v>256.47911362806866</v>
      </c>
      <c r="T140" s="60">
        <f t="shared" si="142"/>
        <v>230.93438491511529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0.22519481416047635</v>
      </c>
      <c r="AB140" s="23">
        <f>EXP(-LN(2)/2)*AB139+(1-EXP(-LN(2)/2))/(LN(2)/2)*V140*Y140*VLOOKUP('Données projet'!$B$9,Paramètres!$A$1:$I$89,3,0)*0.475*44/12</f>
        <v>1.2655013537017386E-15</v>
      </c>
      <c r="AC140" s="24">
        <f t="shared" si="111"/>
        <v>0.22519481416047762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-3.694822225952521E-13</v>
      </c>
      <c r="AJ140" s="14">
        <f>AI140*VLOOKUP('Données projet'!$B$10,Paramètres!$A$1:$I$89,3,0)*VLOOKUP('Données projet'!$B$10,Paramètres!$A$1:$I$89,5,0)</f>
        <v>-3.2277966965921228E-13</v>
      </c>
      <c r="AK140" s="14" t="e">
        <f t="shared" si="143"/>
        <v>#NUM!</v>
      </c>
      <c r="AL140" s="22" t="e">
        <f t="shared" si="112"/>
        <v>#NUM!</v>
      </c>
      <c r="AM140" s="60" t="e">
        <f t="shared" si="113"/>
        <v>#NUM!</v>
      </c>
      <c r="AN140" s="60">
        <f ca="1">AVERAGE(OFFSET($AM$3,0,0,'Données projet'!$E$10+1,1))-AVERAGE(OFFSET($H$3,0,0,'Données projet'!$E$10+1,1))</f>
        <v>233.41481265653817</v>
      </c>
      <c r="AO140" s="60">
        <f t="shared" si="144"/>
        <v>300.97465452084055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3.4106051316484809E-13</v>
      </c>
      <c r="BE140" s="14">
        <f>BD140*VLOOKUP('Données projet'!$B$11,Paramètres!$A$1:$I$89,3,0)*VLOOKUP('Données projet'!$B$11,Paramètres!$A$1:$I$89,5,0)</f>
        <v>2.7134774427395314E-13</v>
      </c>
      <c r="BF140" s="14">
        <f t="shared" si="145"/>
        <v>3.6292411711343559E-12</v>
      </c>
      <c r="BG140" s="22">
        <f t="shared" si="115"/>
        <v>6.7935256943361388E-12</v>
      </c>
      <c r="BH140" s="60">
        <f t="shared" si="116"/>
        <v>293.33333333334014</v>
      </c>
      <c r="BI140" s="60">
        <f ca="1">AVERAGE(OFFSET($BH$3,0,0,'Données projet'!$E$11+1,1))-AVERAGE(OFFSET($H$3,0,0,'Données projet'!$E$11+1,1))</f>
        <v>238.47463071449789</v>
      </c>
      <c r="BJ140" s="60">
        <f t="shared" si="146"/>
        <v>270.92950919803718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0" t="e">
        <f t="shared" si="119"/>
        <v>#N/A</v>
      </c>
      <c r="CD140" s="60" t="e">
        <f ca="1">AVERAGE(OFFSET($CC$3,0,0,'Données projet'!$E$12+1,1))-AVERAGE(OFFSET($H$3,0,0,'Données projet'!$E$12+1,1))</f>
        <v>#N/A</v>
      </c>
      <c r="CE140" s="60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0" t="e">
        <f t="shared" si="122"/>
        <v>#N/A</v>
      </c>
      <c r="CY140" s="60" t="e">
        <f ca="1">AVERAGE(OFFSET($CX$3,0,0,'Données projet'!$E$13+1,1))-AVERAGE(OFFSET($H$3,0,0,'Données projet'!$E$13+1,1))</f>
        <v>#N/A</v>
      </c>
      <c r="CZ140" s="60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0" t="e">
        <f t="shared" si="125"/>
        <v>#N/A</v>
      </c>
      <c r="DT140" s="60" t="e">
        <f ca="1">AVERAGE(OFFSET($DS$3,0,0,'Données projet'!$E$14+1,1))-AVERAGE(OFFSET($H$3,0,0,'Données projet'!$E$14+1,1))</f>
        <v>#N/A</v>
      </c>
      <c r="DU140" s="60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0" t="e">
        <f t="shared" si="128"/>
        <v>#N/A</v>
      </c>
      <c r="EO140" s="60" t="e">
        <f ca="1">AVERAGE(OFFSET($EN$3,0,0,'Données projet'!$E$15+1,1))-AVERAGE(OFFSET($H$3,0,0,'Données projet'!$E$15+1,1))</f>
        <v>#N/A</v>
      </c>
      <c r="EP140" s="60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8">
        <f t="shared" si="110"/>
        <v>441.63490018787445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2.2737367544323206E-13</v>
      </c>
      <c r="O141" s="14">
        <f>N141*VLOOKUP('Données projet'!$B$9,Paramètres!$A$1:$I$89,3,0)*VLOOKUP('Données projet'!$B$9,Paramètres!$A$1:$I$89,5,0)</f>
        <v>1.2710188457276673E-13</v>
      </c>
      <c r="P141" s="14">
        <f t="shared" si="141"/>
        <v>1.856866851063998E-12</v>
      </c>
      <c r="Q141" s="22">
        <f t="shared" si="108"/>
        <v>3.4554122145673649E-12</v>
      </c>
      <c r="R141" s="60">
        <f t="shared" si="109"/>
        <v>293.33333333333678</v>
      </c>
      <c r="S141" s="60">
        <f ca="1">AVERAGE(OFFSET($R$3,0,0,'Données projet'!$E$9+1,1))-AVERAGE(OFFSET($H$3,0,0,'Données projet'!$E$9+1,1))</f>
        <v>256.47911362806866</v>
      </c>
      <c r="T141" s="60">
        <f t="shared" si="142"/>
        <v>230.93438491511529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0.21903685012477753</v>
      </c>
      <c r="AB141" s="23">
        <f>EXP(-LN(2)/2)*AB140+(1-EXP(-LN(2)/2))/(LN(2)/2)*V141*Y141*VLOOKUP('Données projet'!$B$9,Paramètres!$A$1:$I$89,3,0)*0.475*44/12</f>
        <v>8.9484458880325494E-16</v>
      </c>
      <c r="AC141" s="24">
        <f t="shared" si="111"/>
        <v>0.21903685012477841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-3.694822225952521E-13</v>
      </c>
      <c r="AJ141" s="14">
        <f>AI141*VLOOKUP('Données projet'!$B$10,Paramètres!$A$1:$I$89,3,0)*VLOOKUP('Données projet'!$B$10,Paramètres!$A$1:$I$89,5,0)</f>
        <v>-3.2277966965921228E-13</v>
      </c>
      <c r="AK141" s="14" t="e">
        <f t="shared" si="143"/>
        <v>#NUM!</v>
      </c>
      <c r="AL141" s="22" t="e">
        <f t="shared" si="112"/>
        <v>#NUM!</v>
      </c>
      <c r="AM141" s="60" t="e">
        <f t="shared" si="113"/>
        <v>#NUM!</v>
      </c>
      <c r="AN141" s="60">
        <f ca="1">AVERAGE(OFFSET($AM$3,0,0,'Données projet'!$E$10+1,1))-AVERAGE(OFFSET($H$3,0,0,'Données projet'!$E$10+1,1))</f>
        <v>233.41481265653817</v>
      </c>
      <c r="AO141" s="60">
        <f t="shared" si="144"/>
        <v>300.97465452084055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3.4106051316484809E-13</v>
      </c>
      <c r="BE141" s="14">
        <f>BD141*VLOOKUP('Données projet'!$B$11,Paramètres!$A$1:$I$89,3,0)*VLOOKUP('Données projet'!$B$11,Paramètres!$A$1:$I$89,5,0)</f>
        <v>2.7134774427395314E-13</v>
      </c>
      <c r="BF141" s="14">
        <f t="shared" si="145"/>
        <v>3.6292411711343559E-12</v>
      </c>
      <c r="BG141" s="22">
        <f t="shared" si="115"/>
        <v>6.7935256943361388E-12</v>
      </c>
      <c r="BH141" s="60">
        <f t="shared" si="116"/>
        <v>293.33333333334014</v>
      </c>
      <c r="BI141" s="60">
        <f ca="1">AVERAGE(OFFSET($BH$3,0,0,'Données projet'!$E$11+1,1))-AVERAGE(OFFSET($H$3,0,0,'Données projet'!$E$11+1,1))</f>
        <v>238.47463071449789</v>
      </c>
      <c r="BJ141" s="60">
        <f t="shared" si="146"/>
        <v>270.92950919803718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0" t="e">
        <f t="shared" si="119"/>
        <v>#N/A</v>
      </c>
      <c r="CD141" s="60" t="e">
        <f ca="1">AVERAGE(OFFSET($CC$3,0,0,'Données projet'!$E$12+1,1))-AVERAGE(OFFSET($H$3,0,0,'Données projet'!$E$12+1,1))</f>
        <v>#N/A</v>
      </c>
      <c r="CE141" s="60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0" t="e">
        <f t="shared" si="122"/>
        <v>#N/A</v>
      </c>
      <c r="CY141" s="60" t="e">
        <f ca="1">AVERAGE(OFFSET($CX$3,0,0,'Données projet'!$E$13+1,1))-AVERAGE(OFFSET($H$3,0,0,'Données projet'!$E$13+1,1))</f>
        <v>#N/A</v>
      </c>
      <c r="CZ141" s="60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0" t="e">
        <f t="shared" si="125"/>
        <v>#N/A</v>
      </c>
      <c r="DT141" s="60" t="e">
        <f ca="1">AVERAGE(OFFSET($DS$3,0,0,'Données projet'!$E$14+1,1))-AVERAGE(OFFSET($H$3,0,0,'Données projet'!$E$14+1,1))</f>
        <v>#N/A</v>
      </c>
      <c r="DU141" s="60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0" t="e">
        <f t="shared" si="128"/>
        <v>#N/A</v>
      </c>
      <c r="EO141" s="60" t="e">
        <f ca="1">AVERAGE(OFFSET($EN$3,0,0,'Données projet'!$E$15+1,1))-AVERAGE(OFFSET($H$3,0,0,'Données projet'!$E$15+1,1))</f>
        <v>#N/A</v>
      </c>
      <c r="EP141" s="60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8">
        <f t="shared" si="110"/>
        <v>442.68188515929319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2.2737367544323206E-13</v>
      </c>
      <c r="O142" s="14">
        <f>N142*VLOOKUP('Données projet'!$B$9,Paramètres!$A$1:$I$89,3,0)*VLOOKUP('Données projet'!$B$9,Paramètres!$A$1:$I$89,5,0)</f>
        <v>1.2710188457276673E-13</v>
      </c>
      <c r="P142" s="14">
        <f t="shared" si="141"/>
        <v>1.856866851063998E-12</v>
      </c>
      <c r="Q142" s="22">
        <f t="shared" si="108"/>
        <v>3.4554122145673649E-12</v>
      </c>
      <c r="R142" s="60">
        <f t="shared" si="109"/>
        <v>293.33333333333678</v>
      </c>
      <c r="S142" s="60">
        <f ca="1">AVERAGE(OFFSET($R$3,0,0,'Données projet'!$E$9+1,1))-AVERAGE(OFFSET($H$3,0,0,'Données projet'!$E$9+1,1))</f>
        <v>256.47911362806866</v>
      </c>
      <c r="T142" s="60">
        <f t="shared" si="142"/>
        <v>230.93438491511529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0.21304727593946815</v>
      </c>
      <c r="AB142" s="23">
        <f>EXP(-LN(2)/2)*AB141+(1-EXP(-LN(2)/2))/(LN(2)/2)*V142*Y142*VLOOKUP('Données projet'!$B$9,Paramètres!$A$1:$I$89,3,0)*0.475*44/12</f>
        <v>6.3275067685086929E-16</v>
      </c>
      <c r="AC142" s="24">
        <f t="shared" si="111"/>
        <v>0.21304727593946879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-3.694822225952521E-13</v>
      </c>
      <c r="AJ142" s="14">
        <f>AI142*VLOOKUP('Données projet'!$B$10,Paramètres!$A$1:$I$89,3,0)*VLOOKUP('Données projet'!$B$10,Paramètres!$A$1:$I$89,5,0)</f>
        <v>-3.2277966965921228E-13</v>
      </c>
      <c r="AK142" s="14" t="e">
        <f t="shared" si="143"/>
        <v>#NUM!</v>
      </c>
      <c r="AL142" s="22" t="e">
        <f t="shared" si="112"/>
        <v>#NUM!</v>
      </c>
      <c r="AM142" s="60" t="e">
        <f t="shared" si="113"/>
        <v>#NUM!</v>
      </c>
      <c r="AN142" s="60">
        <f ca="1">AVERAGE(OFFSET($AM$3,0,0,'Données projet'!$E$10+1,1))-AVERAGE(OFFSET($H$3,0,0,'Données projet'!$E$10+1,1))</f>
        <v>233.41481265653817</v>
      </c>
      <c r="AO142" s="60">
        <f t="shared" si="144"/>
        <v>300.97465452084055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3.4106051316484809E-13</v>
      </c>
      <c r="BE142" s="14">
        <f>BD142*VLOOKUP('Données projet'!$B$11,Paramètres!$A$1:$I$89,3,0)*VLOOKUP('Données projet'!$B$11,Paramètres!$A$1:$I$89,5,0)</f>
        <v>2.7134774427395314E-13</v>
      </c>
      <c r="BF142" s="14">
        <f t="shared" si="145"/>
        <v>3.6292411711343559E-12</v>
      </c>
      <c r="BG142" s="22">
        <f t="shared" si="115"/>
        <v>6.7935256943361388E-12</v>
      </c>
      <c r="BH142" s="60">
        <f t="shared" si="116"/>
        <v>293.33333333334014</v>
      </c>
      <c r="BI142" s="60">
        <f ca="1">AVERAGE(OFFSET($BH$3,0,0,'Données projet'!$E$11+1,1))-AVERAGE(OFFSET($H$3,0,0,'Données projet'!$E$11+1,1))</f>
        <v>238.47463071449789</v>
      </c>
      <c r="BJ142" s="60">
        <f t="shared" si="146"/>
        <v>270.92950919803718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0" t="e">
        <f t="shared" si="119"/>
        <v>#N/A</v>
      </c>
      <c r="CD142" s="60" t="e">
        <f ca="1">AVERAGE(OFFSET($CC$3,0,0,'Données projet'!$E$12+1,1))-AVERAGE(OFFSET($H$3,0,0,'Données projet'!$E$12+1,1))</f>
        <v>#N/A</v>
      </c>
      <c r="CE142" s="60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0" t="e">
        <f t="shared" si="122"/>
        <v>#N/A</v>
      </c>
      <c r="CY142" s="60" t="e">
        <f ca="1">AVERAGE(OFFSET($CX$3,0,0,'Données projet'!$E$13+1,1))-AVERAGE(OFFSET($H$3,0,0,'Données projet'!$E$13+1,1))</f>
        <v>#N/A</v>
      </c>
      <c r="CZ142" s="60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0" t="e">
        <f t="shared" si="125"/>
        <v>#N/A</v>
      </c>
      <c r="DT142" s="60" t="e">
        <f ca="1">AVERAGE(OFFSET($DS$3,0,0,'Données projet'!$E$14+1,1))-AVERAGE(OFFSET($H$3,0,0,'Données projet'!$E$14+1,1))</f>
        <v>#N/A</v>
      </c>
      <c r="DU142" s="60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0" t="e">
        <f t="shared" si="128"/>
        <v>#N/A</v>
      </c>
      <c r="EO142" s="60" t="e">
        <f ca="1">AVERAGE(OFFSET($EN$3,0,0,'Données projet'!$E$15+1,1))-AVERAGE(OFFSET($H$3,0,0,'Données projet'!$E$15+1,1))</f>
        <v>#N/A</v>
      </c>
      <c r="EP142" s="60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8">
        <f t="shared" si="110"/>
        <v>443.72869498000898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2.2737367544323206E-13</v>
      </c>
      <c r="O143" s="14">
        <f>N143*VLOOKUP('Données projet'!$B$9,Paramètres!$A$1:$I$89,3,0)*VLOOKUP('Données projet'!$B$9,Paramètres!$A$1:$I$89,5,0)</f>
        <v>1.2710188457276673E-13</v>
      </c>
      <c r="P143" s="14">
        <f t="shared" si="141"/>
        <v>1.856866851063998E-12</v>
      </c>
      <c r="Q143" s="22">
        <f t="shared" si="108"/>
        <v>3.4554122145673649E-12</v>
      </c>
      <c r="R143" s="60">
        <f t="shared" si="109"/>
        <v>293.33333333333678</v>
      </c>
      <c r="S143" s="60">
        <f ca="1">AVERAGE(OFFSET($R$3,0,0,'Données projet'!$E$9+1,1))-AVERAGE(OFFSET($H$3,0,0,'Données projet'!$E$9+1,1))</f>
        <v>256.47911362806866</v>
      </c>
      <c r="T143" s="60">
        <f t="shared" si="142"/>
        <v>230.93438491511529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0.20722148697523407</v>
      </c>
      <c r="AB143" s="23">
        <f>EXP(-LN(2)/2)*AB142+(1-EXP(-LN(2)/2))/(LN(2)/2)*V143*Y143*VLOOKUP('Données projet'!$B$9,Paramètres!$A$1:$I$89,3,0)*0.475*44/12</f>
        <v>4.4742229440162747E-16</v>
      </c>
      <c r="AC143" s="24">
        <f t="shared" si="111"/>
        <v>0.20722148697523451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-3.694822225952521E-13</v>
      </c>
      <c r="AJ143" s="14">
        <f>AI143*VLOOKUP('Données projet'!$B$10,Paramètres!$A$1:$I$89,3,0)*VLOOKUP('Données projet'!$B$10,Paramètres!$A$1:$I$89,5,0)</f>
        <v>-3.2277966965921228E-13</v>
      </c>
      <c r="AK143" s="14" t="e">
        <f t="shared" si="143"/>
        <v>#NUM!</v>
      </c>
      <c r="AL143" s="22" t="e">
        <f t="shared" si="112"/>
        <v>#NUM!</v>
      </c>
      <c r="AM143" s="60" t="e">
        <f t="shared" si="113"/>
        <v>#NUM!</v>
      </c>
      <c r="AN143" s="60">
        <f ca="1">AVERAGE(OFFSET($AM$3,0,0,'Données projet'!$E$10+1,1))-AVERAGE(OFFSET($H$3,0,0,'Données projet'!$E$10+1,1))</f>
        <v>233.41481265653817</v>
      </c>
      <c r="AO143" s="60">
        <f t="shared" si="144"/>
        <v>300.97465452084055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3.4106051316484809E-13</v>
      </c>
      <c r="BE143" s="14">
        <f>BD143*VLOOKUP('Données projet'!$B$11,Paramètres!$A$1:$I$89,3,0)*VLOOKUP('Données projet'!$B$11,Paramètres!$A$1:$I$89,5,0)</f>
        <v>2.7134774427395314E-13</v>
      </c>
      <c r="BF143" s="14">
        <f t="shared" si="145"/>
        <v>3.6292411711343559E-12</v>
      </c>
      <c r="BG143" s="22">
        <f t="shared" si="115"/>
        <v>6.7935256943361388E-12</v>
      </c>
      <c r="BH143" s="60">
        <f t="shared" si="116"/>
        <v>293.33333333334014</v>
      </c>
      <c r="BI143" s="60">
        <f ca="1">AVERAGE(OFFSET($BH$3,0,0,'Données projet'!$E$11+1,1))-AVERAGE(OFFSET($H$3,0,0,'Données projet'!$E$11+1,1))</f>
        <v>238.47463071449789</v>
      </c>
      <c r="BJ143" s="60">
        <f t="shared" si="146"/>
        <v>270.92950919803718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0" t="e">
        <f t="shared" si="119"/>
        <v>#N/A</v>
      </c>
      <c r="CD143" s="60" t="e">
        <f ca="1">AVERAGE(OFFSET($CC$3,0,0,'Données projet'!$E$12+1,1))-AVERAGE(OFFSET($H$3,0,0,'Données projet'!$E$12+1,1))</f>
        <v>#N/A</v>
      </c>
      <c r="CE143" s="60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0" t="e">
        <f t="shared" si="122"/>
        <v>#N/A</v>
      </c>
      <c r="CY143" s="60" t="e">
        <f ca="1">AVERAGE(OFFSET($CX$3,0,0,'Données projet'!$E$13+1,1))-AVERAGE(OFFSET($H$3,0,0,'Données projet'!$E$13+1,1))</f>
        <v>#N/A</v>
      </c>
      <c r="CZ143" s="60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0" t="e">
        <f t="shared" si="125"/>
        <v>#N/A</v>
      </c>
      <c r="DT143" s="60" t="e">
        <f ca="1">AVERAGE(OFFSET($DS$3,0,0,'Données projet'!$E$14+1,1))-AVERAGE(OFFSET($H$3,0,0,'Données projet'!$E$14+1,1))</f>
        <v>#N/A</v>
      </c>
      <c r="DU143" s="60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0" t="e">
        <f t="shared" si="128"/>
        <v>#N/A</v>
      </c>
      <c r="EO143" s="60" t="e">
        <f ca="1">AVERAGE(OFFSET($EN$3,0,0,'Données projet'!$E$15+1,1))-AVERAGE(OFFSET($H$3,0,0,'Données projet'!$E$15+1,1))</f>
        <v>#N/A</v>
      </c>
      <c r="EP143" s="60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8">
        <f t="shared" si="110"/>
        <v>444.7753310461668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2.2737367544323206E-13</v>
      </c>
      <c r="O144" s="14">
        <f>N144*VLOOKUP('Données projet'!$B$9,Paramètres!$A$1:$I$89,3,0)*VLOOKUP('Données projet'!$B$9,Paramètres!$A$1:$I$89,5,0)</f>
        <v>1.2710188457276673E-13</v>
      </c>
      <c r="P144" s="14">
        <f t="shared" si="141"/>
        <v>1.856866851063998E-12</v>
      </c>
      <c r="Q144" s="22">
        <f t="shared" si="108"/>
        <v>3.4554122145673649E-12</v>
      </c>
      <c r="R144" s="60">
        <f t="shared" si="109"/>
        <v>293.33333333333678</v>
      </c>
      <c r="S144" s="60">
        <f ca="1">AVERAGE(OFFSET($R$3,0,0,'Données projet'!$E$9+1,1))-AVERAGE(OFFSET($H$3,0,0,'Données projet'!$E$9+1,1))</f>
        <v>256.47911362806866</v>
      </c>
      <c r="T144" s="60">
        <f t="shared" si="142"/>
        <v>230.93438491511529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0.20155500451659192</v>
      </c>
      <c r="AB144" s="23">
        <f>EXP(-LN(2)/2)*AB143+(1-EXP(-LN(2)/2))/(LN(2)/2)*V144*Y144*VLOOKUP('Données projet'!$B$9,Paramètres!$A$1:$I$89,3,0)*0.475*44/12</f>
        <v>3.1637533842543465E-16</v>
      </c>
      <c r="AC144" s="24">
        <f t="shared" si="111"/>
        <v>0.20155500451659222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-3.694822225952521E-13</v>
      </c>
      <c r="AJ144" s="14">
        <f>AI144*VLOOKUP('Données projet'!$B$10,Paramètres!$A$1:$I$89,3,0)*VLOOKUP('Données projet'!$B$10,Paramètres!$A$1:$I$89,5,0)</f>
        <v>-3.2277966965921228E-13</v>
      </c>
      <c r="AK144" s="14" t="e">
        <f t="shared" si="143"/>
        <v>#NUM!</v>
      </c>
      <c r="AL144" s="22" t="e">
        <f t="shared" si="112"/>
        <v>#NUM!</v>
      </c>
      <c r="AM144" s="60" t="e">
        <f t="shared" si="113"/>
        <v>#NUM!</v>
      </c>
      <c r="AN144" s="60">
        <f ca="1">AVERAGE(OFFSET($AM$3,0,0,'Données projet'!$E$10+1,1))-AVERAGE(OFFSET($H$3,0,0,'Données projet'!$E$10+1,1))</f>
        <v>233.41481265653817</v>
      </c>
      <c r="AO144" s="60">
        <f t="shared" si="144"/>
        <v>300.97465452084055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3.4106051316484809E-13</v>
      </c>
      <c r="BE144" s="14">
        <f>BD144*VLOOKUP('Données projet'!$B$11,Paramètres!$A$1:$I$89,3,0)*VLOOKUP('Données projet'!$B$11,Paramètres!$A$1:$I$89,5,0)</f>
        <v>2.7134774427395314E-13</v>
      </c>
      <c r="BF144" s="14">
        <f t="shared" si="145"/>
        <v>3.6292411711343559E-12</v>
      </c>
      <c r="BG144" s="22">
        <f t="shared" si="115"/>
        <v>6.7935256943361388E-12</v>
      </c>
      <c r="BH144" s="60">
        <f t="shared" si="116"/>
        <v>293.33333333334014</v>
      </c>
      <c r="BI144" s="60">
        <f ca="1">AVERAGE(OFFSET($BH$3,0,0,'Données projet'!$E$11+1,1))-AVERAGE(OFFSET($H$3,0,0,'Données projet'!$E$11+1,1))</f>
        <v>238.47463071449789</v>
      </c>
      <c r="BJ144" s="60">
        <f t="shared" si="146"/>
        <v>270.92950919803718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0" t="e">
        <f t="shared" si="119"/>
        <v>#N/A</v>
      </c>
      <c r="CD144" s="60" t="e">
        <f ca="1">AVERAGE(OFFSET($CC$3,0,0,'Données projet'!$E$12+1,1))-AVERAGE(OFFSET($H$3,0,0,'Données projet'!$E$12+1,1))</f>
        <v>#N/A</v>
      </c>
      <c r="CE144" s="60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0" t="e">
        <f t="shared" si="122"/>
        <v>#N/A</v>
      </c>
      <c r="CY144" s="60" t="e">
        <f ca="1">AVERAGE(OFFSET($CX$3,0,0,'Données projet'!$E$13+1,1))-AVERAGE(OFFSET($H$3,0,0,'Données projet'!$E$13+1,1))</f>
        <v>#N/A</v>
      </c>
      <c r="CZ144" s="60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0" t="e">
        <f t="shared" si="125"/>
        <v>#N/A</v>
      </c>
      <c r="DT144" s="60" t="e">
        <f ca="1">AVERAGE(OFFSET($DS$3,0,0,'Données projet'!$E$14+1,1))-AVERAGE(OFFSET($H$3,0,0,'Données projet'!$E$14+1,1))</f>
        <v>#N/A</v>
      </c>
      <c r="DU144" s="60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0" t="e">
        <f t="shared" si="128"/>
        <v>#N/A</v>
      </c>
      <c r="EO144" s="60" t="e">
        <f ca="1">AVERAGE(OFFSET($EN$3,0,0,'Données projet'!$E$15+1,1))-AVERAGE(OFFSET($H$3,0,0,'Données projet'!$E$15+1,1))</f>
        <v>#N/A</v>
      </c>
      <c r="EP144" s="60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8">
        <f t="shared" si="110"/>
        <v>445.82179473296389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2.2737367544323206E-13</v>
      </c>
      <c r="O145" s="14">
        <f>N145*VLOOKUP('Données projet'!$B$9,Paramètres!$A$1:$I$89,3,0)*VLOOKUP('Données projet'!$B$9,Paramètres!$A$1:$I$89,5,0)</f>
        <v>1.2710188457276673E-13</v>
      </c>
      <c r="P145" s="14">
        <f t="shared" si="141"/>
        <v>1.856866851063998E-12</v>
      </c>
      <c r="Q145" s="22">
        <f t="shared" si="108"/>
        <v>3.4554122145673649E-12</v>
      </c>
      <c r="R145" s="60">
        <f t="shared" si="109"/>
        <v>293.33333333333678</v>
      </c>
      <c r="S145" s="60">
        <f ca="1">AVERAGE(OFFSET($R$3,0,0,'Données projet'!$E$9+1,1))-AVERAGE(OFFSET($H$3,0,0,'Données projet'!$E$9+1,1))</f>
        <v>256.47911362806866</v>
      </c>
      <c r="T145" s="60">
        <f t="shared" si="142"/>
        <v>230.93438491511529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0.19604347231876867</v>
      </c>
      <c r="AB145" s="23">
        <f>EXP(-LN(2)/2)*AB144+(1-EXP(-LN(2)/2))/(LN(2)/2)*V145*Y145*VLOOKUP('Données projet'!$B$9,Paramètres!$A$1:$I$89,3,0)*0.475*44/12</f>
        <v>2.2371114720081373E-16</v>
      </c>
      <c r="AC145" s="24">
        <f t="shared" si="111"/>
        <v>0.1960434723187689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-3.694822225952521E-13</v>
      </c>
      <c r="AJ145" s="14">
        <f>AI145*VLOOKUP('Données projet'!$B$10,Paramètres!$A$1:$I$89,3,0)*VLOOKUP('Données projet'!$B$10,Paramètres!$A$1:$I$89,5,0)</f>
        <v>-3.2277966965921228E-13</v>
      </c>
      <c r="AK145" s="14" t="e">
        <f t="shared" si="143"/>
        <v>#NUM!</v>
      </c>
      <c r="AL145" s="22" t="e">
        <f t="shared" si="112"/>
        <v>#NUM!</v>
      </c>
      <c r="AM145" s="60" t="e">
        <f t="shared" si="113"/>
        <v>#NUM!</v>
      </c>
      <c r="AN145" s="60">
        <f ca="1">AVERAGE(OFFSET($AM$3,0,0,'Données projet'!$E$10+1,1))-AVERAGE(OFFSET($H$3,0,0,'Données projet'!$E$10+1,1))</f>
        <v>233.41481265653817</v>
      </c>
      <c r="AO145" s="60">
        <f t="shared" si="144"/>
        <v>300.97465452084055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3.4106051316484809E-13</v>
      </c>
      <c r="BE145" s="14">
        <f>BD145*VLOOKUP('Données projet'!$B$11,Paramètres!$A$1:$I$89,3,0)*VLOOKUP('Données projet'!$B$11,Paramètres!$A$1:$I$89,5,0)</f>
        <v>2.7134774427395314E-13</v>
      </c>
      <c r="BF145" s="14">
        <f t="shared" si="145"/>
        <v>3.6292411711343559E-12</v>
      </c>
      <c r="BG145" s="22">
        <f t="shared" si="115"/>
        <v>6.7935256943361388E-12</v>
      </c>
      <c r="BH145" s="60">
        <f t="shared" si="116"/>
        <v>293.33333333334014</v>
      </c>
      <c r="BI145" s="60">
        <f ca="1">AVERAGE(OFFSET($BH$3,0,0,'Données projet'!$E$11+1,1))-AVERAGE(OFFSET($H$3,0,0,'Données projet'!$E$11+1,1))</f>
        <v>238.47463071449789</v>
      </c>
      <c r="BJ145" s="60">
        <f t="shared" si="146"/>
        <v>270.92950919803718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0" t="e">
        <f t="shared" si="119"/>
        <v>#N/A</v>
      </c>
      <c r="CD145" s="60" t="e">
        <f ca="1">AVERAGE(OFFSET($CC$3,0,0,'Données projet'!$E$12+1,1))-AVERAGE(OFFSET($H$3,0,0,'Données projet'!$E$12+1,1))</f>
        <v>#N/A</v>
      </c>
      <c r="CE145" s="60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0" t="e">
        <f t="shared" si="122"/>
        <v>#N/A</v>
      </c>
      <c r="CY145" s="60" t="e">
        <f ca="1">AVERAGE(OFFSET($CX$3,0,0,'Données projet'!$E$13+1,1))-AVERAGE(OFFSET($H$3,0,0,'Données projet'!$E$13+1,1))</f>
        <v>#N/A</v>
      </c>
      <c r="CZ145" s="60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0" t="e">
        <f t="shared" si="125"/>
        <v>#N/A</v>
      </c>
      <c r="DT145" s="60" t="e">
        <f ca="1">AVERAGE(OFFSET($DS$3,0,0,'Données projet'!$E$14+1,1))-AVERAGE(OFFSET($H$3,0,0,'Données projet'!$E$14+1,1))</f>
        <v>#N/A</v>
      </c>
      <c r="DU145" s="60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0" t="e">
        <f t="shared" si="128"/>
        <v>#N/A</v>
      </c>
      <c r="EO145" s="60" t="e">
        <f ca="1">AVERAGE(OFFSET($EN$3,0,0,'Données projet'!$E$15+1,1))-AVERAGE(OFFSET($H$3,0,0,'Données projet'!$E$15+1,1))</f>
        <v>#N/A</v>
      </c>
      <c r="EP145" s="60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8">
        <f t="shared" si="110"/>
        <v>446.86808739510911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2.2737367544323206E-13</v>
      </c>
      <c r="O146" s="14">
        <f>N146*VLOOKUP('Données projet'!$B$9,Paramètres!$A$1:$I$89,3,0)*VLOOKUP('Données projet'!$B$9,Paramètres!$A$1:$I$89,5,0)</f>
        <v>1.2710188457276673E-13</v>
      </c>
      <c r="P146" s="14">
        <f t="shared" si="141"/>
        <v>1.856866851063998E-12</v>
      </c>
      <c r="Q146" s="22">
        <f t="shared" si="108"/>
        <v>3.4554122145673649E-12</v>
      </c>
      <c r="R146" s="60">
        <f t="shared" si="109"/>
        <v>293.33333333333678</v>
      </c>
      <c r="S146" s="60">
        <f ca="1">AVERAGE(OFFSET($R$3,0,0,'Données projet'!$E$9+1,1))-AVERAGE(OFFSET($H$3,0,0,'Données projet'!$E$9+1,1))</f>
        <v>256.47911362806866</v>
      </c>
      <c r="T146" s="60">
        <f t="shared" si="142"/>
        <v>230.93438491511529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0.19068265325873379</v>
      </c>
      <c r="AB146" s="23">
        <f>EXP(-LN(2)/2)*AB145+(1-EXP(-LN(2)/2))/(LN(2)/2)*V146*Y146*VLOOKUP('Données projet'!$B$9,Paramètres!$A$1:$I$89,3,0)*0.475*44/12</f>
        <v>1.5818766921271732E-16</v>
      </c>
      <c r="AC146" s="24">
        <f t="shared" si="111"/>
        <v>0.19068265325873396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-3.694822225952521E-13</v>
      </c>
      <c r="AJ146" s="14">
        <f>AI146*VLOOKUP('Données projet'!$B$10,Paramètres!$A$1:$I$89,3,0)*VLOOKUP('Données projet'!$B$10,Paramètres!$A$1:$I$89,5,0)</f>
        <v>-3.2277966965921228E-13</v>
      </c>
      <c r="AK146" s="14" t="e">
        <f t="shared" si="143"/>
        <v>#NUM!</v>
      </c>
      <c r="AL146" s="22" t="e">
        <f t="shared" si="112"/>
        <v>#NUM!</v>
      </c>
      <c r="AM146" s="60" t="e">
        <f t="shared" si="113"/>
        <v>#NUM!</v>
      </c>
      <c r="AN146" s="60">
        <f ca="1">AVERAGE(OFFSET($AM$3,0,0,'Données projet'!$E$10+1,1))-AVERAGE(OFFSET($H$3,0,0,'Données projet'!$E$10+1,1))</f>
        <v>233.41481265653817</v>
      </c>
      <c r="AO146" s="60">
        <f t="shared" si="144"/>
        <v>300.97465452084055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3.4106051316484809E-13</v>
      </c>
      <c r="BE146" s="14">
        <f>BD146*VLOOKUP('Données projet'!$B$11,Paramètres!$A$1:$I$89,3,0)*VLOOKUP('Données projet'!$B$11,Paramètres!$A$1:$I$89,5,0)</f>
        <v>2.7134774427395314E-13</v>
      </c>
      <c r="BF146" s="14">
        <f t="shared" si="145"/>
        <v>3.6292411711343559E-12</v>
      </c>
      <c r="BG146" s="22">
        <f t="shared" si="115"/>
        <v>6.7935256943361388E-12</v>
      </c>
      <c r="BH146" s="60">
        <f t="shared" si="116"/>
        <v>293.33333333334014</v>
      </c>
      <c r="BI146" s="60">
        <f ca="1">AVERAGE(OFFSET($BH$3,0,0,'Données projet'!$E$11+1,1))-AVERAGE(OFFSET($H$3,0,0,'Données projet'!$E$11+1,1))</f>
        <v>238.47463071449789</v>
      </c>
      <c r="BJ146" s="60">
        <f t="shared" si="146"/>
        <v>270.92950919803718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0" t="e">
        <f t="shared" si="119"/>
        <v>#N/A</v>
      </c>
      <c r="CD146" s="60" t="e">
        <f ca="1">AVERAGE(OFFSET($CC$3,0,0,'Données projet'!$E$12+1,1))-AVERAGE(OFFSET($H$3,0,0,'Données projet'!$E$12+1,1))</f>
        <v>#N/A</v>
      </c>
      <c r="CE146" s="60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0" t="e">
        <f t="shared" si="122"/>
        <v>#N/A</v>
      </c>
      <c r="CY146" s="60" t="e">
        <f ca="1">AVERAGE(OFFSET($CX$3,0,0,'Données projet'!$E$13+1,1))-AVERAGE(OFFSET($H$3,0,0,'Données projet'!$E$13+1,1))</f>
        <v>#N/A</v>
      </c>
      <c r="CZ146" s="60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0" t="e">
        <f t="shared" si="125"/>
        <v>#N/A</v>
      </c>
      <c r="DT146" s="60" t="e">
        <f ca="1">AVERAGE(OFFSET($DS$3,0,0,'Données projet'!$E$14+1,1))-AVERAGE(OFFSET($H$3,0,0,'Données projet'!$E$14+1,1))</f>
        <v>#N/A</v>
      </c>
      <c r="DU146" s="60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0" t="e">
        <f t="shared" si="128"/>
        <v>#N/A</v>
      </c>
      <c r="EO146" s="60" t="e">
        <f ca="1">AVERAGE(OFFSET($EN$3,0,0,'Données projet'!$E$15+1,1))-AVERAGE(OFFSET($H$3,0,0,'Données projet'!$E$15+1,1))</f>
        <v>#N/A</v>
      </c>
      <c r="EP146" s="60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8">
        <f t="shared" si="110"/>
        <v>447.91421036726933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2.2737367544323206E-13</v>
      </c>
      <c r="O147" s="14">
        <f>N147*VLOOKUP('Données projet'!$B$9,Paramètres!$A$1:$I$89,3,0)*VLOOKUP('Données projet'!$B$9,Paramètres!$A$1:$I$89,5,0)</f>
        <v>1.2710188457276673E-13</v>
      </c>
      <c r="P147" s="14">
        <f t="shared" si="141"/>
        <v>1.856866851063998E-12</v>
      </c>
      <c r="Q147" s="22">
        <f t="shared" si="108"/>
        <v>3.4554122145673649E-12</v>
      </c>
      <c r="R147" s="60">
        <f t="shared" si="109"/>
        <v>293.33333333333678</v>
      </c>
      <c r="S147" s="60">
        <f ca="1">AVERAGE(OFFSET($R$3,0,0,'Données projet'!$E$9+1,1))-AVERAGE(OFFSET($H$3,0,0,'Données projet'!$E$9+1,1))</f>
        <v>256.47911362806866</v>
      </c>
      <c r="T147" s="60">
        <f t="shared" si="142"/>
        <v>230.93438491511529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0.18546842607780878</v>
      </c>
      <c r="AB147" s="23">
        <f>EXP(-LN(2)/2)*AB146+(1-EXP(-LN(2)/2))/(LN(2)/2)*V147*Y147*VLOOKUP('Données projet'!$B$9,Paramètres!$A$1:$I$89,3,0)*0.475*44/12</f>
        <v>1.1185557360040687E-16</v>
      </c>
      <c r="AC147" s="24">
        <f t="shared" si="111"/>
        <v>0.18546842607780889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-3.694822225952521E-13</v>
      </c>
      <c r="AJ147" s="14">
        <f>AI147*VLOOKUP('Données projet'!$B$10,Paramètres!$A$1:$I$89,3,0)*VLOOKUP('Données projet'!$B$10,Paramètres!$A$1:$I$89,5,0)</f>
        <v>-3.2277966965921228E-13</v>
      </c>
      <c r="AK147" s="14" t="e">
        <f t="shared" si="143"/>
        <v>#NUM!</v>
      </c>
      <c r="AL147" s="22" t="e">
        <f t="shared" si="112"/>
        <v>#NUM!</v>
      </c>
      <c r="AM147" s="60" t="e">
        <f t="shared" si="113"/>
        <v>#NUM!</v>
      </c>
      <c r="AN147" s="60">
        <f ca="1">AVERAGE(OFFSET($AM$3,0,0,'Données projet'!$E$10+1,1))-AVERAGE(OFFSET($H$3,0,0,'Données projet'!$E$10+1,1))</f>
        <v>233.41481265653817</v>
      </c>
      <c r="AO147" s="60">
        <f t="shared" si="144"/>
        <v>300.97465452084055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3.4106051316484809E-13</v>
      </c>
      <c r="BE147" s="14">
        <f>BD147*VLOOKUP('Données projet'!$B$11,Paramètres!$A$1:$I$89,3,0)*VLOOKUP('Données projet'!$B$11,Paramètres!$A$1:$I$89,5,0)</f>
        <v>2.7134774427395314E-13</v>
      </c>
      <c r="BF147" s="14">
        <f t="shared" si="145"/>
        <v>3.6292411711343559E-12</v>
      </c>
      <c r="BG147" s="22">
        <f t="shared" si="115"/>
        <v>6.7935256943361388E-12</v>
      </c>
      <c r="BH147" s="60">
        <f t="shared" si="116"/>
        <v>293.33333333334014</v>
      </c>
      <c r="BI147" s="60">
        <f ca="1">AVERAGE(OFFSET($BH$3,0,0,'Données projet'!$E$11+1,1))-AVERAGE(OFFSET($H$3,0,0,'Données projet'!$E$11+1,1))</f>
        <v>238.47463071449789</v>
      </c>
      <c r="BJ147" s="60">
        <f t="shared" si="146"/>
        <v>270.92950919803718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0" t="e">
        <f t="shared" si="119"/>
        <v>#N/A</v>
      </c>
      <c r="CD147" s="60" t="e">
        <f ca="1">AVERAGE(OFFSET($CC$3,0,0,'Données projet'!$E$12+1,1))-AVERAGE(OFFSET($H$3,0,0,'Données projet'!$E$12+1,1))</f>
        <v>#N/A</v>
      </c>
      <c r="CE147" s="60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0" t="e">
        <f t="shared" si="122"/>
        <v>#N/A</v>
      </c>
      <c r="CY147" s="60" t="e">
        <f ca="1">AVERAGE(OFFSET($CX$3,0,0,'Données projet'!$E$13+1,1))-AVERAGE(OFFSET($H$3,0,0,'Données projet'!$E$13+1,1))</f>
        <v>#N/A</v>
      </c>
      <c r="CZ147" s="60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0" t="e">
        <f t="shared" si="125"/>
        <v>#N/A</v>
      </c>
      <c r="DT147" s="60" t="e">
        <f ca="1">AVERAGE(OFFSET($DS$3,0,0,'Données projet'!$E$14+1,1))-AVERAGE(OFFSET($H$3,0,0,'Données projet'!$E$14+1,1))</f>
        <v>#N/A</v>
      </c>
      <c r="DU147" s="60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0" t="e">
        <f t="shared" si="128"/>
        <v>#N/A</v>
      </c>
      <c r="EO147" s="60" t="e">
        <f ca="1">AVERAGE(OFFSET($EN$3,0,0,'Données projet'!$E$15+1,1))-AVERAGE(OFFSET($H$3,0,0,'Données projet'!$E$15+1,1))</f>
        <v>#N/A</v>
      </c>
      <c r="EP147" s="60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8">
        <f t="shared" si="110"/>
        <v>448.96016496450284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2.2737367544323206E-13</v>
      </c>
      <c r="O148" s="14">
        <f>N148*VLOOKUP('Données projet'!$B$9,Paramètres!$A$1:$I$89,3,0)*VLOOKUP('Données projet'!$B$9,Paramètres!$A$1:$I$89,5,0)</f>
        <v>1.2710188457276673E-13</v>
      </c>
      <c r="P148" s="14">
        <f t="shared" si="141"/>
        <v>1.856866851063998E-12</v>
      </c>
      <c r="Q148" s="22">
        <f t="shared" si="108"/>
        <v>3.4554122145673649E-12</v>
      </c>
      <c r="R148" s="60">
        <f t="shared" si="109"/>
        <v>293.33333333333678</v>
      </c>
      <c r="S148" s="60">
        <f ca="1">AVERAGE(OFFSET($R$3,0,0,'Données projet'!$E$9+1,1))-AVERAGE(OFFSET($H$3,0,0,'Données projet'!$E$9+1,1))</f>
        <v>256.47911362806866</v>
      </c>
      <c r="T148" s="60">
        <f t="shared" si="142"/>
        <v>230.93438491511529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0.18039678221335045</v>
      </c>
      <c r="AB148" s="23">
        <f>EXP(-LN(2)/2)*AB147+(1-EXP(-LN(2)/2))/(LN(2)/2)*V148*Y148*VLOOKUP('Données projet'!$B$9,Paramètres!$A$1:$I$89,3,0)*0.475*44/12</f>
        <v>7.9093834606358661E-17</v>
      </c>
      <c r="AC148" s="24">
        <f t="shared" si="111"/>
        <v>0.18039678221335054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-3.694822225952521E-13</v>
      </c>
      <c r="AJ148" s="14">
        <f>AI148*VLOOKUP('Données projet'!$B$10,Paramètres!$A$1:$I$89,3,0)*VLOOKUP('Données projet'!$B$10,Paramètres!$A$1:$I$89,5,0)</f>
        <v>-3.2277966965921228E-13</v>
      </c>
      <c r="AK148" s="14" t="e">
        <f t="shared" si="143"/>
        <v>#NUM!</v>
      </c>
      <c r="AL148" s="22" t="e">
        <f t="shared" si="112"/>
        <v>#NUM!</v>
      </c>
      <c r="AM148" s="60" t="e">
        <f t="shared" si="113"/>
        <v>#NUM!</v>
      </c>
      <c r="AN148" s="60">
        <f ca="1">AVERAGE(OFFSET($AM$3,0,0,'Données projet'!$E$10+1,1))-AVERAGE(OFFSET($H$3,0,0,'Données projet'!$E$10+1,1))</f>
        <v>233.41481265653817</v>
      </c>
      <c r="AO148" s="60">
        <f t="shared" si="144"/>
        <v>300.97465452084055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3.4106051316484809E-13</v>
      </c>
      <c r="BE148" s="14">
        <f>BD148*VLOOKUP('Données projet'!$B$11,Paramètres!$A$1:$I$89,3,0)*VLOOKUP('Données projet'!$B$11,Paramètres!$A$1:$I$89,5,0)</f>
        <v>2.7134774427395314E-13</v>
      </c>
      <c r="BF148" s="14">
        <f t="shared" si="145"/>
        <v>3.6292411711343559E-12</v>
      </c>
      <c r="BG148" s="22">
        <f t="shared" si="115"/>
        <v>6.7935256943361388E-12</v>
      </c>
      <c r="BH148" s="60">
        <f t="shared" si="116"/>
        <v>293.33333333334014</v>
      </c>
      <c r="BI148" s="60">
        <f ca="1">AVERAGE(OFFSET($BH$3,0,0,'Données projet'!$E$11+1,1))-AVERAGE(OFFSET($H$3,0,0,'Données projet'!$E$11+1,1))</f>
        <v>238.47463071449789</v>
      </c>
      <c r="BJ148" s="60">
        <f t="shared" si="146"/>
        <v>270.92950919803718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0" t="e">
        <f t="shared" si="119"/>
        <v>#N/A</v>
      </c>
      <c r="CD148" s="60" t="e">
        <f ca="1">AVERAGE(OFFSET($CC$3,0,0,'Données projet'!$E$12+1,1))-AVERAGE(OFFSET($H$3,0,0,'Données projet'!$E$12+1,1))</f>
        <v>#N/A</v>
      </c>
      <c r="CE148" s="60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0" t="e">
        <f t="shared" si="122"/>
        <v>#N/A</v>
      </c>
      <c r="CY148" s="60" t="e">
        <f ca="1">AVERAGE(OFFSET($CX$3,0,0,'Données projet'!$E$13+1,1))-AVERAGE(OFFSET($H$3,0,0,'Données projet'!$E$13+1,1))</f>
        <v>#N/A</v>
      </c>
      <c r="CZ148" s="60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0" t="e">
        <f t="shared" si="125"/>
        <v>#N/A</v>
      </c>
      <c r="DT148" s="60" t="e">
        <f ca="1">AVERAGE(OFFSET($DS$3,0,0,'Données projet'!$E$14+1,1))-AVERAGE(OFFSET($H$3,0,0,'Données projet'!$E$14+1,1))</f>
        <v>#N/A</v>
      </c>
      <c r="DU148" s="60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0" t="e">
        <f t="shared" si="128"/>
        <v>#N/A</v>
      </c>
      <c r="EO148" s="60" t="e">
        <f ca="1">AVERAGE(OFFSET($EN$3,0,0,'Données projet'!$E$15+1,1))-AVERAGE(OFFSET($H$3,0,0,'Données projet'!$E$15+1,1))</f>
        <v>#N/A</v>
      </c>
      <c r="EP148" s="60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8">
        <f t="shared" si="110"/>
        <v>450.00595248268087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2.2737367544323206E-13</v>
      </c>
      <c r="O149" s="14">
        <f>N149*VLOOKUP('Données projet'!$B$9,Paramètres!$A$1:$I$89,3,0)*VLOOKUP('Données projet'!$B$9,Paramètres!$A$1:$I$89,5,0)</f>
        <v>1.2710188457276673E-13</v>
      </c>
      <c r="P149" s="14">
        <f t="shared" si="141"/>
        <v>1.856866851063998E-12</v>
      </c>
      <c r="Q149" s="22">
        <f t="shared" si="108"/>
        <v>3.4554122145673649E-12</v>
      </c>
      <c r="R149" s="60">
        <f t="shared" si="109"/>
        <v>293.33333333333678</v>
      </c>
      <c r="S149" s="60">
        <f ca="1">AVERAGE(OFFSET($R$3,0,0,'Données projet'!$E$9+1,1))-AVERAGE(OFFSET($H$3,0,0,'Données projet'!$E$9+1,1))</f>
        <v>256.47911362806866</v>
      </c>
      <c r="T149" s="60">
        <f t="shared" si="142"/>
        <v>230.93438491511529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0.17546382271707192</v>
      </c>
      <c r="AB149" s="23">
        <f>EXP(-LN(2)/2)*AB148+(1-EXP(-LN(2)/2))/(LN(2)/2)*V149*Y149*VLOOKUP('Données projet'!$B$9,Paramètres!$A$1:$I$89,3,0)*0.475*44/12</f>
        <v>5.5927786800203434E-17</v>
      </c>
      <c r="AC149" s="24">
        <f t="shared" si="111"/>
        <v>0.17546382271707198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-3.694822225952521E-13</v>
      </c>
      <c r="AJ149" s="14">
        <f>AI149*VLOOKUP('Données projet'!$B$10,Paramètres!$A$1:$I$89,3,0)*VLOOKUP('Données projet'!$B$10,Paramètres!$A$1:$I$89,5,0)</f>
        <v>-3.2277966965921228E-13</v>
      </c>
      <c r="AK149" s="14" t="e">
        <f t="shared" si="143"/>
        <v>#NUM!</v>
      </c>
      <c r="AL149" s="22" t="e">
        <f t="shared" si="112"/>
        <v>#NUM!</v>
      </c>
      <c r="AM149" s="60" t="e">
        <f t="shared" si="113"/>
        <v>#NUM!</v>
      </c>
      <c r="AN149" s="60">
        <f ca="1">AVERAGE(OFFSET($AM$3,0,0,'Données projet'!$E$10+1,1))-AVERAGE(OFFSET($H$3,0,0,'Données projet'!$E$10+1,1))</f>
        <v>233.41481265653817</v>
      </c>
      <c r="AO149" s="60">
        <f t="shared" si="144"/>
        <v>300.97465452084055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3.4106051316484809E-13</v>
      </c>
      <c r="BE149" s="14">
        <f>BD149*VLOOKUP('Données projet'!$B$11,Paramètres!$A$1:$I$89,3,0)*VLOOKUP('Données projet'!$B$11,Paramètres!$A$1:$I$89,5,0)</f>
        <v>2.7134774427395314E-13</v>
      </c>
      <c r="BF149" s="14">
        <f t="shared" si="145"/>
        <v>3.6292411711343559E-12</v>
      </c>
      <c r="BG149" s="22">
        <f t="shared" si="115"/>
        <v>6.7935256943361388E-12</v>
      </c>
      <c r="BH149" s="60">
        <f t="shared" si="116"/>
        <v>293.33333333334014</v>
      </c>
      <c r="BI149" s="60">
        <f ca="1">AVERAGE(OFFSET($BH$3,0,0,'Données projet'!$E$11+1,1))-AVERAGE(OFFSET($H$3,0,0,'Données projet'!$E$11+1,1))</f>
        <v>238.47463071449789</v>
      </c>
      <c r="BJ149" s="60">
        <f t="shared" si="146"/>
        <v>270.92950919803718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0" t="e">
        <f t="shared" si="119"/>
        <v>#N/A</v>
      </c>
      <c r="CD149" s="60" t="e">
        <f ca="1">AVERAGE(OFFSET($CC$3,0,0,'Données projet'!$E$12+1,1))-AVERAGE(OFFSET($H$3,0,0,'Données projet'!$E$12+1,1))</f>
        <v>#N/A</v>
      </c>
      <c r="CE149" s="60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0" t="e">
        <f t="shared" si="122"/>
        <v>#N/A</v>
      </c>
      <c r="CY149" s="60" t="e">
        <f ca="1">AVERAGE(OFFSET($CX$3,0,0,'Données projet'!$E$13+1,1))-AVERAGE(OFFSET($H$3,0,0,'Données projet'!$E$13+1,1))</f>
        <v>#N/A</v>
      </c>
      <c r="CZ149" s="60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0" t="e">
        <f t="shared" si="125"/>
        <v>#N/A</v>
      </c>
      <c r="DT149" s="60" t="e">
        <f ca="1">AVERAGE(OFFSET($DS$3,0,0,'Données projet'!$E$14+1,1))-AVERAGE(OFFSET($H$3,0,0,'Données projet'!$E$14+1,1))</f>
        <v>#N/A</v>
      </c>
      <c r="DU149" s="60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0" t="e">
        <f t="shared" si="128"/>
        <v>#N/A</v>
      </c>
      <c r="EO149" s="60" t="e">
        <f ca="1">AVERAGE(OFFSET($EN$3,0,0,'Données projet'!$E$15+1,1))-AVERAGE(OFFSET($H$3,0,0,'Données projet'!$E$15+1,1))</f>
        <v>#N/A</v>
      </c>
      <c r="EP149" s="60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8">
        <f t="shared" si="110"/>
        <v>451.05157419889701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2.2737367544323206E-13</v>
      </c>
      <c r="O150" s="14">
        <f>N150*VLOOKUP('Données projet'!$B$9,Paramètres!$A$1:$I$89,3,0)*VLOOKUP('Données projet'!$B$9,Paramètres!$A$1:$I$89,5,0)</f>
        <v>1.2710188457276673E-13</v>
      </c>
      <c r="P150" s="14">
        <f t="shared" si="141"/>
        <v>1.856866851063998E-12</v>
      </c>
      <c r="Q150" s="22">
        <f t="shared" si="108"/>
        <v>3.4554122145673649E-12</v>
      </c>
      <c r="R150" s="60">
        <f t="shared" si="109"/>
        <v>293.33333333333678</v>
      </c>
      <c r="S150" s="60">
        <f ca="1">AVERAGE(OFFSET($R$3,0,0,'Données projet'!$E$9+1,1))-AVERAGE(OFFSET($H$3,0,0,'Données projet'!$E$9+1,1))</f>
        <v>256.47911362806866</v>
      </c>
      <c r="T150" s="60">
        <f t="shared" si="142"/>
        <v>230.93438491511529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0.17066575525763217</v>
      </c>
      <c r="AB150" s="23">
        <f>EXP(-LN(2)/2)*AB149+(1-EXP(-LN(2)/2))/(LN(2)/2)*V150*Y150*VLOOKUP('Données projet'!$B$9,Paramètres!$A$1:$I$89,3,0)*0.475*44/12</f>
        <v>3.9546917303179331E-17</v>
      </c>
      <c r="AC150" s="24">
        <f t="shared" si="111"/>
        <v>0.1706657552576322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-3.694822225952521E-13</v>
      </c>
      <c r="AJ150" s="14">
        <f>AI150*VLOOKUP('Données projet'!$B$10,Paramètres!$A$1:$I$89,3,0)*VLOOKUP('Données projet'!$B$10,Paramètres!$A$1:$I$89,5,0)</f>
        <v>-3.2277966965921228E-13</v>
      </c>
      <c r="AK150" s="14" t="e">
        <f t="shared" si="143"/>
        <v>#NUM!</v>
      </c>
      <c r="AL150" s="22" t="e">
        <f t="shared" si="112"/>
        <v>#NUM!</v>
      </c>
      <c r="AM150" s="60" t="e">
        <f t="shared" si="113"/>
        <v>#NUM!</v>
      </c>
      <c r="AN150" s="60">
        <f ca="1">AVERAGE(OFFSET($AM$3,0,0,'Données projet'!$E$10+1,1))-AVERAGE(OFFSET($H$3,0,0,'Données projet'!$E$10+1,1))</f>
        <v>233.41481265653817</v>
      </c>
      <c r="AO150" s="60">
        <f t="shared" si="144"/>
        <v>300.97465452084055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3.4106051316484809E-13</v>
      </c>
      <c r="BE150" s="14">
        <f>BD150*VLOOKUP('Données projet'!$B$11,Paramètres!$A$1:$I$89,3,0)*VLOOKUP('Données projet'!$B$11,Paramètres!$A$1:$I$89,5,0)</f>
        <v>2.7134774427395314E-13</v>
      </c>
      <c r="BF150" s="14">
        <f t="shared" si="145"/>
        <v>3.6292411711343559E-12</v>
      </c>
      <c r="BG150" s="22">
        <f t="shared" si="115"/>
        <v>6.7935256943361388E-12</v>
      </c>
      <c r="BH150" s="60">
        <f t="shared" si="116"/>
        <v>293.33333333334014</v>
      </c>
      <c r="BI150" s="60">
        <f ca="1">AVERAGE(OFFSET($BH$3,0,0,'Données projet'!$E$11+1,1))-AVERAGE(OFFSET($H$3,0,0,'Données projet'!$E$11+1,1))</f>
        <v>238.47463071449789</v>
      </c>
      <c r="BJ150" s="60">
        <f t="shared" si="146"/>
        <v>270.92950919803718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0" t="e">
        <f t="shared" si="119"/>
        <v>#N/A</v>
      </c>
      <c r="CD150" s="60" t="e">
        <f ca="1">AVERAGE(OFFSET($CC$3,0,0,'Données projet'!$E$12+1,1))-AVERAGE(OFFSET($H$3,0,0,'Données projet'!$E$12+1,1))</f>
        <v>#N/A</v>
      </c>
      <c r="CE150" s="60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0" t="e">
        <f t="shared" si="122"/>
        <v>#N/A</v>
      </c>
      <c r="CY150" s="60" t="e">
        <f ca="1">AVERAGE(OFFSET($CX$3,0,0,'Données projet'!$E$13+1,1))-AVERAGE(OFFSET($H$3,0,0,'Données projet'!$E$13+1,1))</f>
        <v>#N/A</v>
      </c>
      <c r="CZ150" s="60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0" t="e">
        <f t="shared" si="125"/>
        <v>#N/A</v>
      </c>
      <c r="DT150" s="60" t="e">
        <f ca="1">AVERAGE(OFFSET($DS$3,0,0,'Données projet'!$E$14+1,1))-AVERAGE(OFFSET($H$3,0,0,'Données projet'!$E$14+1,1))</f>
        <v>#N/A</v>
      </c>
      <c r="DU150" s="60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0" t="e">
        <f t="shared" si="128"/>
        <v>#N/A</v>
      </c>
      <c r="EO150" s="60" t="e">
        <f ca="1">AVERAGE(OFFSET($EN$3,0,0,'Données projet'!$E$15+1,1))-AVERAGE(OFFSET($H$3,0,0,'Données projet'!$E$15+1,1))</f>
        <v>#N/A</v>
      </c>
      <c r="EP150" s="60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8">
        <f t="shared" si="110"/>
        <v>452.09703137186477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2.2737367544323206E-13</v>
      </c>
      <c r="O151" s="14">
        <f>N151*VLOOKUP('Données projet'!$B$9,Paramètres!$A$1:$I$89,3,0)*VLOOKUP('Données projet'!$B$9,Paramètres!$A$1:$I$89,5,0)</f>
        <v>1.2710188457276673E-13</v>
      </c>
      <c r="P151" s="14">
        <f t="shared" si="141"/>
        <v>1.856866851063998E-12</v>
      </c>
      <c r="Q151" s="22">
        <f t="shared" si="108"/>
        <v>3.4554122145673649E-12</v>
      </c>
      <c r="R151" s="60">
        <f t="shared" si="109"/>
        <v>293.33333333333678</v>
      </c>
      <c r="S151" s="60">
        <f ca="1">AVERAGE(OFFSET($R$3,0,0,'Données projet'!$E$9+1,1))-AVERAGE(OFFSET($H$3,0,0,'Données projet'!$E$9+1,1))</f>
        <v>256.47911362806866</v>
      </c>
      <c r="T151" s="60">
        <f t="shared" si="142"/>
        <v>230.93438491511529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0.16599889120519021</v>
      </c>
      <c r="AB151" s="23">
        <f>EXP(-LN(2)/2)*AB150+(1-EXP(-LN(2)/2))/(LN(2)/2)*V151*Y151*VLOOKUP('Données projet'!$B$9,Paramètres!$A$1:$I$89,3,0)*0.475*44/12</f>
        <v>2.7963893400101717E-17</v>
      </c>
      <c r="AC151" s="24">
        <f t="shared" si="111"/>
        <v>0.16599889120519024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-3.694822225952521E-13</v>
      </c>
      <c r="AJ151" s="14">
        <f>AI151*VLOOKUP('Données projet'!$B$10,Paramètres!$A$1:$I$89,3,0)*VLOOKUP('Données projet'!$B$10,Paramètres!$A$1:$I$89,5,0)</f>
        <v>-3.2277966965921228E-13</v>
      </c>
      <c r="AK151" s="14" t="e">
        <f t="shared" si="143"/>
        <v>#NUM!</v>
      </c>
      <c r="AL151" s="22" t="e">
        <f t="shared" si="112"/>
        <v>#NUM!</v>
      </c>
      <c r="AM151" s="60" t="e">
        <f t="shared" si="113"/>
        <v>#NUM!</v>
      </c>
      <c r="AN151" s="60">
        <f ca="1">AVERAGE(OFFSET($AM$3,0,0,'Données projet'!$E$10+1,1))-AVERAGE(OFFSET($H$3,0,0,'Données projet'!$E$10+1,1))</f>
        <v>233.41481265653817</v>
      </c>
      <c r="AO151" s="60">
        <f t="shared" si="144"/>
        <v>300.97465452084055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3.4106051316484809E-13</v>
      </c>
      <c r="BE151" s="14">
        <f>BD151*VLOOKUP('Données projet'!$B$11,Paramètres!$A$1:$I$89,3,0)*VLOOKUP('Données projet'!$B$11,Paramètres!$A$1:$I$89,5,0)</f>
        <v>2.7134774427395314E-13</v>
      </c>
      <c r="BF151" s="14">
        <f t="shared" si="145"/>
        <v>3.6292411711343559E-12</v>
      </c>
      <c r="BG151" s="22">
        <f t="shared" si="115"/>
        <v>6.7935256943361388E-12</v>
      </c>
      <c r="BH151" s="60">
        <f t="shared" si="116"/>
        <v>293.33333333334014</v>
      </c>
      <c r="BI151" s="60">
        <f ca="1">AVERAGE(OFFSET($BH$3,0,0,'Données projet'!$E$11+1,1))-AVERAGE(OFFSET($H$3,0,0,'Données projet'!$E$11+1,1))</f>
        <v>238.47463071449789</v>
      </c>
      <c r="BJ151" s="60">
        <f t="shared" si="146"/>
        <v>270.92950919803718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0" t="e">
        <f t="shared" si="119"/>
        <v>#N/A</v>
      </c>
      <c r="CD151" s="60" t="e">
        <f ca="1">AVERAGE(OFFSET($CC$3,0,0,'Données projet'!$E$12+1,1))-AVERAGE(OFFSET($H$3,0,0,'Données projet'!$E$12+1,1))</f>
        <v>#N/A</v>
      </c>
      <c r="CE151" s="60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0" t="e">
        <f t="shared" si="122"/>
        <v>#N/A</v>
      </c>
      <c r="CY151" s="60" t="e">
        <f ca="1">AVERAGE(OFFSET($CX$3,0,0,'Données projet'!$E$13+1,1))-AVERAGE(OFFSET($H$3,0,0,'Données projet'!$E$13+1,1))</f>
        <v>#N/A</v>
      </c>
      <c r="CZ151" s="60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0" t="e">
        <f t="shared" si="125"/>
        <v>#N/A</v>
      </c>
      <c r="DT151" s="60" t="e">
        <f ca="1">AVERAGE(OFFSET($DS$3,0,0,'Données projet'!$E$14+1,1))-AVERAGE(OFFSET($H$3,0,0,'Données projet'!$E$14+1,1))</f>
        <v>#N/A</v>
      </c>
      <c r="DU151" s="60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0" t="e">
        <f t="shared" si="128"/>
        <v>#N/A</v>
      </c>
      <c r="EO151" s="60" t="e">
        <f ca="1">AVERAGE(OFFSET($EN$3,0,0,'Données projet'!$E$15+1,1))-AVERAGE(OFFSET($H$3,0,0,'Données projet'!$E$15+1,1))</f>
        <v>#N/A</v>
      </c>
      <c r="EP151" s="60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8">
        <f t="shared" si="110"/>
        <v>453.14232524230488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2.2737367544323206E-13</v>
      </c>
      <c r="O152" s="14">
        <f>N152*VLOOKUP('Données projet'!$B$9,Paramètres!$A$1:$I$89,3,0)*VLOOKUP('Données projet'!$B$9,Paramètres!$A$1:$I$89,5,0)</f>
        <v>1.2710188457276673E-13</v>
      </c>
      <c r="P152" s="14">
        <f t="shared" si="141"/>
        <v>1.856866851063998E-12</v>
      </c>
      <c r="Q152" s="22">
        <f t="shared" si="108"/>
        <v>3.4554122145673649E-12</v>
      </c>
      <c r="R152" s="60">
        <f t="shared" si="109"/>
        <v>293.33333333333678</v>
      </c>
      <c r="S152" s="60">
        <f ca="1">AVERAGE(OFFSET($R$3,0,0,'Données projet'!$E$9+1,1))-AVERAGE(OFFSET($H$3,0,0,'Données projet'!$E$9+1,1))</f>
        <v>256.47911362806866</v>
      </c>
      <c r="T152" s="60">
        <f t="shared" si="142"/>
        <v>230.93438491511529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0.16145964279568198</v>
      </c>
      <c r="AB152" s="23">
        <f>EXP(-LN(2)/2)*AB151+(1-EXP(-LN(2)/2))/(LN(2)/2)*V152*Y152*VLOOKUP('Données projet'!$B$9,Paramètres!$A$1:$I$89,3,0)*0.475*44/12</f>
        <v>1.9773458651589665E-17</v>
      </c>
      <c r="AC152" s="24">
        <f t="shared" si="111"/>
        <v>0.16145964279568201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-3.694822225952521E-13</v>
      </c>
      <c r="AJ152" s="14">
        <f>AI152*VLOOKUP('Données projet'!$B$10,Paramètres!$A$1:$I$89,3,0)*VLOOKUP('Données projet'!$B$10,Paramètres!$A$1:$I$89,5,0)</f>
        <v>-3.2277966965921228E-13</v>
      </c>
      <c r="AK152" s="14" t="e">
        <f t="shared" si="143"/>
        <v>#NUM!</v>
      </c>
      <c r="AL152" s="22" t="e">
        <f t="shared" si="112"/>
        <v>#NUM!</v>
      </c>
      <c r="AM152" s="60" t="e">
        <f t="shared" si="113"/>
        <v>#NUM!</v>
      </c>
      <c r="AN152" s="60">
        <f ca="1">AVERAGE(OFFSET($AM$3,0,0,'Données projet'!$E$10+1,1))-AVERAGE(OFFSET($H$3,0,0,'Données projet'!$E$10+1,1))</f>
        <v>233.41481265653817</v>
      </c>
      <c r="AO152" s="60">
        <f t="shared" si="144"/>
        <v>300.97465452084055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3.4106051316484809E-13</v>
      </c>
      <c r="BE152" s="14">
        <f>BD152*VLOOKUP('Données projet'!$B$11,Paramètres!$A$1:$I$89,3,0)*VLOOKUP('Données projet'!$B$11,Paramètres!$A$1:$I$89,5,0)</f>
        <v>2.7134774427395314E-13</v>
      </c>
      <c r="BF152" s="14">
        <f t="shared" si="145"/>
        <v>3.6292411711343559E-12</v>
      </c>
      <c r="BG152" s="22">
        <f t="shared" si="115"/>
        <v>6.7935256943361388E-12</v>
      </c>
      <c r="BH152" s="60">
        <f t="shared" si="116"/>
        <v>293.33333333334014</v>
      </c>
      <c r="BI152" s="60">
        <f ca="1">AVERAGE(OFFSET($BH$3,0,0,'Données projet'!$E$11+1,1))-AVERAGE(OFFSET($H$3,0,0,'Données projet'!$E$11+1,1))</f>
        <v>238.47463071449789</v>
      </c>
      <c r="BJ152" s="60">
        <f t="shared" si="146"/>
        <v>270.92950919803718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0" t="e">
        <f t="shared" si="119"/>
        <v>#N/A</v>
      </c>
      <c r="CD152" s="60" t="e">
        <f ca="1">AVERAGE(OFFSET($CC$3,0,0,'Données projet'!$E$12+1,1))-AVERAGE(OFFSET($H$3,0,0,'Données projet'!$E$12+1,1))</f>
        <v>#N/A</v>
      </c>
      <c r="CE152" s="60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0" t="e">
        <f t="shared" si="122"/>
        <v>#N/A</v>
      </c>
      <c r="CY152" s="60" t="e">
        <f ca="1">AVERAGE(OFFSET($CX$3,0,0,'Données projet'!$E$13+1,1))-AVERAGE(OFFSET($H$3,0,0,'Données projet'!$E$13+1,1))</f>
        <v>#N/A</v>
      </c>
      <c r="CZ152" s="60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0" t="e">
        <f t="shared" si="125"/>
        <v>#N/A</v>
      </c>
      <c r="DT152" s="60" t="e">
        <f ca="1">AVERAGE(OFFSET($DS$3,0,0,'Données projet'!$E$14+1,1))-AVERAGE(OFFSET($H$3,0,0,'Données projet'!$E$14+1,1))</f>
        <v>#N/A</v>
      </c>
      <c r="DU152" s="60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0" t="e">
        <f t="shared" si="128"/>
        <v>#N/A</v>
      </c>
      <c r="EO152" s="60" t="e">
        <f ca="1">AVERAGE(OFFSET($EN$3,0,0,'Données projet'!$E$15+1,1))-AVERAGE(OFFSET($H$3,0,0,'Données projet'!$E$15+1,1))</f>
        <v>#N/A</v>
      </c>
      <c r="EP152" s="60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8">
        <f t="shared" si="110"/>
        <v>454.18745703332144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2.2737367544323206E-13</v>
      </c>
      <c r="O153" s="14">
        <f>N153*VLOOKUP('Données projet'!$B$9,Paramètres!$A$1:$I$89,3,0)*VLOOKUP('Données projet'!$B$9,Paramètres!$A$1:$I$89,5,0)</f>
        <v>1.2710188457276673E-13</v>
      </c>
      <c r="P153" s="14">
        <f t="shared" si="141"/>
        <v>1.856866851063998E-12</v>
      </c>
      <c r="Q153" s="22">
        <f t="shared" si="108"/>
        <v>3.4554122145673649E-12</v>
      </c>
      <c r="R153" s="60">
        <f t="shared" si="109"/>
        <v>293.33333333333678</v>
      </c>
      <c r="S153" s="60">
        <f ca="1">AVERAGE(OFFSET($R$3,0,0,'Données projet'!$E$9+1,1))-AVERAGE(OFFSET($H$3,0,0,'Données projet'!$E$9+1,1))</f>
        <v>256.47911362806866</v>
      </c>
      <c r="T153" s="60">
        <f t="shared" si="142"/>
        <v>230.93438491511529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0.15704452037264047</v>
      </c>
      <c r="AB153" s="23">
        <f>EXP(-LN(2)/2)*AB152+(1-EXP(-LN(2)/2))/(LN(2)/2)*V153*Y153*VLOOKUP('Données projet'!$B$9,Paramètres!$A$1:$I$89,3,0)*0.475*44/12</f>
        <v>1.3981946700050858E-17</v>
      </c>
      <c r="AC153" s="24">
        <f t="shared" si="111"/>
        <v>0.15704452037264049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-3.694822225952521E-13</v>
      </c>
      <c r="AJ153" s="14">
        <f>AI153*VLOOKUP('Données projet'!$B$10,Paramètres!$A$1:$I$89,3,0)*VLOOKUP('Données projet'!$B$10,Paramètres!$A$1:$I$89,5,0)</f>
        <v>-3.2277966965921228E-13</v>
      </c>
      <c r="AK153" s="14" t="e">
        <f t="shared" si="143"/>
        <v>#NUM!</v>
      </c>
      <c r="AL153" s="22" t="e">
        <f t="shared" si="112"/>
        <v>#NUM!</v>
      </c>
      <c r="AM153" s="60" t="e">
        <f t="shared" si="113"/>
        <v>#NUM!</v>
      </c>
      <c r="AN153" s="60">
        <f ca="1">AVERAGE(OFFSET($AM$3,0,0,'Données projet'!$E$10+1,1))-AVERAGE(OFFSET($H$3,0,0,'Données projet'!$E$10+1,1))</f>
        <v>233.41481265653817</v>
      </c>
      <c r="AO153" s="60">
        <f t="shared" si="144"/>
        <v>300.97465452084055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3.4106051316484809E-13</v>
      </c>
      <c r="BE153" s="14">
        <f>BD153*VLOOKUP('Données projet'!$B$11,Paramètres!$A$1:$I$89,3,0)*VLOOKUP('Données projet'!$B$11,Paramètres!$A$1:$I$89,5,0)</f>
        <v>2.7134774427395314E-13</v>
      </c>
      <c r="BF153" s="14">
        <f t="shared" si="145"/>
        <v>3.6292411711343559E-12</v>
      </c>
      <c r="BG153" s="22">
        <f t="shared" si="115"/>
        <v>6.7935256943361388E-12</v>
      </c>
      <c r="BH153" s="60">
        <f t="shared" si="116"/>
        <v>293.33333333334014</v>
      </c>
      <c r="BI153" s="60">
        <f ca="1">AVERAGE(OFFSET($BH$3,0,0,'Données projet'!$E$11+1,1))-AVERAGE(OFFSET($H$3,0,0,'Données projet'!$E$11+1,1))</f>
        <v>238.47463071449789</v>
      </c>
      <c r="BJ153" s="60">
        <f t="shared" si="146"/>
        <v>270.92950919803718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0" t="e">
        <f t="shared" si="119"/>
        <v>#N/A</v>
      </c>
      <c r="CD153" s="60" t="e">
        <f ca="1">AVERAGE(OFFSET($CC$3,0,0,'Données projet'!$E$12+1,1))-AVERAGE(OFFSET($H$3,0,0,'Données projet'!$E$12+1,1))</f>
        <v>#N/A</v>
      </c>
      <c r="CE153" s="60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0" t="e">
        <f t="shared" si="122"/>
        <v>#N/A</v>
      </c>
      <c r="CY153" s="60" t="e">
        <f ca="1">AVERAGE(OFFSET($CX$3,0,0,'Données projet'!$E$13+1,1))-AVERAGE(OFFSET($H$3,0,0,'Données projet'!$E$13+1,1))</f>
        <v>#N/A</v>
      </c>
      <c r="CZ153" s="60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0" t="e">
        <f t="shared" si="125"/>
        <v>#N/A</v>
      </c>
      <c r="DT153" s="60" t="e">
        <f ca="1">AVERAGE(OFFSET($DS$3,0,0,'Données projet'!$E$14+1,1))-AVERAGE(OFFSET($H$3,0,0,'Données projet'!$E$14+1,1))</f>
        <v>#N/A</v>
      </c>
      <c r="DU153" s="60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0" t="e">
        <f t="shared" si="128"/>
        <v>#N/A</v>
      </c>
      <c r="EO153" s="60" t="e">
        <f ca="1">AVERAGE(OFFSET($EN$3,0,0,'Données projet'!$E$15+1,1))-AVERAGE(OFFSET($H$3,0,0,'Données projet'!$E$15+1,1))</f>
        <v>#N/A</v>
      </c>
      <c r="EP153" s="60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8">
        <f t="shared" si="110"/>
        <v>455.23242795076749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2.2737367544323206E-13</v>
      </c>
      <c r="O154" s="14">
        <f>N154*VLOOKUP('Données projet'!$B$9,Paramètres!$A$1:$I$89,3,0)*VLOOKUP('Données projet'!$B$9,Paramètres!$A$1:$I$89,5,0)</f>
        <v>1.2710188457276673E-13</v>
      </c>
      <c r="P154" s="14">
        <f t="shared" si="141"/>
        <v>1.856866851063998E-12</v>
      </c>
      <c r="Q154" s="22">
        <f t="shared" ref="Q154:Q203" si="162">(O154+P154)*0.475*44/12</f>
        <v>3.4554122145673649E-12</v>
      </c>
      <c r="R154" s="60">
        <f t="shared" si="109"/>
        <v>293.33333333333678</v>
      </c>
      <c r="S154" s="60">
        <f ca="1">AVERAGE(OFFSET($R$3,0,0,'Données projet'!$E$9+1,1))-AVERAGE(OFFSET($H$3,0,0,'Données projet'!$E$9+1,1))</f>
        <v>256.47911362806866</v>
      </c>
      <c r="T154" s="60">
        <f t="shared" si="142"/>
        <v>230.93438491511529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0.15275012970443821</v>
      </c>
      <c r="AB154" s="23">
        <f>EXP(-LN(2)/2)*AB153+(1-EXP(-LN(2)/2))/(LN(2)/2)*V154*Y154*VLOOKUP('Données projet'!$B$9,Paramètres!$A$1:$I$89,3,0)*0.475*44/12</f>
        <v>9.8867293257948327E-18</v>
      </c>
      <c r="AC154" s="24">
        <f t="shared" ref="AC154:AC203" si="163">SUM(Z154:AB154)</f>
        <v>0.15275012970443821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-3.694822225952521E-13</v>
      </c>
      <c r="AJ154" s="14">
        <f>AI154*VLOOKUP('Données projet'!$B$10,Paramètres!$A$1:$I$89,3,0)*VLOOKUP('Données projet'!$B$10,Paramètres!$A$1:$I$89,5,0)</f>
        <v>-3.2277966965921228E-13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233.41481265653817</v>
      </c>
      <c r="AO154" s="60">
        <f t="shared" si="144"/>
        <v>300.97465452084055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3.4106051316484809E-13</v>
      </c>
      <c r="BE154" s="14">
        <f>BD154*VLOOKUP('Données projet'!$B$11,Paramètres!$A$1:$I$89,3,0)*VLOOKUP('Données projet'!$B$11,Paramètres!$A$1:$I$89,5,0)</f>
        <v>2.7134774427395314E-13</v>
      </c>
      <c r="BF154" s="14">
        <f t="shared" ref="BF154:BF203" si="167">EXP(-1.0587+0.8836*LN(BE154)+0.284)</f>
        <v>3.6292411711343559E-12</v>
      </c>
      <c r="BG154" s="22">
        <f t="shared" ref="BG154:BG203" si="168">(BE154+BF154)*0.475*44/12</f>
        <v>6.7935256943361388E-12</v>
      </c>
      <c r="BH154" s="60">
        <f t="shared" si="116"/>
        <v>293.33333333334014</v>
      </c>
      <c r="BI154" s="60">
        <f ca="1">AVERAGE(OFFSET($BH$3,0,0,'Données projet'!$E$11+1,1))-AVERAGE(OFFSET($H$3,0,0,'Données projet'!$E$11+1,1))</f>
        <v>238.47463071449789</v>
      </c>
      <c r="BJ154" s="60">
        <f t="shared" si="146"/>
        <v>270.92950919803718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0" t="e">
        <f t="shared" si="119"/>
        <v>#N/A</v>
      </c>
      <c r="CD154" s="60" t="e">
        <f ca="1">AVERAGE(OFFSET($CC$3,0,0,'Données projet'!$E$12+1,1))-AVERAGE(OFFSET($H$3,0,0,'Données projet'!$E$12+1,1))</f>
        <v>#N/A</v>
      </c>
      <c r="CE154" s="60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0" t="e">
        <f t="shared" si="122"/>
        <v>#N/A</v>
      </c>
      <c r="CY154" s="60" t="e">
        <f ca="1">AVERAGE(OFFSET($CX$3,0,0,'Données projet'!$E$13+1,1))-AVERAGE(OFFSET($H$3,0,0,'Données projet'!$E$13+1,1))</f>
        <v>#N/A</v>
      </c>
      <c r="CZ154" s="60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0" t="e">
        <f t="shared" si="125"/>
        <v>#N/A</v>
      </c>
      <c r="DT154" s="60" t="e">
        <f ca="1">AVERAGE(OFFSET($DS$3,0,0,'Données projet'!$E$14+1,1))-AVERAGE(OFFSET($H$3,0,0,'Données projet'!$E$14+1,1))</f>
        <v>#N/A</v>
      </c>
      <c r="DU154" s="60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0" t="e">
        <f t="shared" si="128"/>
        <v>#N/A</v>
      </c>
      <c r="EO154" s="60" t="e">
        <f ca="1">AVERAGE(OFFSET($EN$3,0,0,'Données projet'!$E$15+1,1))-AVERAGE(OFFSET($H$3,0,0,'Données projet'!$E$15+1,1))</f>
        <v>#N/A</v>
      </c>
      <c r="EP154" s="60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8">
        <f t="shared" si="110"/>
        <v>456.27723918360118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2.2737367544323206E-13</v>
      </c>
      <c r="O155" s="14">
        <f>N155*VLOOKUP('Données projet'!$B$9,Paramètres!$A$1:$I$89,3,0)*VLOOKUP('Données projet'!$B$9,Paramètres!$A$1:$I$89,5,0)</f>
        <v>1.2710188457276673E-13</v>
      </c>
      <c r="P155" s="14">
        <f t="shared" si="141"/>
        <v>1.856866851063998E-12</v>
      </c>
      <c r="Q155" s="22">
        <f t="shared" si="162"/>
        <v>3.4554122145673649E-12</v>
      </c>
      <c r="R155" s="60">
        <f t="shared" si="109"/>
        <v>293.33333333333678</v>
      </c>
      <c r="S155" s="60">
        <f ca="1">AVERAGE(OFFSET($R$3,0,0,'Données projet'!$E$9+1,1))-AVERAGE(OFFSET($H$3,0,0,'Données projet'!$E$9+1,1))</f>
        <v>256.47911362806866</v>
      </c>
      <c r="T155" s="60">
        <f t="shared" si="142"/>
        <v>230.93438491511529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0.14857316937489015</v>
      </c>
      <c r="AB155" s="23">
        <f>EXP(-LN(2)/2)*AB154+(1-EXP(-LN(2)/2))/(LN(2)/2)*V155*Y155*VLOOKUP('Données projet'!$B$9,Paramètres!$A$1:$I$89,3,0)*0.475*44/12</f>
        <v>6.9909733500254292E-18</v>
      </c>
      <c r="AC155" s="24">
        <f t="shared" si="163"/>
        <v>0.14857316937489015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-3.694822225952521E-13</v>
      </c>
      <c r="AJ155" s="14">
        <f>AI155*VLOOKUP('Données projet'!$B$10,Paramètres!$A$1:$I$89,3,0)*VLOOKUP('Données projet'!$B$10,Paramètres!$A$1:$I$89,5,0)</f>
        <v>-3.2277966965921228E-13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233.41481265653817</v>
      </c>
      <c r="AO155" s="60">
        <f t="shared" si="144"/>
        <v>300.97465452084055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3.4106051316484809E-13</v>
      </c>
      <c r="BE155" s="14">
        <f>BD155*VLOOKUP('Données projet'!$B$11,Paramètres!$A$1:$I$89,3,0)*VLOOKUP('Données projet'!$B$11,Paramètres!$A$1:$I$89,5,0)</f>
        <v>2.7134774427395314E-13</v>
      </c>
      <c r="BF155" s="14">
        <f t="shared" si="167"/>
        <v>3.6292411711343559E-12</v>
      </c>
      <c r="BG155" s="22">
        <f t="shared" si="168"/>
        <v>6.7935256943361388E-12</v>
      </c>
      <c r="BH155" s="60">
        <f t="shared" si="116"/>
        <v>293.33333333334014</v>
      </c>
      <c r="BI155" s="60">
        <f ca="1">AVERAGE(OFFSET($BH$3,0,0,'Données projet'!$E$11+1,1))-AVERAGE(OFFSET($H$3,0,0,'Données projet'!$E$11+1,1))</f>
        <v>238.47463071449789</v>
      </c>
      <c r="BJ155" s="60">
        <f t="shared" si="146"/>
        <v>270.92950919803718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0" t="e">
        <f t="shared" si="119"/>
        <v>#N/A</v>
      </c>
      <c r="CD155" s="60" t="e">
        <f ca="1">AVERAGE(OFFSET($CC$3,0,0,'Données projet'!$E$12+1,1))-AVERAGE(OFFSET($H$3,0,0,'Données projet'!$E$12+1,1))</f>
        <v>#N/A</v>
      </c>
      <c r="CE155" s="60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0" t="e">
        <f t="shared" si="122"/>
        <v>#N/A</v>
      </c>
      <c r="CY155" s="60" t="e">
        <f ca="1">AVERAGE(OFFSET($CX$3,0,0,'Données projet'!$E$13+1,1))-AVERAGE(OFFSET($H$3,0,0,'Données projet'!$E$13+1,1))</f>
        <v>#N/A</v>
      </c>
      <c r="CZ155" s="60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0" t="e">
        <f t="shared" si="125"/>
        <v>#N/A</v>
      </c>
      <c r="DT155" s="60" t="e">
        <f ca="1">AVERAGE(OFFSET($DS$3,0,0,'Données projet'!$E$14+1,1))-AVERAGE(OFFSET($H$3,0,0,'Données projet'!$E$14+1,1))</f>
        <v>#N/A</v>
      </c>
      <c r="DU155" s="60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0" t="e">
        <f t="shared" si="128"/>
        <v>#N/A</v>
      </c>
      <c r="EO155" s="60" t="e">
        <f ca="1">AVERAGE(OFFSET($EN$3,0,0,'Données projet'!$E$15+1,1))-AVERAGE(OFFSET($H$3,0,0,'Données projet'!$E$15+1,1))</f>
        <v>#N/A</v>
      </c>
      <c r="EP155" s="60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8">
        <f t="shared" si="110"/>
        <v>457.32189190423196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2.2737367544323206E-13</v>
      </c>
      <c r="O156" s="14">
        <f>N156*VLOOKUP('Données projet'!$B$9,Paramètres!$A$1:$I$89,3,0)*VLOOKUP('Données projet'!$B$9,Paramètres!$A$1:$I$89,5,0)</f>
        <v>1.2710188457276673E-13</v>
      </c>
      <c r="P156" s="14">
        <f t="shared" si="141"/>
        <v>1.856866851063998E-12</v>
      </c>
      <c r="Q156" s="22">
        <f t="shared" si="162"/>
        <v>3.4554122145673649E-12</v>
      </c>
      <c r="R156" s="60">
        <f t="shared" si="109"/>
        <v>293.33333333333678</v>
      </c>
      <c r="S156" s="60">
        <f ca="1">AVERAGE(OFFSET($R$3,0,0,'Données projet'!$E$9+1,1))-AVERAGE(OFFSET($H$3,0,0,'Données projet'!$E$9+1,1))</f>
        <v>256.47911362806866</v>
      </c>
      <c r="T156" s="60">
        <f t="shared" si="142"/>
        <v>230.93438491511529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0.14451042824521038</v>
      </c>
      <c r="AB156" s="23">
        <f>EXP(-LN(2)/2)*AB155+(1-EXP(-LN(2)/2))/(LN(2)/2)*V156*Y156*VLOOKUP('Données projet'!$B$9,Paramètres!$A$1:$I$89,3,0)*0.475*44/12</f>
        <v>4.9433646628974163E-18</v>
      </c>
      <c r="AC156" s="24">
        <f t="shared" si="163"/>
        <v>0.14451042824521038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-3.694822225952521E-13</v>
      </c>
      <c r="AJ156" s="14">
        <f>AI156*VLOOKUP('Données projet'!$B$10,Paramètres!$A$1:$I$89,3,0)*VLOOKUP('Données projet'!$B$10,Paramètres!$A$1:$I$89,5,0)</f>
        <v>-3.2277966965921228E-13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233.41481265653817</v>
      </c>
      <c r="AO156" s="60">
        <f t="shared" si="144"/>
        <v>300.97465452084055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3.4106051316484809E-13</v>
      </c>
      <c r="BE156" s="14">
        <f>BD156*VLOOKUP('Données projet'!$B$11,Paramètres!$A$1:$I$89,3,0)*VLOOKUP('Données projet'!$B$11,Paramètres!$A$1:$I$89,5,0)</f>
        <v>2.7134774427395314E-13</v>
      </c>
      <c r="BF156" s="14">
        <f t="shared" si="167"/>
        <v>3.6292411711343559E-12</v>
      </c>
      <c r="BG156" s="22">
        <f t="shared" si="168"/>
        <v>6.7935256943361388E-12</v>
      </c>
      <c r="BH156" s="60">
        <f t="shared" si="116"/>
        <v>293.33333333334014</v>
      </c>
      <c r="BI156" s="60">
        <f ca="1">AVERAGE(OFFSET($BH$3,0,0,'Données projet'!$E$11+1,1))-AVERAGE(OFFSET($H$3,0,0,'Données projet'!$E$11+1,1))</f>
        <v>238.47463071449789</v>
      </c>
      <c r="BJ156" s="60">
        <f t="shared" si="146"/>
        <v>270.92950919803718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0" t="e">
        <f t="shared" si="119"/>
        <v>#N/A</v>
      </c>
      <c r="CD156" s="60" t="e">
        <f ca="1">AVERAGE(OFFSET($CC$3,0,0,'Données projet'!$E$12+1,1))-AVERAGE(OFFSET($H$3,0,0,'Données projet'!$E$12+1,1))</f>
        <v>#N/A</v>
      </c>
      <c r="CE156" s="60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0" t="e">
        <f t="shared" si="122"/>
        <v>#N/A</v>
      </c>
      <c r="CY156" s="60" t="e">
        <f ca="1">AVERAGE(OFFSET($CX$3,0,0,'Données projet'!$E$13+1,1))-AVERAGE(OFFSET($H$3,0,0,'Données projet'!$E$13+1,1))</f>
        <v>#N/A</v>
      </c>
      <c r="CZ156" s="60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0" t="e">
        <f t="shared" si="125"/>
        <v>#N/A</v>
      </c>
      <c r="DT156" s="60" t="e">
        <f ca="1">AVERAGE(OFFSET($DS$3,0,0,'Données projet'!$E$14+1,1))-AVERAGE(OFFSET($H$3,0,0,'Données projet'!$E$14+1,1))</f>
        <v>#N/A</v>
      </c>
      <c r="DU156" s="60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0" t="e">
        <f t="shared" si="128"/>
        <v>#N/A</v>
      </c>
      <c r="EO156" s="60" t="e">
        <f ca="1">AVERAGE(OFFSET($EN$3,0,0,'Données projet'!$E$15+1,1))-AVERAGE(OFFSET($H$3,0,0,'Données projet'!$E$15+1,1))</f>
        <v>#N/A</v>
      </c>
      <c r="EP156" s="60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8">
        <f t="shared" si="110"/>
        <v>458.36638726885758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2.2737367544323206E-13</v>
      </c>
      <c r="O157" s="14">
        <f>N157*VLOOKUP('Données projet'!$B$9,Paramètres!$A$1:$I$89,3,0)*VLOOKUP('Données projet'!$B$9,Paramètres!$A$1:$I$89,5,0)</f>
        <v>1.2710188457276673E-13</v>
      </c>
      <c r="P157" s="14">
        <f t="shared" si="141"/>
        <v>1.856866851063998E-12</v>
      </c>
      <c r="Q157" s="22">
        <f t="shared" si="162"/>
        <v>3.4554122145673649E-12</v>
      </c>
      <c r="R157" s="60">
        <f t="shared" si="109"/>
        <v>293.33333333333678</v>
      </c>
      <c r="S157" s="60">
        <f ca="1">AVERAGE(OFFSET($R$3,0,0,'Données projet'!$E$9+1,1))-AVERAGE(OFFSET($H$3,0,0,'Données projet'!$E$9+1,1))</f>
        <v>256.47911362806866</v>
      </c>
      <c r="T157" s="60">
        <f t="shared" si="142"/>
        <v>230.93438491511529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0.14055878298537197</v>
      </c>
      <c r="AB157" s="23">
        <f>EXP(-LN(2)/2)*AB156+(1-EXP(-LN(2)/2))/(LN(2)/2)*V157*Y157*VLOOKUP('Données projet'!$B$9,Paramètres!$A$1:$I$89,3,0)*0.475*44/12</f>
        <v>3.4954866750127146E-18</v>
      </c>
      <c r="AC157" s="24">
        <f t="shared" si="163"/>
        <v>0.14055878298537197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-3.694822225952521E-13</v>
      </c>
      <c r="AJ157" s="14">
        <f>AI157*VLOOKUP('Données projet'!$B$10,Paramètres!$A$1:$I$89,3,0)*VLOOKUP('Données projet'!$B$10,Paramètres!$A$1:$I$89,5,0)</f>
        <v>-3.2277966965921228E-13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233.41481265653817</v>
      </c>
      <c r="AO157" s="60">
        <f t="shared" si="144"/>
        <v>300.97465452084055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3.4106051316484809E-13</v>
      </c>
      <c r="BE157" s="14">
        <f>BD157*VLOOKUP('Données projet'!$B$11,Paramètres!$A$1:$I$89,3,0)*VLOOKUP('Données projet'!$B$11,Paramètres!$A$1:$I$89,5,0)</f>
        <v>2.7134774427395314E-13</v>
      </c>
      <c r="BF157" s="14">
        <f t="shared" si="167"/>
        <v>3.6292411711343559E-12</v>
      </c>
      <c r="BG157" s="22">
        <f t="shared" si="168"/>
        <v>6.7935256943361388E-12</v>
      </c>
      <c r="BH157" s="60">
        <f t="shared" si="116"/>
        <v>293.33333333334014</v>
      </c>
      <c r="BI157" s="60">
        <f ca="1">AVERAGE(OFFSET($BH$3,0,0,'Données projet'!$E$11+1,1))-AVERAGE(OFFSET($H$3,0,0,'Données projet'!$E$11+1,1))</f>
        <v>238.47463071449789</v>
      </c>
      <c r="BJ157" s="60">
        <f t="shared" si="146"/>
        <v>270.92950919803718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0" t="e">
        <f t="shared" si="119"/>
        <v>#N/A</v>
      </c>
      <c r="CD157" s="60" t="e">
        <f ca="1">AVERAGE(OFFSET($CC$3,0,0,'Données projet'!$E$12+1,1))-AVERAGE(OFFSET($H$3,0,0,'Données projet'!$E$12+1,1))</f>
        <v>#N/A</v>
      </c>
      <c r="CE157" s="60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0" t="e">
        <f t="shared" si="122"/>
        <v>#N/A</v>
      </c>
      <c r="CY157" s="60" t="e">
        <f ca="1">AVERAGE(OFFSET($CX$3,0,0,'Données projet'!$E$13+1,1))-AVERAGE(OFFSET($H$3,0,0,'Données projet'!$E$13+1,1))</f>
        <v>#N/A</v>
      </c>
      <c r="CZ157" s="60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0" t="e">
        <f t="shared" si="125"/>
        <v>#N/A</v>
      </c>
      <c r="DT157" s="60" t="e">
        <f ca="1">AVERAGE(OFFSET($DS$3,0,0,'Données projet'!$E$14+1,1))-AVERAGE(OFFSET($H$3,0,0,'Données projet'!$E$14+1,1))</f>
        <v>#N/A</v>
      </c>
      <c r="DU157" s="60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0" t="e">
        <f t="shared" si="128"/>
        <v>#N/A</v>
      </c>
      <c r="EO157" s="60" t="e">
        <f ca="1">AVERAGE(OFFSET($EN$3,0,0,'Données projet'!$E$15+1,1))-AVERAGE(OFFSET($H$3,0,0,'Données projet'!$E$15+1,1))</f>
        <v>#N/A</v>
      </c>
      <c r="EP157" s="60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8">
        <f t="shared" si="110"/>
        <v>459.41072641779198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2.2737367544323206E-13</v>
      </c>
      <c r="O158" s="14">
        <f>N158*VLOOKUP('Données projet'!$B$9,Paramètres!$A$1:$I$89,3,0)*VLOOKUP('Données projet'!$B$9,Paramètres!$A$1:$I$89,5,0)</f>
        <v>1.2710188457276673E-13</v>
      </c>
      <c r="P158" s="14">
        <f t="shared" si="141"/>
        <v>1.856866851063998E-12</v>
      </c>
      <c r="Q158" s="22">
        <f t="shared" si="162"/>
        <v>3.4554122145673649E-12</v>
      </c>
      <c r="R158" s="60">
        <f t="shared" si="109"/>
        <v>293.33333333333678</v>
      </c>
      <c r="S158" s="60">
        <f ca="1">AVERAGE(OFFSET($R$3,0,0,'Données projet'!$E$9+1,1))-AVERAGE(OFFSET($H$3,0,0,'Données projet'!$E$9+1,1))</f>
        <v>256.47911362806866</v>
      </c>
      <c r="T158" s="60">
        <f t="shared" si="142"/>
        <v>230.93438491511529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0.13671519567297183</v>
      </c>
      <c r="AB158" s="23">
        <f>EXP(-LN(2)/2)*AB157+(1-EXP(-LN(2)/2))/(LN(2)/2)*V158*Y158*VLOOKUP('Données projet'!$B$9,Paramètres!$A$1:$I$89,3,0)*0.475*44/12</f>
        <v>2.4716823314487082E-18</v>
      </c>
      <c r="AC158" s="24">
        <f t="shared" si="163"/>
        <v>0.13671519567297183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-3.694822225952521E-13</v>
      </c>
      <c r="AJ158" s="14">
        <f>AI158*VLOOKUP('Données projet'!$B$10,Paramètres!$A$1:$I$89,3,0)*VLOOKUP('Données projet'!$B$10,Paramètres!$A$1:$I$89,5,0)</f>
        <v>-3.2277966965921228E-13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233.41481265653817</v>
      </c>
      <c r="AO158" s="60">
        <f t="shared" si="144"/>
        <v>300.97465452084055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3.4106051316484809E-13</v>
      </c>
      <c r="BE158" s="14">
        <f>BD158*VLOOKUP('Données projet'!$B$11,Paramètres!$A$1:$I$89,3,0)*VLOOKUP('Données projet'!$B$11,Paramètres!$A$1:$I$89,5,0)</f>
        <v>2.7134774427395314E-13</v>
      </c>
      <c r="BF158" s="14">
        <f t="shared" si="167"/>
        <v>3.6292411711343559E-12</v>
      </c>
      <c r="BG158" s="22">
        <f t="shared" si="168"/>
        <v>6.7935256943361388E-12</v>
      </c>
      <c r="BH158" s="60">
        <f t="shared" si="116"/>
        <v>293.33333333334014</v>
      </c>
      <c r="BI158" s="60">
        <f ca="1">AVERAGE(OFFSET($BH$3,0,0,'Données projet'!$E$11+1,1))-AVERAGE(OFFSET($H$3,0,0,'Données projet'!$E$11+1,1))</f>
        <v>238.47463071449789</v>
      </c>
      <c r="BJ158" s="60">
        <f t="shared" si="146"/>
        <v>270.92950919803718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0" t="e">
        <f t="shared" si="119"/>
        <v>#N/A</v>
      </c>
      <c r="CD158" s="60" t="e">
        <f ca="1">AVERAGE(OFFSET($CC$3,0,0,'Données projet'!$E$12+1,1))-AVERAGE(OFFSET($H$3,0,0,'Données projet'!$E$12+1,1))</f>
        <v>#N/A</v>
      </c>
      <c r="CE158" s="60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0" t="e">
        <f t="shared" si="122"/>
        <v>#N/A</v>
      </c>
      <c r="CY158" s="60" t="e">
        <f ca="1">AVERAGE(OFFSET($CX$3,0,0,'Données projet'!$E$13+1,1))-AVERAGE(OFFSET($H$3,0,0,'Données projet'!$E$13+1,1))</f>
        <v>#N/A</v>
      </c>
      <c r="CZ158" s="60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0" t="e">
        <f t="shared" si="125"/>
        <v>#N/A</v>
      </c>
      <c r="DT158" s="60" t="e">
        <f ca="1">AVERAGE(OFFSET($DS$3,0,0,'Données projet'!$E$14+1,1))-AVERAGE(OFFSET($H$3,0,0,'Données projet'!$E$14+1,1))</f>
        <v>#N/A</v>
      </c>
      <c r="DU158" s="60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0" t="e">
        <f t="shared" si="128"/>
        <v>#N/A</v>
      </c>
      <c r="EO158" s="60" t="e">
        <f ca="1">AVERAGE(OFFSET($EN$3,0,0,'Données projet'!$E$15+1,1))-AVERAGE(OFFSET($H$3,0,0,'Données projet'!$E$15+1,1))</f>
        <v>#N/A</v>
      </c>
      <c r="EP158" s="60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8">
        <f t="shared" si="110"/>
        <v>460.45491047578457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2.2737367544323206E-13</v>
      </c>
      <c r="O159" s="14">
        <f>N159*VLOOKUP('Données projet'!$B$9,Paramètres!$A$1:$I$89,3,0)*VLOOKUP('Données projet'!$B$9,Paramètres!$A$1:$I$89,5,0)</f>
        <v>1.2710188457276673E-13</v>
      </c>
      <c r="P159" s="14">
        <f t="shared" si="141"/>
        <v>1.856866851063998E-12</v>
      </c>
      <c r="Q159" s="22">
        <f t="shared" si="162"/>
        <v>3.4554122145673649E-12</v>
      </c>
      <c r="R159" s="60">
        <f t="shared" si="109"/>
        <v>293.33333333333678</v>
      </c>
      <c r="S159" s="60">
        <f ca="1">AVERAGE(OFFSET($R$3,0,0,'Données projet'!$E$9+1,1))-AVERAGE(OFFSET($H$3,0,0,'Données projet'!$E$9+1,1))</f>
        <v>256.47911362806866</v>
      </c>
      <c r="T159" s="60">
        <f t="shared" si="142"/>
        <v>230.93438491511529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0.13297671145775475</v>
      </c>
      <c r="AB159" s="23">
        <f>EXP(-LN(2)/2)*AB158+(1-EXP(-LN(2)/2))/(LN(2)/2)*V159*Y159*VLOOKUP('Données projet'!$B$9,Paramètres!$A$1:$I$89,3,0)*0.475*44/12</f>
        <v>1.7477433375063573E-18</v>
      </c>
      <c r="AC159" s="24">
        <f t="shared" si="163"/>
        <v>0.13297671145775475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-3.694822225952521E-13</v>
      </c>
      <c r="AJ159" s="14">
        <f>AI159*VLOOKUP('Données projet'!$B$10,Paramètres!$A$1:$I$89,3,0)*VLOOKUP('Données projet'!$B$10,Paramètres!$A$1:$I$89,5,0)</f>
        <v>-3.2277966965921228E-13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233.41481265653817</v>
      </c>
      <c r="AO159" s="60">
        <f t="shared" si="144"/>
        <v>300.97465452084055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3.4106051316484809E-13</v>
      </c>
      <c r="BE159" s="14">
        <f>BD159*VLOOKUP('Données projet'!$B$11,Paramètres!$A$1:$I$89,3,0)*VLOOKUP('Données projet'!$B$11,Paramètres!$A$1:$I$89,5,0)</f>
        <v>2.7134774427395314E-13</v>
      </c>
      <c r="BF159" s="14">
        <f t="shared" si="167"/>
        <v>3.6292411711343559E-12</v>
      </c>
      <c r="BG159" s="22">
        <f t="shared" si="168"/>
        <v>6.7935256943361388E-12</v>
      </c>
      <c r="BH159" s="60">
        <f t="shared" si="116"/>
        <v>293.33333333334014</v>
      </c>
      <c r="BI159" s="60">
        <f ca="1">AVERAGE(OFFSET($BH$3,0,0,'Données projet'!$E$11+1,1))-AVERAGE(OFFSET($H$3,0,0,'Données projet'!$E$11+1,1))</f>
        <v>238.47463071449789</v>
      </c>
      <c r="BJ159" s="60">
        <f t="shared" si="146"/>
        <v>270.92950919803718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0" t="e">
        <f t="shared" si="119"/>
        <v>#N/A</v>
      </c>
      <c r="CD159" s="60" t="e">
        <f ca="1">AVERAGE(OFFSET($CC$3,0,0,'Données projet'!$E$12+1,1))-AVERAGE(OFFSET($H$3,0,0,'Données projet'!$E$12+1,1))</f>
        <v>#N/A</v>
      </c>
      <c r="CE159" s="60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0" t="e">
        <f t="shared" si="122"/>
        <v>#N/A</v>
      </c>
      <c r="CY159" s="60" t="e">
        <f ca="1">AVERAGE(OFFSET($CX$3,0,0,'Données projet'!$E$13+1,1))-AVERAGE(OFFSET($H$3,0,0,'Données projet'!$E$13+1,1))</f>
        <v>#N/A</v>
      </c>
      <c r="CZ159" s="60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0" t="e">
        <f t="shared" si="125"/>
        <v>#N/A</v>
      </c>
      <c r="DT159" s="60" t="e">
        <f ca="1">AVERAGE(OFFSET($DS$3,0,0,'Données projet'!$E$14+1,1))-AVERAGE(OFFSET($H$3,0,0,'Données projet'!$E$14+1,1))</f>
        <v>#N/A</v>
      </c>
      <c r="DU159" s="60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0" t="e">
        <f t="shared" si="128"/>
        <v>#N/A</v>
      </c>
      <c r="EO159" s="60" t="e">
        <f ca="1">AVERAGE(OFFSET($EN$3,0,0,'Données projet'!$E$15+1,1))-AVERAGE(OFFSET($H$3,0,0,'Données projet'!$E$15+1,1))</f>
        <v>#N/A</v>
      </c>
      <c r="EP159" s="60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8">
        <f t="shared" si="110"/>
        <v>461.49894055233096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2.2737367544323206E-13</v>
      </c>
      <c r="O160" s="14">
        <f>N160*VLOOKUP('Données projet'!$B$9,Paramètres!$A$1:$I$89,3,0)*VLOOKUP('Données projet'!$B$9,Paramètres!$A$1:$I$89,5,0)</f>
        <v>1.2710188457276673E-13</v>
      </c>
      <c r="P160" s="14">
        <f t="shared" si="141"/>
        <v>1.856866851063998E-12</v>
      </c>
      <c r="Q160" s="22">
        <f t="shared" si="162"/>
        <v>3.4554122145673649E-12</v>
      </c>
      <c r="R160" s="60">
        <f t="shared" si="109"/>
        <v>293.33333333333678</v>
      </c>
      <c r="S160" s="60">
        <f ca="1">AVERAGE(OFFSET($R$3,0,0,'Données projet'!$E$9+1,1))-AVERAGE(OFFSET($H$3,0,0,'Données projet'!$E$9+1,1))</f>
        <v>256.47911362806866</v>
      </c>
      <c r="T160" s="60">
        <f t="shared" si="142"/>
        <v>230.93438491511529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0.1293404562900011</v>
      </c>
      <c r="AB160" s="23">
        <f>EXP(-LN(2)/2)*AB159+(1-EXP(-LN(2)/2))/(LN(2)/2)*V160*Y160*VLOOKUP('Données projet'!$B$9,Paramètres!$A$1:$I$89,3,0)*0.475*44/12</f>
        <v>1.2358411657243541E-18</v>
      </c>
      <c r="AC160" s="24">
        <f t="shared" si="163"/>
        <v>0.1293404562900011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-3.694822225952521E-13</v>
      </c>
      <c r="AJ160" s="14">
        <f>AI160*VLOOKUP('Données projet'!$B$10,Paramètres!$A$1:$I$89,3,0)*VLOOKUP('Données projet'!$B$10,Paramètres!$A$1:$I$89,5,0)</f>
        <v>-3.2277966965921228E-13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233.41481265653817</v>
      </c>
      <c r="AO160" s="60">
        <f t="shared" si="144"/>
        <v>300.97465452084055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3.4106051316484809E-13</v>
      </c>
      <c r="BE160" s="14">
        <f>BD160*VLOOKUP('Données projet'!$B$11,Paramètres!$A$1:$I$89,3,0)*VLOOKUP('Données projet'!$B$11,Paramètres!$A$1:$I$89,5,0)</f>
        <v>2.7134774427395314E-13</v>
      </c>
      <c r="BF160" s="14">
        <f t="shared" si="167"/>
        <v>3.6292411711343559E-12</v>
      </c>
      <c r="BG160" s="22">
        <f t="shared" si="168"/>
        <v>6.7935256943361388E-12</v>
      </c>
      <c r="BH160" s="60">
        <f t="shared" si="116"/>
        <v>293.33333333334014</v>
      </c>
      <c r="BI160" s="60">
        <f ca="1">AVERAGE(OFFSET($BH$3,0,0,'Données projet'!$E$11+1,1))-AVERAGE(OFFSET($H$3,0,0,'Données projet'!$E$11+1,1))</f>
        <v>238.47463071449789</v>
      </c>
      <c r="BJ160" s="60">
        <f t="shared" si="146"/>
        <v>270.92950919803718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0" t="e">
        <f t="shared" si="119"/>
        <v>#N/A</v>
      </c>
      <c r="CD160" s="60" t="e">
        <f ca="1">AVERAGE(OFFSET($CC$3,0,0,'Données projet'!$E$12+1,1))-AVERAGE(OFFSET($H$3,0,0,'Données projet'!$E$12+1,1))</f>
        <v>#N/A</v>
      </c>
      <c r="CE160" s="60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0" t="e">
        <f t="shared" si="122"/>
        <v>#N/A</v>
      </c>
      <c r="CY160" s="60" t="e">
        <f ca="1">AVERAGE(OFFSET($CX$3,0,0,'Données projet'!$E$13+1,1))-AVERAGE(OFFSET($H$3,0,0,'Données projet'!$E$13+1,1))</f>
        <v>#N/A</v>
      </c>
      <c r="CZ160" s="60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0" t="e">
        <f t="shared" si="125"/>
        <v>#N/A</v>
      </c>
      <c r="DT160" s="60" t="e">
        <f ca="1">AVERAGE(OFFSET($DS$3,0,0,'Données projet'!$E$14+1,1))-AVERAGE(OFFSET($H$3,0,0,'Données projet'!$E$14+1,1))</f>
        <v>#N/A</v>
      </c>
      <c r="DU160" s="60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0" t="e">
        <f t="shared" si="128"/>
        <v>#N/A</v>
      </c>
      <c r="EO160" s="60" t="e">
        <f ca="1">AVERAGE(OFFSET($EN$3,0,0,'Données projet'!$E$15+1,1))-AVERAGE(OFFSET($H$3,0,0,'Données projet'!$E$15+1,1))</f>
        <v>#N/A</v>
      </c>
      <c r="EP160" s="60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8">
        <f t="shared" si="110"/>
        <v>462.5428177419758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2.2737367544323206E-13</v>
      </c>
      <c r="O161" s="14">
        <f>N161*VLOOKUP('Données projet'!$B$9,Paramètres!$A$1:$I$89,3,0)*VLOOKUP('Données projet'!$B$9,Paramètres!$A$1:$I$89,5,0)</f>
        <v>1.2710188457276673E-13</v>
      </c>
      <c r="P161" s="14">
        <f t="shared" si="141"/>
        <v>1.856866851063998E-12</v>
      </c>
      <c r="Q161" s="22">
        <f t="shared" si="162"/>
        <v>3.4554122145673649E-12</v>
      </c>
      <c r="R161" s="60">
        <f t="shared" si="109"/>
        <v>293.33333333333678</v>
      </c>
      <c r="S161" s="60">
        <f ca="1">AVERAGE(OFFSET($R$3,0,0,'Données projet'!$E$9+1,1))-AVERAGE(OFFSET($H$3,0,0,'Données projet'!$E$9+1,1))</f>
        <v>256.47911362806866</v>
      </c>
      <c r="T161" s="60">
        <f t="shared" si="142"/>
        <v>230.93438491511529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0.12580363471103204</v>
      </c>
      <c r="AB161" s="23">
        <f>EXP(-LN(2)/2)*AB160+(1-EXP(-LN(2)/2))/(LN(2)/2)*V161*Y161*VLOOKUP('Données projet'!$B$9,Paramètres!$A$1:$I$89,3,0)*0.475*44/12</f>
        <v>8.7387166875317865E-19</v>
      </c>
      <c r="AC161" s="24">
        <f t="shared" si="163"/>
        <v>0.12580363471103204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-3.694822225952521E-13</v>
      </c>
      <c r="AJ161" s="14">
        <f>AI161*VLOOKUP('Données projet'!$B$10,Paramètres!$A$1:$I$89,3,0)*VLOOKUP('Données projet'!$B$10,Paramètres!$A$1:$I$89,5,0)</f>
        <v>-3.2277966965921228E-13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233.41481265653817</v>
      </c>
      <c r="AO161" s="60">
        <f t="shared" si="144"/>
        <v>300.97465452084055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3.4106051316484809E-13</v>
      </c>
      <c r="BE161" s="14">
        <f>BD161*VLOOKUP('Données projet'!$B$11,Paramètres!$A$1:$I$89,3,0)*VLOOKUP('Données projet'!$B$11,Paramètres!$A$1:$I$89,5,0)</f>
        <v>2.7134774427395314E-13</v>
      </c>
      <c r="BF161" s="14">
        <f t="shared" si="167"/>
        <v>3.6292411711343559E-12</v>
      </c>
      <c r="BG161" s="22">
        <f t="shared" si="168"/>
        <v>6.7935256943361388E-12</v>
      </c>
      <c r="BH161" s="60">
        <f t="shared" si="116"/>
        <v>293.33333333334014</v>
      </c>
      <c r="BI161" s="60">
        <f ca="1">AVERAGE(OFFSET($BH$3,0,0,'Données projet'!$E$11+1,1))-AVERAGE(OFFSET($H$3,0,0,'Données projet'!$E$11+1,1))</f>
        <v>238.47463071449789</v>
      </c>
      <c r="BJ161" s="60">
        <f t="shared" si="146"/>
        <v>270.92950919803718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0" t="e">
        <f t="shared" si="119"/>
        <v>#N/A</v>
      </c>
      <c r="CD161" s="60" t="e">
        <f ca="1">AVERAGE(OFFSET($CC$3,0,0,'Données projet'!$E$12+1,1))-AVERAGE(OFFSET($H$3,0,0,'Données projet'!$E$12+1,1))</f>
        <v>#N/A</v>
      </c>
      <c r="CE161" s="60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0" t="e">
        <f t="shared" si="122"/>
        <v>#N/A</v>
      </c>
      <c r="CY161" s="60" t="e">
        <f ca="1">AVERAGE(OFFSET($CX$3,0,0,'Données projet'!$E$13+1,1))-AVERAGE(OFFSET($H$3,0,0,'Données projet'!$E$13+1,1))</f>
        <v>#N/A</v>
      </c>
      <c r="CZ161" s="60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0" t="e">
        <f t="shared" si="125"/>
        <v>#N/A</v>
      </c>
      <c r="DT161" s="60" t="e">
        <f ca="1">AVERAGE(OFFSET($DS$3,0,0,'Données projet'!$E$14+1,1))-AVERAGE(OFFSET($H$3,0,0,'Données projet'!$E$14+1,1))</f>
        <v>#N/A</v>
      </c>
      <c r="DU161" s="60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0" t="e">
        <f t="shared" si="128"/>
        <v>#N/A</v>
      </c>
      <c r="EO161" s="60" t="e">
        <f ca="1">AVERAGE(OFFSET($EN$3,0,0,'Données projet'!$E$15+1,1))-AVERAGE(OFFSET($H$3,0,0,'Données projet'!$E$15+1,1))</f>
        <v>#N/A</v>
      </c>
      <c r="EP161" s="60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8">
        <f t="shared" si="110"/>
        <v>463.58654312460754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2.2737367544323206E-13</v>
      </c>
      <c r="O162" s="14">
        <f>N162*VLOOKUP('Données projet'!$B$9,Paramètres!$A$1:$I$89,3,0)*VLOOKUP('Données projet'!$B$9,Paramètres!$A$1:$I$89,5,0)</f>
        <v>1.2710188457276673E-13</v>
      </c>
      <c r="P162" s="14">
        <f t="shared" si="141"/>
        <v>1.856866851063998E-12</v>
      </c>
      <c r="Q162" s="22">
        <f t="shared" si="162"/>
        <v>3.4554122145673649E-12</v>
      </c>
      <c r="R162" s="60">
        <f t="shared" si="109"/>
        <v>293.33333333333678</v>
      </c>
      <c r="S162" s="60">
        <f ca="1">AVERAGE(OFFSET($R$3,0,0,'Données projet'!$E$9+1,1))-AVERAGE(OFFSET($H$3,0,0,'Données projet'!$E$9+1,1))</f>
        <v>256.47911362806866</v>
      </c>
      <c r="T162" s="60">
        <f t="shared" si="142"/>
        <v>230.93438491511529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0.12236352770413324</v>
      </c>
      <c r="AB162" s="23">
        <f>EXP(-LN(2)/2)*AB161+(1-EXP(-LN(2)/2))/(LN(2)/2)*V162*Y162*VLOOKUP('Données projet'!$B$9,Paramètres!$A$1:$I$89,3,0)*0.475*44/12</f>
        <v>6.1792058286217704E-19</v>
      </c>
      <c r="AC162" s="24">
        <f t="shared" si="163"/>
        <v>0.12236352770413324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-3.694822225952521E-13</v>
      </c>
      <c r="AJ162" s="14">
        <f>AI162*VLOOKUP('Données projet'!$B$10,Paramètres!$A$1:$I$89,3,0)*VLOOKUP('Données projet'!$B$10,Paramètres!$A$1:$I$89,5,0)</f>
        <v>-3.2277966965921228E-13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233.41481265653817</v>
      </c>
      <c r="AO162" s="60">
        <f t="shared" si="144"/>
        <v>300.97465452084055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3.4106051316484809E-13</v>
      </c>
      <c r="BE162" s="14">
        <f>BD162*VLOOKUP('Données projet'!$B$11,Paramètres!$A$1:$I$89,3,0)*VLOOKUP('Données projet'!$B$11,Paramètres!$A$1:$I$89,5,0)</f>
        <v>2.7134774427395314E-13</v>
      </c>
      <c r="BF162" s="14">
        <f t="shared" si="167"/>
        <v>3.6292411711343559E-12</v>
      </c>
      <c r="BG162" s="22">
        <f t="shared" si="168"/>
        <v>6.7935256943361388E-12</v>
      </c>
      <c r="BH162" s="60">
        <f t="shared" si="116"/>
        <v>293.33333333334014</v>
      </c>
      <c r="BI162" s="60">
        <f ca="1">AVERAGE(OFFSET($BH$3,0,0,'Données projet'!$E$11+1,1))-AVERAGE(OFFSET($H$3,0,0,'Données projet'!$E$11+1,1))</f>
        <v>238.47463071449789</v>
      </c>
      <c r="BJ162" s="60">
        <f t="shared" si="146"/>
        <v>270.92950919803718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0" t="e">
        <f t="shared" si="119"/>
        <v>#N/A</v>
      </c>
      <c r="CD162" s="60" t="e">
        <f ca="1">AVERAGE(OFFSET($CC$3,0,0,'Données projet'!$E$12+1,1))-AVERAGE(OFFSET($H$3,0,0,'Données projet'!$E$12+1,1))</f>
        <v>#N/A</v>
      </c>
      <c r="CE162" s="60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0" t="e">
        <f t="shared" si="122"/>
        <v>#N/A</v>
      </c>
      <c r="CY162" s="60" t="e">
        <f ca="1">AVERAGE(OFFSET($CX$3,0,0,'Données projet'!$E$13+1,1))-AVERAGE(OFFSET($H$3,0,0,'Données projet'!$E$13+1,1))</f>
        <v>#N/A</v>
      </c>
      <c r="CZ162" s="60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0" t="e">
        <f t="shared" si="125"/>
        <v>#N/A</v>
      </c>
      <c r="DT162" s="60" t="e">
        <f ca="1">AVERAGE(OFFSET($DS$3,0,0,'Données projet'!$E$14+1,1))-AVERAGE(OFFSET($H$3,0,0,'Données projet'!$E$14+1,1))</f>
        <v>#N/A</v>
      </c>
      <c r="DU162" s="60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0" t="e">
        <f t="shared" si="128"/>
        <v>#N/A</v>
      </c>
      <c r="EO162" s="60" t="e">
        <f ca="1">AVERAGE(OFFSET($EN$3,0,0,'Données projet'!$E$15+1,1))-AVERAGE(OFFSET($H$3,0,0,'Données projet'!$E$15+1,1))</f>
        <v>#N/A</v>
      </c>
      <c r="EP162" s="60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8">
        <f t="shared" si="110"/>
        <v>464.63011776574541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2.2737367544323206E-13</v>
      </c>
      <c r="O163" s="14">
        <f>N163*VLOOKUP('Données projet'!$B$9,Paramètres!$A$1:$I$89,3,0)*VLOOKUP('Données projet'!$B$9,Paramètres!$A$1:$I$89,5,0)</f>
        <v>1.2710188457276673E-13</v>
      </c>
      <c r="P163" s="14">
        <f t="shared" si="141"/>
        <v>1.856866851063998E-12</v>
      </c>
      <c r="Q163" s="22">
        <f t="shared" si="162"/>
        <v>3.4554122145673649E-12</v>
      </c>
      <c r="R163" s="60">
        <f t="shared" si="109"/>
        <v>293.33333333333678</v>
      </c>
      <c r="S163" s="60">
        <f ca="1">AVERAGE(OFFSET($R$3,0,0,'Données projet'!$E$9+1,1))-AVERAGE(OFFSET($H$3,0,0,'Données projet'!$E$9+1,1))</f>
        <v>256.47911362806866</v>
      </c>
      <c r="T163" s="60">
        <f t="shared" si="142"/>
        <v>230.93438491511529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0.11901749060424546</v>
      </c>
      <c r="AB163" s="23">
        <f>EXP(-LN(2)/2)*AB162+(1-EXP(-LN(2)/2))/(LN(2)/2)*V163*Y163*VLOOKUP('Données projet'!$B$9,Paramètres!$A$1:$I$89,3,0)*0.475*44/12</f>
        <v>4.3693583437658933E-19</v>
      </c>
      <c r="AC163" s="24">
        <f t="shared" si="163"/>
        <v>0.11901749060424546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-3.694822225952521E-13</v>
      </c>
      <c r="AJ163" s="14">
        <f>AI163*VLOOKUP('Données projet'!$B$10,Paramètres!$A$1:$I$89,3,0)*VLOOKUP('Données projet'!$B$10,Paramètres!$A$1:$I$89,5,0)</f>
        <v>-3.2277966965921228E-13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233.41481265653817</v>
      </c>
      <c r="AO163" s="60">
        <f t="shared" si="144"/>
        <v>300.97465452084055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3.4106051316484809E-13</v>
      </c>
      <c r="BE163" s="14">
        <f>BD163*VLOOKUP('Données projet'!$B$11,Paramètres!$A$1:$I$89,3,0)*VLOOKUP('Données projet'!$B$11,Paramètres!$A$1:$I$89,5,0)</f>
        <v>2.7134774427395314E-13</v>
      </c>
      <c r="BF163" s="14">
        <f t="shared" si="167"/>
        <v>3.6292411711343559E-12</v>
      </c>
      <c r="BG163" s="22">
        <f t="shared" si="168"/>
        <v>6.7935256943361388E-12</v>
      </c>
      <c r="BH163" s="60">
        <f t="shared" si="116"/>
        <v>293.33333333334014</v>
      </c>
      <c r="BI163" s="60">
        <f ca="1">AVERAGE(OFFSET($BH$3,0,0,'Données projet'!$E$11+1,1))-AVERAGE(OFFSET($H$3,0,0,'Données projet'!$E$11+1,1))</f>
        <v>238.47463071449789</v>
      </c>
      <c r="BJ163" s="60">
        <f t="shared" si="146"/>
        <v>270.92950919803718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0" t="e">
        <f t="shared" si="119"/>
        <v>#N/A</v>
      </c>
      <c r="CD163" s="60" t="e">
        <f ca="1">AVERAGE(OFFSET($CC$3,0,0,'Données projet'!$E$12+1,1))-AVERAGE(OFFSET($H$3,0,0,'Données projet'!$E$12+1,1))</f>
        <v>#N/A</v>
      </c>
      <c r="CE163" s="60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0" t="e">
        <f t="shared" si="122"/>
        <v>#N/A</v>
      </c>
      <c r="CY163" s="60" t="e">
        <f ca="1">AVERAGE(OFFSET($CX$3,0,0,'Données projet'!$E$13+1,1))-AVERAGE(OFFSET($H$3,0,0,'Données projet'!$E$13+1,1))</f>
        <v>#N/A</v>
      </c>
      <c r="CZ163" s="60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0" t="e">
        <f t="shared" si="125"/>
        <v>#N/A</v>
      </c>
      <c r="DT163" s="60" t="e">
        <f ca="1">AVERAGE(OFFSET($DS$3,0,0,'Données projet'!$E$14+1,1))-AVERAGE(OFFSET($H$3,0,0,'Données projet'!$E$14+1,1))</f>
        <v>#N/A</v>
      </c>
      <c r="DU163" s="60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0" t="e">
        <f t="shared" si="128"/>
        <v>#N/A</v>
      </c>
      <c r="EO163" s="60" t="e">
        <f ca="1">AVERAGE(OFFSET($EN$3,0,0,'Données projet'!$E$15+1,1))-AVERAGE(OFFSET($H$3,0,0,'Données projet'!$E$15+1,1))</f>
        <v>#N/A</v>
      </c>
      <c r="EP163" s="60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8">
        <f t="shared" si="110"/>
        <v>465.67354271681944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2.2737367544323206E-13</v>
      </c>
      <c r="O164" s="14">
        <f>N164*VLOOKUP('Données projet'!$B$9,Paramètres!$A$1:$I$89,3,0)*VLOOKUP('Données projet'!$B$9,Paramètres!$A$1:$I$89,5,0)</f>
        <v>1.2710188457276673E-13</v>
      </c>
      <c r="P164" s="14">
        <f t="shared" si="141"/>
        <v>1.856866851063998E-12</v>
      </c>
      <c r="Q164" s="22">
        <f t="shared" si="162"/>
        <v>3.4554122145673649E-12</v>
      </c>
      <c r="R164" s="60">
        <f t="shared" si="109"/>
        <v>293.33333333333678</v>
      </c>
      <c r="S164" s="60">
        <f ca="1">AVERAGE(OFFSET($R$3,0,0,'Données projet'!$E$9+1,1))-AVERAGE(OFFSET($H$3,0,0,'Données projet'!$E$9+1,1))</f>
        <v>256.47911362806866</v>
      </c>
      <c r="T164" s="60">
        <f t="shared" si="142"/>
        <v>230.93438491511529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0.11576295106481456</v>
      </c>
      <c r="AB164" s="23">
        <f>EXP(-LN(2)/2)*AB163+(1-EXP(-LN(2)/2))/(LN(2)/2)*V164*Y164*VLOOKUP('Données projet'!$B$9,Paramètres!$A$1:$I$89,3,0)*0.475*44/12</f>
        <v>3.0896029143108852E-19</v>
      </c>
      <c r="AC164" s="24">
        <f t="shared" si="163"/>
        <v>0.11576295106481456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-3.694822225952521E-13</v>
      </c>
      <c r="AJ164" s="14">
        <f>AI164*VLOOKUP('Données projet'!$B$10,Paramètres!$A$1:$I$89,3,0)*VLOOKUP('Données projet'!$B$10,Paramètres!$A$1:$I$89,5,0)</f>
        <v>-3.2277966965921228E-13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233.41481265653817</v>
      </c>
      <c r="AO164" s="60">
        <f t="shared" si="144"/>
        <v>300.97465452084055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3.4106051316484809E-13</v>
      </c>
      <c r="BE164" s="14">
        <f>BD164*VLOOKUP('Données projet'!$B$11,Paramètres!$A$1:$I$89,3,0)*VLOOKUP('Données projet'!$B$11,Paramètres!$A$1:$I$89,5,0)</f>
        <v>2.7134774427395314E-13</v>
      </c>
      <c r="BF164" s="14">
        <f t="shared" si="167"/>
        <v>3.6292411711343559E-12</v>
      </c>
      <c r="BG164" s="22">
        <f t="shared" si="168"/>
        <v>6.7935256943361388E-12</v>
      </c>
      <c r="BH164" s="60">
        <f t="shared" si="116"/>
        <v>293.33333333334014</v>
      </c>
      <c r="BI164" s="60">
        <f ca="1">AVERAGE(OFFSET($BH$3,0,0,'Données projet'!$E$11+1,1))-AVERAGE(OFFSET($H$3,0,0,'Données projet'!$E$11+1,1))</f>
        <v>238.47463071449789</v>
      </c>
      <c r="BJ164" s="60">
        <f t="shared" si="146"/>
        <v>270.92950919803718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0" t="e">
        <f t="shared" si="119"/>
        <v>#N/A</v>
      </c>
      <c r="CD164" s="60" t="e">
        <f ca="1">AVERAGE(OFFSET($CC$3,0,0,'Données projet'!$E$12+1,1))-AVERAGE(OFFSET($H$3,0,0,'Données projet'!$E$12+1,1))</f>
        <v>#N/A</v>
      </c>
      <c r="CE164" s="60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0" t="e">
        <f t="shared" si="122"/>
        <v>#N/A</v>
      </c>
      <c r="CY164" s="60" t="e">
        <f ca="1">AVERAGE(OFFSET($CX$3,0,0,'Données projet'!$E$13+1,1))-AVERAGE(OFFSET($H$3,0,0,'Données projet'!$E$13+1,1))</f>
        <v>#N/A</v>
      </c>
      <c r="CZ164" s="60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0" t="e">
        <f t="shared" si="125"/>
        <v>#N/A</v>
      </c>
      <c r="DT164" s="60" t="e">
        <f ca="1">AVERAGE(OFFSET($DS$3,0,0,'Données projet'!$E$14+1,1))-AVERAGE(OFFSET($H$3,0,0,'Données projet'!$E$14+1,1))</f>
        <v>#N/A</v>
      </c>
      <c r="DU164" s="60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0" t="e">
        <f t="shared" si="128"/>
        <v>#N/A</v>
      </c>
      <c r="EO164" s="60" t="e">
        <f ca="1">AVERAGE(OFFSET($EN$3,0,0,'Données projet'!$E$15+1,1))-AVERAGE(OFFSET($H$3,0,0,'Données projet'!$E$15+1,1))</f>
        <v>#N/A</v>
      </c>
      <c r="EP164" s="60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8">
        <f t="shared" si="110"/>
        <v>466.71681901544298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2.2737367544323206E-13</v>
      </c>
      <c r="O165" s="14">
        <f>N165*VLOOKUP('Données projet'!$B$9,Paramètres!$A$1:$I$89,3,0)*VLOOKUP('Données projet'!$B$9,Paramètres!$A$1:$I$89,5,0)</f>
        <v>1.2710188457276673E-13</v>
      </c>
      <c r="P165" s="14">
        <f t="shared" si="141"/>
        <v>1.856866851063998E-12</v>
      </c>
      <c r="Q165" s="22">
        <f t="shared" si="162"/>
        <v>3.4554122145673649E-12</v>
      </c>
      <c r="R165" s="60">
        <f t="shared" si="109"/>
        <v>293.33333333333678</v>
      </c>
      <c r="S165" s="60">
        <f ca="1">AVERAGE(OFFSET($R$3,0,0,'Données projet'!$E$9+1,1))-AVERAGE(OFFSET($H$3,0,0,'Données projet'!$E$9+1,1))</f>
        <v>256.47911362806866</v>
      </c>
      <c r="T165" s="60">
        <f t="shared" si="142"/>
        <v>230.93438491511529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0.11259740708023819</v>
      </c>
      <c r="AB165" s="23">
        <f>EXP(-LN(2)/2)*AB164+(1-EXP(-LN(2)/2))/(LN(2)/2)*V165*Y165*VLOOKUP('Données projet'!$B$9,Paramètres!$A$1:$I$89,3,0)*0.475*44/12</f>
        <v>2.1846791718829466E-19</v>
      </c>
      <c r="AC165" s="24">
        <f t="shared" si="163"/>
        <v>0.11259740708023819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-3.694822225952521E-13</v>
      </c>
      <c r="AJ165" s="14">
        <f>AI165*VLOOKUP('Données projet'!$B$10,Paramètres!$A$1:$I$89,3,0)*VLOOKUP('Données projet'!$B$10,Paramètres!$A$1:$I$89,5,0)</f>
        <v>-3.2277966965921228E-13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233.41481265653817</v>
      </c>
      <c r="AO165" s="60">
        <f t="shared" si="144"/>
        <v>300.97465452084055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3.4106051316484809E-13</v>
      </c>
      <c r="BE165" s="14">
        <f>BD165*VLOOKUP('Données projet'!$B$11,Paramètres!$A$1:$I$89,3,0)*VLOOKUP('Données projet'!$B$11,Paramètres!$A$1:$I$89,5,0)</f>
        <v>2.7134774427395314E-13</v>
      </c>
      <c r="BF165" s="14">
        <f t="shared" si="167"/>
        <v>3.6292411711343559E-12</v>
      </c>
      <c r="BG165" s="22">
        <f t="shared" si="168"/>
        <v>6.7935256943361388E-12</v>
      </c>
      <c r="BH165" s="60">
        <f t="shared" si="116"/>
        <v>293.33333333334014</v>
      </c>
      <c r="BI165" s="60">
        <f ca="1">AVERAGE(OFFSET($BH$3,0,0,'Données projet'!$E$11+1,1))-AVERAGE(OFFSET($H$3,0,0,'Données projet'!$E$11+1,1))</f>
        <v>238.47463071449789</v>
      </c>
      <c r="BJ165" s="60">
        <f t="shared" si="146"/>
        <v>270.92950919803718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0" t="e">
        <f t="shared" si="119"/>
        <v>#N/A</v>
      </c>
      <c r="CD165" s="60" t="e">
        <f ca="1">AVERAGE(OFFSET($CC$3,0,0,'Données projet'!$E$12+1,1))-AVERAGE(OFFSET($H$3,0,0,'Données projet'!$E$12+1,1))</f>
        <v>#N/A</v>
      </c>
      <c r="CE165" s="60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0" t="e">
        <f t="shared" si="122"/>
        <v>#N/A</v>
      </c>
      <c r="CY165" s="60" t="e">
        <f ca="1">AVERAGE(OFFSET($CX$3,0,0,'Données projet'!$E$13+1,1))-AVERAGE(OFFSET($H$3,0,0,'Données projet'!$E$13+1,1))</f>
        <v>#N/A</v>
      </c>
      <c r="CZ165" s="60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0" t="e">
        <f t="shared" si="125"/>
        <v>#N/A</v>
      </c>
      <c r="DT165" s="60" t="e">
        <f ca="1">AVERAGE(OFFSET($DS$3,0,0,'Données projet'!$E$14+1,1))-AVERAGE(OFFSET($H$3,0,0,'Données projet'!$E$14+1,1))</f>
        <v>#N/A</v>
      </c>
      <c r="DU165" s="60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0" t="e">
        <f t="shared" si="128"/>
        <v>#N/A</v>
      </c>
      <c r="EO165" s="60" t="e">
        <f ca="1">AVERAGE(OFFSET($EN$3,0,0,'Données projet'!$E$15+1,1))-AVERAGE(OFFSET($H$3,0,0,'Données projet'!$E$15+1,1))</f>
        <v>#N/A</v>
      </c>
      <c r="EP165" s="60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8">
        <f t="shared" si="110"/>
        <v>467.75994768567836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2.2737367544323206E-13</v>
      </c>
      <c r="O166" s="14">
        <f>N166*VLOOKUP('Données projet'!$B$9,Paramètres!$A$1:$I$89,3,0)*VLOOKUP('Données projet'!$B$9,Paramètres!$A$1:$I$89,5,0)</f>
        <v>1.2710188457276673E-13</v>
      </c>
      <c r="P166" s="14">
        <f t="shared" si="141"/>
        <v>1.856866851063998E-12</v>
      </c>
      <c r="Q166" s="22">
        <f t="shared" si="162"/>
        <v>3.4554122145673649E-12</v>
      </c>
      <c r="R166" s="60">
        <f t="shared" si="109"/>
        <v>293.33333333333678</v>
      </c>
      <c r="S166" s="60">
        <f ca="1">AVERAGE(OFFSET($R$3,0,0,'Données projet'!$E$9+1,1))-AVERAGE(OFFSET($H$3,0,0,'Données projet'!$E$9+1,1))</f>
        <v>256.47911362806866</v>
      </c>
      <c r="T166" s="60">
        <f t="shared" si="142"/>
        <v>230.93438491511529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0.10951842506238878</v>
      </c>
      <c r="AB166" s="23">
        <f>EXP(-LN(2)/2)*AB165+(1-EXP(-LN(2)/2))/(LN(2)/2)*V166*Y166*VLOOKUP('Données projet'!$B$9,Paramètres!$A$1:$I$89,3,0)*0.475*44/12</f>
        <v>1.5448014571554426E-19</v>
      </c>
      <c r="AC166" s="24">
        <f t="shared" si="163"/>
        <v>0.10951842506238878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-3.694822225952521E-13</v>
      </c>
      <c r="AJ166" s="14">
        <f>AI166*VLOOKUP('Données projet'!$B$10,Paramètres!$A$1:$I$89,3,0)*VLOOKUP('Données projet'!$B$10,Paramètres!$A$1:$I$89,5,0)</f>
        <v>-3.2277966965921228E-13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233.41481265653817</v>
      </c>
      <c r="AO166" s="60">
        <f t="shared" si="144"/>
        <v>300.97465452084055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3.4106051316484809E-13</v>
      </c>
      <c r="BE166" s="14">
        <f>BD166*VLOOKUP('Données projet'!$B$11,Paramètres!$A$1:$I$89,3,0)*VLOOKUP('Données projet'!$B$11,Paramètres!$A$1:$I$89,5,0)</f>
        <v>2.7134774427395314E-13</v>
      </c>
      <c r="BF166" s="14">
        <f t="shared" si="167"/>
        <v>3.6292411711343559E-12</v>
      </c>
      <c r="BG166" s="22">
        <f t="shared" si="168"/>
        <v>6.7935256943361388E-12</v>
      </c>
      <c r="BH166" s="60">
        <f t="shared" si="116"/>
        <v>293.33333333334014</v>
      </c>
      <c r="BI166" s="60">
        <f ca="1">AVERAGE(OFFSET($BH$3,0,0,'Données projet'!$E$11+1,1))-AVERAGE(OFFSET($H$3,0,0,'Données projet'!$E$11+1,1))</f>
        <v>238.47463071449789</v>
      </c>
      <c r="BJ166" s="60">
        <f t="shared" si="146"/>
        <v>270.92950919803718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0" t="e">
        <f t="shared" si="119"/>
        <v>#N/A</v>
      </c>
      <c r="CD166" s="60" t="e">
        <f ca="1">AVERAGE(OFFSET($CC$3,0,0,'Données projet'!$E$12+1,1))-AVERAGE(OFFSET($H$3,0,0,'Données projet'!$E$12+1,1))</f>
        <v>#N/A</v>
      </c>
      <c r="CE166" s="60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0" t="e">
        <f t="shared" si="122"/>
        <v>#N/A</v>
      </c>
      <c r="CY166" s="60" t="e">
        <f ca="1">AVERAGE(OFFSET($CX$3,0,0,'Données projet'!$E$13+1,1))-AVERAGE(OFFSET($H$3,0,0,'Données projet'!$E$13+1,1))</f>
        <v>#N/A</v>
      </c>
      <c r="CZ166" s="60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0" t="e">
        <f t="shared" si="125"/>
        <v>#N/A</v>
      </c>
      <c r="DT166" s="60" t="e">
        <f ca="1">AVERAGE(OFFSET($DS$3,0,0,'Données projet'!$E$14+1,1))-AVERAGE(OFFSET($H$3,0,0,'Données projet'!$E$14+1,1))</f>
        <v>#N/A</v>
      </c>
      <c r="DU166" s="60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0" t="e">
        <f t="shared" si="128"/>
        <v>#N/A</v>
      </c>
      <c r="EO166" s="60" t="e">
        <f ca="1">AVERAGE(OFFSET($EN$3,0,0,'Données projet'!$E$15+1,1))-AVERAGE(OFFSET($H$3,0,0,'Données projet'!$E$15+1,1))</f>
        <v>#N/A</v>
      </c>
      <c r="EP166" s="60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8">
        <f t="shared" si="110"/>
        <v>468.80292973829592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2.2737367544323206E-13</v>
      </c>
      <c r="O167" s="14">
        <f>N167*VLOOKUP('Données projet'!$B$9,Paramètres!$A$1:$I$89,3,0)*VLOOKUP('Données projet'!$B$9,Paramètres!$A$1:$I$89,5,0)</f>
        <v>1.2710188457276673E-13</v>
      </c>
      <c r="P167" s="14">
        <f t="shared" si="141"/>
        <v>1.856866851063998E-12</v>
      </c>
      <c r="Q167" s="22">
        <f t="shared" si="162"/>
        <v>3.4554122145673649E-12</v>
      </c>
      <c r="R167" s="60">
        <f t="shared" si="109"/>
        <v>293.33333333333678</v>
      </c>
      <c r="S167" s="60">
        <f ca="1">AVERAGE(OFFSET($R$3,0,0,'Données projet'!$E$9+1,1))-AVERAGE(OFFSET($H$3,0,0,'Données projet'!$E$9+1,1))</f>
        <v>256.47911362806866</v>
      </c>
      <c r="T167" s="60">
        <f t="shared" si="142"/>
        <v>230.93438491511529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0.10652363796973409</v>
      </c>
      <c r="AB167" s="23">
        <f>EXP(-LN(2)/2)*AB166+(1-EXP(-LN(2)/2))/(LN(2)/2)*V167*Y167*VLOOKUP('Données projet'!$B$9,Paramètres!$A$1:$I$89,3,0)*0.475*44/12</f>
        <v>1.0923395859414733E-19</v>
      </c>
      <c r="AC167" s="24">
        <f t="shared" si="163"/>
        <v>0.10652363796973409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-3.694822225952521E-13</v>
      </c>
      <c r="AJ167" s="14">
        <f>AI167*VLOOKUP('Données projet'!$B$10,Paramètres!$A$1:$I$89,3,0)*VLOOKUP('Données projet'!$B$10,Paramètres!$A$1:$I$89,5,0)</f>
        <v>-3.2277966965921228E-13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233.41481265653817</v>
      </c>
      <c r="AO167" s="60">
        <f t="shared" si="144"/>
        <v>300.97465452084055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3.4106051316484809E-13</v>
      </c>
      <c r="BE167" s="14">
        <f>BD167*VLOOKUP('Données projet'!$B$11,Paramètres!$A$1:$I$89,3,0)*VLOOKUP('Données projet'!$B$11,Paramètres!$A$1:$I$89,5,0)</f>
        <v>2.7134774427395314E-13</v>
      </c>
      <c r="BF167" s="14">
        <f t="shared" si="167"/>
        <v>3.6292411711343559E-12</v>
      </c>
      <c r="BG167" s="22">
        <f t="shared" si="168"/>
        <v>6.7935256943361388E-12</v>
      </c>
      <c r="BH167" s="60">
        <f t="shared" si="116"/>
        <v>293.33333333334014</v>
      </c>
      <c r="BI167" s="60">
        <f ca="1">AVERAGE(OFFSET($BH$3,0,0,'Données projet'!$E$11+1,1))-AVERAGE(OFFSET($H$3,0,0,'Données projet'!$E$11+1,1))</f>
        <v>238.47463071449789</v>
      </c>
      <c r="BJ167" s="60">
        <f t="shared" si="146"/>
        <v>270.92950919803718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0" t="e">
        <f t="shared" si="119"/>
        <v>#N/A</v>
      </c>
      <c r="CD167" s="60" t="e">
        <f ca="1">AVERAGE(OFFSET($CC$3,0,0,'Données projet'!$E$12+1,1))-AVERAGE(OFFSET($H$3,0,0,'Données projet'!$E$12+1,1))</f>
        <v>#N/A</v>
      </c>
      <c r="CE167" s="60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0" t="e">
        <f t="shared" si="122"/>
        <v>#N/A</v>
      </c>
      <c r="CY167" s="60" t="e">
        <f ca="1">AVERAGE(OFFSET($CX$3,0,0,'Données projet'!$E$13+1,1))-AVERAGE(OFFSET($H$3,0,0,'Données projet'!$E$13+1,1))</f>
        <v>#N/A</v>
      </c>
      <c r="CZ167" s="60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0" t="e">
        <f t="shared" si="125"/>
        <v>#N/A</v>
      </c>
      <c r="DT167" s="60" t="e">
        <f ca="1">AVERAGE(OFFSET($DS$3,0,0,'Données projet'!$E$14+1,1))-AVERAGE(OFFSET($H$3,0,0,'Données projet'!$E$14+1,1))</f>
        <v>#N/A</v>
      </c>
      <c r="DU167" s="60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0" t="e">
        <f t="shared" si="128"/>
        <v>#N/A</v>
      </c>
      <c r="EO167" s="60" t="e">
        <f ca="1">AVERAGE(OFFSET($EN$3,0,0,'Données projet'!$E$15+1,1))-AVERAGE(OFFSET($H$3,0,0,'Données projet'!$E$15+1,1))</f>
        <v>#N/A</v>
      </c>
      <c r="EP167" s="60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8">
        <f t="shared" si="110"/>
        <v>469.8457661710267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2.2737367544323206E-13</v>
      </c>
      <c r="O168" s="14">
        <f>N168*VLOOKUP('Données projet'!$B$9,Paramètres!$A$1:$I$89,3,0)*VLOOKUP('Données projet'!$B$9,Paramètres!$A$1:$I$89,5,0)</f>
        <v>1.2710188457276673E-13</v>
      </c>
      <c r="P168" s="14">
        <f t="shared" si="141"/>
        <v>1.856866851063998E-12</v>
      </c>
      <c r="Q168" s="22">
        <f t="shared" si="162"/>
        <v>3.4554122145673649E-12</v>
      </c>
      <c r="R168" s="60">
        <f t="shared" si="109"/>
        <v>293.33333333333678</v>
      </c>
      <c r="S168" s="60">
        <f ca="1">AVERAGE(OFFSET($R$3,0,0,'Données projet'!$E$9+1,1))-AVERAGE(OFFSET($H$3,0,0,'Données projet'!$E$9+1,1))</f>
        <v>256.47911362806866</v>
      </c>
      <c r="T168" s="60">
        <f t="shared" si="142"/>
        <v>230.93438491511529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0.10361074348761705</v>
      </c>
      <c r="AB168" s="23">
        <f>EXP(-LN(2)/2)*AB167+(1-EXP(-LN(2)/2))/(LN(2)/2)*V168*Y168*VLOOKUP('Données projet'!$B$9,Paramètres!$A$1:$I$89,3,0)*0.475*44/12</f>
        <v>7.724007285777213E-20</v>
      </c>
      <c r="AC168" s="24">
        <f t="shared" si="163"/>
        <v>0.10361074348761705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-3.694822225952521E-13</v>
      </c>
      <c r="AJ168" s="14">
        <f>AI168*VLOOKUP('Données projet'!$B$10,Paramètres!$A$1:$I$89,3,0)*VLOOKUP('Données projet'!$B$10,Paramètres!$A$1:$I$89,5,0)</f>
        <v>-3.2277966965921228E-13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233.41481265653817</v>
      </c>
      <c r="AO168" s="60">
        <f t="shared" si="144"/>
        <v>300.97465452084055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3.4106051316484809E-13</v>
      </c>
      <c r="BE168" s="14">
        <f>BD168*VLOOKUP('Données projet'!$B$11,Paramètres!$A$1:$I$89,3,0)*VLOOKUP('Données projet'!$B$11,Paramètres!$A$1:$I$89,5,0)</f>
        <v>2.7134774427395314E-13</v>
      </c>
      <c r="BF168" s="14">
        <f t="shared" si="167"/>
        <v>3.6292411711343559E-12</v>
      </c>
      <c r="BG168" s="22">
        <f t="shared" si="168"/>
        <v>6.7935256943361388E-12</v>
      </c>
      <c r="BH168" s="60">
        <f t="shared" si="116"/>
        <v>293.33333333334014</v>
      </c>
      <c r="BI168" s="60">
        <f ca="1">AVERAGE(OFFSET($BH$3,0,0,'Données projet'!$E$11+1,1))-AVERAGE(OFFSET($H$3,0,0,'Données projet'!$E$11+1,1))</f>
        <v>238.47463071449789</v>
      </c>
      <c r="BJ168" s="60">
        <f t="shared" si="146"/>
        <v>270.92950919803718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0" t="e">
        <f t="shared" si="119"/>
        <v>#N/A</v>
      </c>
      <c r="CD168" s="60" t="e">
        <f ca="1">AVERAGE(OFFSET($CC$3,0,0,'Données projet'!$E$12+1,1))-AVERAGE(OFFSET($H$3,0,0,'Données projet'!$E$12+1,1))</f>
        <v>#N/A</v>
      </c>
      <c r="CE168" s="60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0" t="e">
        <f t="shared" si="122"/>
        <v>#N/A</v>
      </c>
      <c r="CY168" s="60" t="e">
        <f ca="1">AVERAGE(OFFSET($CX$3,0,0,'Données projet'!$E$13+1,1))-AVERAGE(OFFSET($H$3,0,0,'Données projet'!$E$13+1,1))</f>
        <v>#N/A</v>
      </c>
      <c r="CZ168" s="60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0" t="e">
        <f t="shared" si="125"/>
        <v>#N/A</v>
      </c>
      <c r="DT168" s="60" t="e">
        <f ca="1">AVERAGE(OFFSET($DS$3,0,0,'Données projet'!$E$14+1,1))-AVERAGE(OFFSET($H$3,0,0,'Données projet'!$E$14+1,1))</f>
        <v>#N/A</v>
      </c>
      <c r="DU168" s="60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0" t="e">
        <f t="shared" si="128"/>
        <v>#N/A</v>
      </c>
      <c r="EO168" s="60" t="e">
        <f ca="1">AVERAGE(OFFSET($EN$3,0,0,'Données projet'!$E$15+1,1))-AVERAGE(OFFSET($H$3,0,0,'Données projet'!$E$15+1,1))</f>
        <v>#N/A</v>
      </c>
      <c r="EP168" s="60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8">
        <f t="shared" si="110"/>
        <v>470.88845796880821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2.2737367544323206E-13</v>
      </c>
      <c r="O169" s="14">
        <f>N169*VLOOKUP('Données projet'!$B$9,Paramètres!$A$1:$I$89,3,0)*VLOOKUP('Données projet'!$B$9,Paramètres!$A$1:$I$89,5,0)</f>
        <v>1.2710188457276673E-13</v>
      </c>
      <c r="P169" s="14">
        <f t="shared" si="141"/>
        <v>1.856866851063998E-12</v>
      </c>
      <c r="Q169" s="22">
        <f t="shared" si="162"/>
        <v>3.4554122145673649E-12</v>
      </c>
      <c r="R169" s="60">
        <f t="shared" si="109"/>
        <v>293.33333333333678</v>
      </c>
      <c r="S169" s="60">
        <f ca="1">AVERAGE(OFFSET($R$3,0,0,'Données projet'!$E$9+1,1))-AVERAGE(OFFSET($H$3,0,0,'Données projet'!$E$9+1,1))</f>
        <v>256.47911362806866</v>
      </c>
      <c r="T169" s="60">
        <f t="shared" si="142"/>
        <v>230.93438491511529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0.10077750225829597</v>
      </c>
      <c r="AB169" s="23">
        <f>EXP(-LN(2)/2)*AB168+(1-EXP(-LN(2)/2))/(LN(2)/2)*V169*Y169*VLOOKUP('Données projet'!$B$9,Paramètres!$A$1:$I$89,3,0)*0.475*44/12</f>
        <v>5.4616979297073666E-20</v>
      </c>
      <c r="AC169" s="24">
        <f t="shared" si="163"/>
        <v>0.10077750225829597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-3.694822225952521E-13</v>
      </c>
      <c r="AJ169" s="14">
        <f>AI169*VLOOKUP('Données projet'!$B$10,Paramètres!$A$1:$I$89,3,0)*VLOOKUP('Données projet'!$B$10,Paramètres!$A$1:$I$89,5,0)</f>
        <v>-3.2277966965921228E-13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233.41481265653817</v>
      </c>
      <c r="AO169" s="60">
        <f t="shared" si="144"/>
        <v>300.97465452084055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3.4106051316484809E-13</v>
      </c>
      <c r="BE169" s="14">
        <f>BD169*VLOOKUP('Données projet'!$B$11,Paramètres!$A$1:$I$89,3,0)*VLOOKUP('Données projet'!$B$11,Paramètres!$A$1:$I$89,5,0)</f>
        <v>2.7134774427395314E-13</v>
      </c>
      <c r="BF169" s="14">
        <f t="shared" si="167"/>
        <v>3.6292411711343559E-12</v>
      </c>
      <c r="BG169" s="22">
        <f t="shared" si="168"/>
        <v>6.7935256943361388E-12</v>
      </c>
      <c r="BH169" s="60">
        <f t="shared" si="116"/>
        <v>293.33333333334014</v>
      </c>
      <c r="BI169" s="60">
        <f ca="1">AVERAGE(OFFSET($BH$3,0,0,'Données projet'!$E$11+1,1))-AVERAGE(OFFSET($H$3,0,0,'Données projet'!$E$11+1,1))</f>
        <v>238.47463071449789</v>
      </c>
      <c r="BJ169" s="60">
        <f t="shared" si="146"/>
        <v>270.92950919803718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0" t="e">
        <f t="shared" si="119"/>
        <v>#N/A</v>
      </c>
      <c r="CD169" s="60" t="e">
        <f ca="1">AVERAGE(OFFSET($CC$3,0,0,'Données projet'!$E$12+1,1))-AVERAGE(OFFSET($H$3,0,0,'Données projet'!$E$12+1,1))</f>
        <v>#N/A</v>
      </c>
      <c r="CE169" s="60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0" t="e">
        <f t="shared" si="122"/>
        <v>#N/A</v>
      </c>
      <c r="CY169" s="60" t="e">
        <f ca="1">AVERAGE(OFFSET($CX$3,0,0,'Données projet'!$E$13+1,1))-AVERAGE(OFFSET($H$3,0,0,'Données projet'!$E$13+1,1))</f>
        <v>#N/A</v>
      </c>
      <c r="CZ169" s="60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0" t="e">
        <f t="shared" si="125"/>
        <v>#N/A</v>
      </c>
      <c r="DT169" s="60" t="e">
        <f ca="1">AVERAGE(OFFSET($DS$3,0,0,'Données projet'!$E$14+1,1))-AVERAGE(OFFSET($H$3,0,0,'Données projet'!$E$14+1,1))</f>
        <v>#N/A</v>
      </c>
      <c r="DU169" s="60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0" t="e">
        <f t="shared" si="128"/>
        <v>#N/A</v>
      </c>
      <c r="EO169" s="60" t="e">
        <f ca="1">AVERAGE(OFFSET($EN$3,0,0,'Données projet'!$E$15+1,1))-AVERAGE(OFFSET($H$3,0,0,'Données projet'!$E$15+1,1))</f>
        <v>#N/A</v>
      </c>
      <c r="EP169" s="60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8">
        <f t="shared" si="110"/>
        <v>471.93100610402485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2.2737367544323206E-13</v>
      </c>
      <c r="O170" s="14">
        <f>N170*VLOOKUP('Données projet'!$B$9,Paramètres!$A$1:$I$89,3,0)*VLOOKUP('Données projet'!$B$9,Paramètres!$A$1:$I$89,5,0)</f>
        <v>1.2710188457276673E-13</v>
      </c>
      <c r="P170" s="14">
        <f t="shared" si="141"/>
        <v>1.856866851063998E-12</v>
      </c>
      <c r="Q170" s="22">
        <f t="shared" si="162"/>
        <v>3.4554122145673649E-12</v>
      </c>
      <c r="R170" s="60">
        <f t="shared" si="109"/>
        <v>293.33333333333678</v>
      </c>
      <c r="S170" s="60">
        <f ca="1">AVERAGE(OFFSET($R$3,0,0,'Données projet'!$E$9+1,1))-AVERAGE(OFFSET($H$3,0,0,'Données projet'!$E$9+1,1))</f>
        <v>256.47911362806866</v>
      </c>
      <c r="T170" s="60">
        <f t="shared" si="142"/>
        <v>230.93438491511529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9.8021736159384351E-2</v>
      </c>
      <c r="AB170" s="23">
        <f>EXP(-LN(2)/2)*AB169+(1-EXP(-LN(2)/2))/(LN(2)/2)*V170*Y170*VLOOKUP('Données projet'!$B$9,Paramètres!$A$1:$I$89,3,0)*0.475*44/12</f>
        <v>3.8620036428886065E-20</v>
      </c>
      <c r="AC170" s="24">
        <f t="shared" si="163"/>
        <v>9.8021736159384351E-2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-3.694822225952521E-13</v>
      </c>
      <c r="AJ170" s="14">
        <f>AI170*VLOOKUP('Données projet'!$B$10,Paramètres!$A$1:$I$89,3,0)*VLOOKUP('Données projet'!$B$10,Paramètres!$A$1:$I$89,5,0)</f>
        <v>-3.2277966965921228E-13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233.41481265653817</v>
      </c>
      <c r="AO170" s="60">
        <f t="shared" si="144"/>
        <v>300.97465452084055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3.4106051316484809E-13</v>
      </c>
      <c r="BE170" s="14">
        <f>BD170*VLOOKUP('Données projet'!$B$11,Paramètres!$A$1:$I$89,3,0)*VLOOKUP('Données projet'!$B$11,Paramètres!$A$1:$I$89,5,0)</f>
        <v>2.7134774427395314E-13</v>
      </c>
      <c r="BF170" s="14">
        <f t="shared" si="167"/>
        <v>3.6292411711343559E-12</v>
      </c>
      <c r="BG170" s="22">
        <f t="shared" si="168"/>
        <v>6.7935256943361388E-12</v>
      </c>
      <c r="BH170" s="60">
        <f t="shared" si="116"/>
        <v>293.33333333334014</v>
      </c>
      <c r="BI170" s="60">
        <f ca="1">AVERAGE(OFFSET($BH$3,0,0,'Données projet'!$E$11+1,1))-AVERAGE(OFFSET($H$3,0,0,'Données projet'!$E$11+1,1))</f>
        <v>238.47463071449789</v>
      </c>
      <c r="BJ170" s="60">
        <f t="shared" si="146"/>
        <v>270.92950919803718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0" t="e">
        <f t="shared" si="119"/>
        <v>#N/A</v>
      </c>
      <c r="CD170" s="60" t="e">
        <f ca="1">AVERAGE(OFFSET($CC$3,0,0,'Données projet'!$E$12+1,1))-AVERAGE(OFFSET($H$3,0,0,'Données projet'!$E$12+1,1))</f>
        <v>#N/A</v>
      </c>
      <c r="CE170" s="60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0" t="e">
        <f t="shared" si="122"/>
        <v>#N/A</v>
      </c>
      <c r="CY170" s="60" t="e">
        <f ca="1">AVERAGE(OFFSET($CX$3,0,0,'Données projet'!$E$13+1,1))-AVERAGE(OFFSET($H$3,0,0,'Données projet'!$E$13+1,1))</f>
        <v>#N/A</v>
      </c>
      <c r="CZ170" s="60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0" t="e">
        <f t="shared" si="125"/>
        <v>#N/A</v>
      </c>
      <c r="DT170" s="60" t="e">
        <f ca="1">AVERAGE(OFFSET($DS$3,0,0,'Données projet'!$E$14+1,1))-AVERAGE(OFFSET($H$3,0,0,'Données projet'!$E$14+1,1))</f>
        <v>#N/A</v>
      </c>
      <c r="DU170" s="60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0" t="e">
        <f t="shared" si="128"/>
        <v>#N/A</v>
      </c>
      <c r="EO170" s="60" t="e">
        <f ca="1">AVERAGE(OFFSET($EN$3,0,0,'Données projet'!$E$15+1,1))-AVERAGE(OFFSET($H$3,0,0,'Données projet'!$E$15+1,1))</f>
        <v>#N/A</v>
      </c>
      <c r="EP170" s="60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8">
        <f t="shared" si="110"/>
        <v>472.97341153674216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2.2737367544323206E-13</v>
      </c>
      <c r="O171" s="14">
        <f>N171*VLOOKUP('Données projet'!$B$9,Paramètres!$A$1:$I$89,3,0)*VLOOKUP('Données projet'!$B$9,Paramètres!$A$1:$I$89,5,0)</f>
        <v>1.2710188457276673E-13</v>
      </c>
      <c r="P171" s="14">
        <f t="shared" si="141"/>
        <v>1.856866851063998E-12</v>
      </c>
      <c r="Q171" s="22">
        <f t="shared" si="162"/>
        <v>3.4554122145673649E-12</v>
      </c>
      <c r="R171" s="60">
        <f t="shared" si="109"/>
        <v>293.33333333333678</v>
      </c>
      <c r="S171" s="60">
        <f ca="1">AVERAGE(OFFSET($R$3,0,0,'Données projet'!$E$9+1,1))-AVERAGE(OFFSET($H$3,0,0,'Données projet'!$E$9+1,1))</f>
        <v>256.47911362806866</v>
      </c>
      <c r="T171" s="60">
        <f t="shared" si="142"/>
        <v>230.93438491511529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9.534132662936691E-2</v>
      </c>
      <c r="AB171" s="23">
        <f>EXP(-LN(2)/2)*AB170+(1-EXP(-LN(2)/2))/(LN(2)/2)*V171*Y171*VLOOKUP('Données projet'!$B$9,Paramètres!$A$1:$I$89,3,0)*0.475*44/12</f>
        <v>2.7308489648536833E-20</v>
      </c>
      <c r="AC171" s="24">
        <f t="shared" si="163"/>
        <v>9.534132662936691E-2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-3.694822225952521E-13</v>
      </c>
      <c r="AJ171" s="14">
        <f>AI171*VLOOKUP('Données projet'!$B$10,Paramètres!$A$1:$I$89,3,0)*VLOOKUP('Données projet'!$B$10,Paramètres!$A$1:$I$89,5,0)</f>
        <v>-3.2277966965921228E-13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233.41481265653817</v>
      </c>
      <c r="AO171" s="60">
        <f t="shared" si="144"/>
        <v>300.97465452084055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3.4106051316484809E-13</v>
      </c>
      <c r="BE171" s="14">
        <f>BD171*VLOOKUP('Données projet'!$B$11,Paramètres!$A$1:$I$89,3,0)*VLOOKUP('Données projet'!$B$11,Paramètres!$A$1:$I$89,5,0)</f>
        <v>2.7134774427395314E-13</v>
      </c>
      <c r="BF171" s="14">
        <f t="shared" si="167"/>
        <v>3.6292411711343559E-12</v>
      </c>
      <c r="BG171" s="22">
        <f t="shared" si="168"/>
        <v>6.7935256943361388E-12</v>
      </c>
      <c r="BH171" s="60">
        <f t="shared" si="116"/>
        <v>293.33333333334014</v>
      </c>
      <c r="BI171" s="60">
        <f ca="1">AVERAGE(OFFSET($BH$3,0,0,'Données projet'!$E$11+1,1))-AVERAGE(OFFSET($H$3,0,0,'Données projet'!$E$11+1,1))</f>
        <v>238.47463071449789</v>
      </c>
      <c r="BJ171" s="60">
        <f t="shared" si="146"/>
        <v>270.92950919803718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0" t="e">
        <f t="shared" si="119"/>
        <v>#N/A</v>
      </c>
      <c r="CD171" s="60" t="e">
        <f ca="1">AVERAGE(OFFSET($CC$3,0,0,'Données projet'!$E$12+1,1))-AVERAGE(OFFSET($H$3,0,0,'Données projet'!$E$12+1,1))</f>
        <v>#N/A</v>
      </c>
      <c r="CE171" s="60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0" t="e">
        <f t="shared" si="122"/>
        <v>#N/A</v>
      </c>
      <c r="CY171" s="60" t="e">
        <f ca="1">AVERAGE(OFFSET($CX$3,0,0,'Données projet'!$E$13+1,1))-AVERAGE(OFFSET($H$3,0,0,'Données projet'!$E$13+1,1))</f>
        <v>#N/A</v>
      </c>
      <c r="CZ171" s="60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0" t="e">
        <f t="shared" si="125"/>
        <v>#N/A</v>
      </c>
      <c r="DT171" s="60" t="e">
        <f ca="1">AVERAGE(OFFSET($DS$3,0,0,'Données projet'!$E$14+1,1))-AVERAGE(OFFSET($H$3,0,0,'Données projet'!$E$14+1,1))</f>
        <v>#N/A</v>
      </c>
      <c r="DU171" s="60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0" t="e">
        <f t="shared" si="128"/>
        <v>#N/A</v>
      </c>
      <c r="EO171" s="60" t="e">
        <f ca="1">AVERAGE(OFFSET($EN$3,0,0,'Données projet'!$E$15+1,1))-AVERAGE(OFFSET($H$3,0,0,'Données projet'!$E$15+1,1))</f>
        <v>#N/A</v>
      </c>
      <c r="EP171" s="60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8">
        <f t="shared" si="110"/>
        <v>474.0156752149349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2.2737367544323206E-13</v>
      </c>
      <c r="O172" s="14">
        <f>N172*VLOOKUP('Données projet'!$B$9,Paramètres!$A$1:$I$89,3,0)*VLOOKUP('Données projet'!$B$9,Paramètres!$A$1:$I$89,5,0)</f>
        <v>1.2710188457276673E-13</v>
      </c>
      <c r="P172" s="14">
        <f t="shared" si="141"/>
        <v>1.856866851063998E-12</v>
      </c>
      <c r="Q172" s="22">
        <f t="shared" si="162"/>
        <v>3.4554122145673649E-12</v>
      </c>
      <c r="R172" s="60">
        <f t="shared" si="109"/>
        <v>293.33333333333678</v>
      </c>
      <c r="S172" s="60">
        <f ca="1">AVERAGE(OFFSET($R$3,0,0,'Données projet'!$E$9+1,1))-AVERAGE(OFFSET($H$3,0,0,'Données projet'!$E$9+1,1))</f>
        <v>256.47911362806866</v>
      </c>
      <c r="T172" s="60">
        <f t="shared" si="142"/>
        <v>230.93438491511529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9.2734213038904403E-2</v>
      </c>
      <c r="AB172" s="23">
        <f>EXP(-LN(2)/2)*AB171+(1-EXP(-LN(2)/2))/(LN(2)/2)*V172*Y172*VLOOKUP('Données projet'!$B$9,Paramètres!$A$1:$I$89,3,0)*0.475*44/12</f>
        <v>1.9310018214443033E-20</v>
      </c>
      <c r="AC172" s="24">
        <f t="shared" si="163"/>
        <v>9.2734213038904403E-2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-3.694822225952521E-13</v>
      </c>
      <c r="AJ172" s="14">
        <f>AI172*VLOOKUP('Données projet'!$B$10,Paramètres!$A$1:$I$89,3,0)*VLOOKUP('Données projet'!$B$10,Paramètres!$A$1:$I$89,5,0)</f>
        <v>-3.2277966965921228E-13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233.41481265653817</v>
      </c>
      <c r="AO172" s="60">
        <f t="shared" si="144"/>
        <v>300.97465452084055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3.4106051316484809E-13</v>
      </c>
      <c r="BE172" s="14">
        <f>BD172*VLOOKUP('Données projet'!$B$11,Paramètres!$A$1:$I$89,3,0)*VLOOKUP('Données projet'!$B$11,Paramètres!$A$1:$I$89,5,0)</f>
        <v>2.7134774427395314E-13</v>
      </c>
      <c r="BF172" s="14">
        <f t="shared" si="167"/>
        <v>3.6292411711343559E-12</v>
      </c>
      <c r="BG172" s="22">
        <f t="shared" si="168"/>
        <v>6.7935256943361388E-12</v>
      </c>
      <c r="BH172" s="60">
        <f t="shared" si="116"/>
        <v>293.33333333334014</v>
      </c>
      <c r="BI172" s="60">
        <f ca="1">AVERAGE(OFFSET($BH$3,0,0,'Données projet'!$E$11+1,1))-AVERAGE(OFFSET($H$3,0,0,'Données projet'!$E$11+1,1))</f>
        <v>238.47463071449789</v>
      </c>
      <c r="BJ172" s="60">
        <f t="shared" si="146"/>
        <v>270.92950919803718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0" t="e">
        <f t="shared" si="119"/>
        <v>#N/A</v>
      </c>
      <c r="CD172" s="60" t="e">
        <f ca="1">AVERAGE(OFFSET($CC$3,0,0,'Données projet'!$E$12+1,1))-AVERAGE(OFFSET($H$3,0,0,'Données projet'!$E$12+1,1))</f>
        <v>#N/A</v>
      </c>
      <c r="CE172" s="60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0" t="e">
        <f t="shared" si="122"/>
        <v>#N/A</v>
      </c>
      <c r="CY172" s="60" t="e">
        <f ca="1">AVERAGE(OFFSET($CX$3,0,0,'Données projet'!$E$13+1,1))-AVERAGE(OFFSET($H$3,0,0,'Données projet'!$E$13+1,1))</f>
        <v>#N/A</v>
      </c>
      <c r="CZ172" s="60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0" t="e">
        <f t="shared" si="125"/>
        <v>#N/A</v>
      </c>
      <c r="DT172" s="60" t="e">
        <f ca="1">AVERAGE(OFFSET($DS$3,0,0,'Données projet'!$E$14+1,1))-AVERAGE(OFFSET($H$3,0,0,'Données projet'!$E$14+1,1))</f>
        <v>#N/A</v>
      </c>
      <c r="DU172" s="60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0" t="e">
        <f t="shared" si="128"/>
        <v>#N/A</v>
      </c>
      <c r="EO172" s="60" t="e">
        <f ca="1">AVERAGE(OFFSET($EN$3,0,0,'Données projet'!$E$15+1,1))-AVERAGE(OFFSET($H$3,0,0,'Données projet'!$E$15+1,1))</f>
        <v>#N/A</v>
      </c>
      <c r="EP172" s="60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8">
        <f t="shared" si="110"/>
        <v>475.05779807471038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2.2737367544323206E-13</v>
      </c>
      <c r="O173" s="14">
        <f>N173*VLOOKUP('Données projet'!$B$9,Paramètres!$A$1:$I$89,3,0)*VLOOKUP('Données projet'!$B$9,Paramètres!$A$1:$I$89,5,0)</f>
        <v>1.2710188457276673E-13</v>
      </c>
      <c r="P173" s="14">
        <f t="shared" si="141"/>
        <v>1.856866851063998E-12</v>
      </c>
      <c r="Q173" s="22">
        <f t="shared" si="162"/>
        <v>3.4554122145673649E-12</v>
      </c>
      <c r="R173" s="60">
        <f t="shared" si="109"/>
        <v>293.33333333333678</v>
      </c>
      <c r="S173" s="60">
        <f ca="1">AVERAGE(OFFSET($R$3,0,0,'Données projet'!$E$9+1,1))-AVERAGE(OFFSET($H$3,0,0,'Données projet'!$E$9+1,1))</f>
        <v>256.47911362806866</v>
      </c>
      <c r="T173" s="60">
        <f t="shared" si="142"/>
        <v>230.93438491511529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9.0198391106675241E-2</v>
      </c>
      <c r="AB173" s="23">
        <f>EXP(-LN(2)/2)*AB172+(1-EXP(-LN(2)/2))/(LN(2)/2)*V173*Y173*VLOOKUP('Données projet'!$B$9,Paramètres!$A$1:$I$89,3,0)*0.475*44/12</f>
        <v>1.3654244824268416E-20</v>
      </c>
      <c r="AC173" s="24">
        <f t="shared" si="163"/>
        <v>9.0198391106675241E-2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-3.694822225952521E-13</v>
      </c>
      <c r="AJ173" s="14">
        <f>AI173*VLOOKUP('Données projet'!$B$10,Paramètres!$A$1:$I$89,3,0)*VLOOKUP('Données projet'!$B$10,Paramètres!$A$1:$I$89,5,0)</f>
        <v>-3.2277966965921228E-13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233.41481265653817</v>
      </c>
      <c r="AO173" s="60">
        <f t="shared" si="144"/>
        <v>300.97465452084055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3.4106051316484809E-13</v>
      </c>
      <c r="BE173" s="14">
        <f>BD173*VLOOKUP('Données projet'!$B$11,Paramètres!$A$1:$I$89,3,0)*VLOOKUP('Données projet'!$B$11,Paramètres!$A$1:$I$89,5,0)</f>
        <v>2.7134774427395314E-13</v>
      </c>
      <c r="BF173" s="14">
        <f t="shared" si="167"/>
        <v>3.6292411711343559E-12</v>
      </c>
      <c r="BG173" s="22">
        <f t="shared" si="168"/>
        <v>6.7935256943361388E-12</v>
      </c>
      <c r="BH173" s="60">
        <f t="shared" si="116"/>
        <v>293.33333333334014</v>
      </c>
      <c r="BI173" s="60">
        <f ca="1">AVERAGE(OFFSET($BH$3,0,0,'Données projet'!$E$11+1,1))-AVERAGE(OFFSET($H$3,0,0,'Données projet'!$E$11+1,1))</f>
        <v>238.47463071449789</v>
      </c>
      <c r="BJ173" s="60">
        <f t="shared" si="146"/>
        <v>270.92950919803718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0" t="e">
        <f t="shared" si="119"/>
        <v>#N/A</v>
      </c>
      <c r="CD173" s="60" t="e">
        <f ca="1">AVERAGE(OFFSET($CC$3,0,0,'Données projet'!$E$12+1,1))-AVERAGE(OFFSET($H$3,0,0,'Données projet'!$E$12+1,1))</f>
        <v>#N/A</v>
      </c>
      <c r="CE173" s="60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0" t="e">
        <f t="shared" si="122"/>
        <v>#N/A</v>
      </c>
      <c r="CY173" s="60" t="e">
        <f ca="1">AVERAGE(OFFSET($CX$3,0,0,'Données projet'!$E$13+1,1))-AVERAGE(OFFSET($H$3,0,0,'Données projet'!$E$13+1,1))</f>
        <v>#N/A</v>
      </c>
      <c r="CZ173" s="60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0" t="e">
        <f t="shared" si="125"/>
        <v>#N/A</v>
      </c>
      <c r="DT173" s="60" t="e">
        <f ca="1">AVERAGE(OFFSET($DS$3,0,0,'Données projet'!$E$14+1,1))-AVERAGE(OFFSET($H$3,0,0,'Données projet'!$E$14+1,1))</f>
        <v>#N/A</v>
      </c>
      <c r="DU173" s="60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0" t="e">
        <f t="shared" si="128"/>
        <v>#N/A</v>
      </c>
      <c r="EO173" s="60" t="e">
        <f ca="1">AVERAGE(OFFSET($EN$3,0,0,'Données projet'!$E$15+1,1))-AVERAGE(OFFSET($H$3,0,0,'Données projet'!$E$15+1,1))</f>
        <v>#N/A</v>
      </c>
      <c r="EP173" s="60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8">
        <f t="shared" si="110"/>
        <v>476.0997810405255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2.2737367544323206E-13</v>
      </c>
      <c r="O174" s="14">
        <f>N174*VLOOKUP('Données projet'!$B$9,Paramètres!$A$1:$I$89,3,0)*VLOOKUP('Données projet'!$B$9,Paramètres!$A$1:$I$89,5,0)</f>
        <v>1.2710188457276673E-13</v>
      </c>
      <c r="P174" s="14">
        <f t="shared" si="141"/>
        <v>1.856866851063998E-12</v>
      </c>
      <c r="Q174" s="22">
        <f t="shared" si="162"/>
        <v>3.4554122145673649E-12</v>
      </c>
      <c r="R174" s="60">
        <f t="shared" si="109"/>
        <v>293.33333333333678</v>
      </c>
      <c r="S174" s="60">
        <f ca="1">AVERAGE(OFFSET($R$3,0,0,'Données projet'!$E$9+1,1))-AVERAGE(OFFSET($H$3,0,0,'Données projet'!$E$9+1,1))</f>
        <v>256.47911362806866</v>
      </c>
      <c r="T174" s="60">
        <f t="shared" si="142"/>
        <v>230.93438491511529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8.7731911358535974E-2</v>
      </c>
      <c r="AB174" s="23">
        <f>EXP(-LN(2)/2)*AB173+(1-EXP(-LN(2)/2))/(LN(2)/2)*V174*Y174*VLOOKUP('Données projet'!$B$9,Paramètres!$A$1:$I$89,3,0)*0.475*44/12</f>
        <v>9.6550091072215163E-21</v>
      </c>
      <c r="AC174" s="24">
        <f t="shared" si="163"/>
        <v>8.7731911358535974E-2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-3.694822225952521E-13</v>
      </c>
      <c r="AJ174" s="14">
        <f>AI174*VLOOKUP('Données projet'!$B$10,Paramètres!$A$1:$I$89,3,0)*VLOOKUP('Données projet'!$B$10,Paramètres!$A$1:$I$89,5,0)</f>
        <v>-3.2277966965921228E-13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233.41481265653817</v>
      </c>
      <c r="AO174" s="60">
        <f t="shared" si="144"/>
        <v>300.97465452084055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3.4106051316484809E-13</v>
      </c>
      <c r="BE174" s="14">
        <f>BD174*VLOOKUP('Données projet'!$B$11,Paramètres!$A$1:$I$89,3,0)*VLOOKUP('Données projet'!$B$11,Paramètres!$A$1:$I$89,5,0)</f>
        <v>2.7134774427395314E-13</v>
      </c>
      <c r="BF174" s="14">
        <f t="shared" si="167"/>
        <v>3.6292411711343559E-12</v>
      </c>
      <c r="BG174" s="22">
        <f t="shared" si="168"/>
        <v>6.7935256943361388E-12</v>
      </c>
      <c r="BH174" s="60">
        <f t="shared" si="116"/>
        <v>293.33333333334014</v>
      </c>
      <c r="BI174" s="60">
        <f ca="1">AVERAGE(OFFSET($BH$3,0,0,'Données projet'!$E$11+1,1))-AVERAGE(OFFSET($H$3,0,0,'Données projet'!$E$11+1,1))</f>
        <v>238.47463071449789</v>
      </c>
      <c r="BJ174" s="60">
        <f t="shared" si="146"/>
        <v>270.92950919803718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0" t="e">
        <f t="shared" si="119"/>
        <v>#N/A</v>
      </c>
      <c r="CD174" s="60" t="e">
        <f ca="1">AVERAGE(OFFSET($CC$3,0,0,'Données projet'!$E$12+1,1))-AVERAGE(OFFSET($H$3,0,0,'Données projet'!$E$12+1,1))</f>
        <v>#N/A</v>
      </c>
      <c r="CE174" s="60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0" t="e">
        <f t="shared" si="122"/>
        <v>#N/A</v>
      </c>
      <c r="CY174" s="60" t="e">
        <f ca="1">AVERAGE(OFFSET($CX$3,0,0,'Données projet'!$E$13+1,1))-AVERAGE(OFFSET($H$3,0,0,'Données projet'!$E$13+1,1))</f>
        <v>#N/A</v>
      </c>
      <c r="CZ174" s="60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0" t="e">
        <f t="shared" si="125"/>
        <v>#N/A</v>
      </c>
      <c r="DT174" s="60" t="e">
        <f ca="1">AVERAGE(OFFSET($DS$3,0,0,'Données projet'!$E$14+1,1))-AVERAGE(OFFSET($H$3,0,0,'Données projet'!$E$14+1,1))</f>
        <v>#N/A</v>
      </c>
      <c r="DU174" s="60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0" t="e">
        <f t="shared" si="128"/>
        <v>#N/A</v>
      </c>
      <c r="EO174" s="60" t="e">
        <f ca="1">AVERAGE(OFFSET($EN$3,0,0,'Données projet'!$E$15+1,1))-AVERAGE(OFFSET($H$3,0,0,'Données projet'!$E$15+1,1))</f>
        <v>#N/A</v>
      </c>
      <c r="EP174" s="60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8">
        <f t="shared" si="110"/>
        <v>477.14162502539943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2.2737367544323206E-13</v>
      </c>
      <c r="O175" s="14">
        <f>N175*VLOOKUP('Données projet'!$B$9,Paramètres!$A$1:$I$89,3,0)*VLOOKUP('Données projet'!$B$9,Paramètres!$A$1:$I$89,5,0)</f>
        <v>1.2710188457276673E-13</v>
      </c>
      <c r="P175" s="14">
        <f t="shared" si="141"/>
        <v>1.856866851063998E-12</v>
      </c>
      <c r="Q175" s="22">
        <f t="shared" si="162"/>
        <v>3.4554122145673649E-12</v>
      </c>
      <c r="R175" s="60">
        <f t="shared" si="109"/>
        <v>293.33333333333678</v>
      </c>
      <c r="S175" s="60">
        <f ca="1">AVERAGE(OFFSET($R$3,0,0,'Données projet'!$E$9+1,1))-AVERAGE(OFFSET($H$3,0,0,'Données projet'!$E$9+1,1))</f>
        <v>256.47911362806866</v>
      </c>
      <c r="T175" s="60">
        <f t="shared" si="142"/>
        <v>230.93438491511529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8.5332877628816098E-2</v>
      </c>
      <c r="AB175" s="23">
        <f>EXP(-LN(2)/2)*AB174+(1-EXP(-LN(2)/2))/(LN(2)/2)*V175*Y175*VLOOKUP('Données projet'!$B$9,Paramètres!$A$1:$I$89,3,0)*0.475*44/12</f>
        <v>6.8271224121342082E-21</v>
      </c>
      <c r="AC175" s="24">
        <f t="shared" si="163"/>
        <v>8.5332877628816098E-2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-3.694822225952521E-13</v>
      </c>
      <c r="AJ175" s="14">
        <f>AI175*VLOOKUP('Données projet'!$B$10,Paramètres!$A$1:$I$89,3,0)*VLOOKUP('Données projet'!$B$10,Paramètres!$A$1:$I$89,5,0)</f>
        <v>-3.2277966965921228E-13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233.41481265653817</v>
      </c>
      <c r="AO175" s="60">
        <f t="shared" si="144"/>
        <v>300.97465452084055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3.4106051316484809E-13</v>
      </c>
      <c r="BE175" s="14">
        <f>BD175*VLOOKUP('Données projet'!$B$11,Paramètres!$A$1:$I$89,3,0)*VLOOKUP('Données projet'!$B$11,Paramètres!$A$1:$I$89,5,0)</f>
        <v>2.7134774427395314E-13</v>
      </c>
      <c r="BF175" s="14">
        <f t="shared" si="167"/>
        <v>3.6292411711343559E-12</v>
      </c>
      <c r="BG175" s="22">
        <f t="shared" si="168"/>
        <v>6.7935256943361388E-12</v>
      </c>
      <c r="BH175" s="60">
        <f t="shared" si="116"/>
        <v>293.33333333334014</v>
      </c>
      <c r="BI175" s="60">
        <f ca="1">AVERAGE(OFFSET($BH$3,0,0,'Données projet'!$E$11+1,1))-AVERAGE(OFFSET($H$3,0,0,'Données projet'!$E$11+1,1))</f>
        <v>238.47463071449789</v>
      </c>
      <c r="BJ175" s="60">
        <f t="shared" si="146"/>
        <v>270.92950919803718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0" t="e">
        <f t="shared" si="119"/>
        <v>#N/A</v>
      </c>
      <c r="CD175" s="60" t="e">
        <f ca="1">AVERAGE(OFFSET($CC$3,0,0,'Données projet'!$E$12+1,1))-AVERAGE(OFFSET($H$3,0,0,'Données projet'!$E$12+1,1))</f>
        <v>#N/A</v>
      </c>
      <c r="CE175" s="60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0" t="e">
        <f t="shared" si="122"/>
        <v>#N/A</v>
      </c>
      <c r="CY175" s="60" t="e">
        <f ca="1">AVERAGE(OFFSET($CX$3,0,0,'Données projet'!$E$13+1,1))-AVERAGE(OFFSET($H$3,0,0,'Données projet'!$E$13+1,1))</f>
        <v>#N/A</v>
      </c>
      <c r="CZ175" s="60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0" t="e">
        <f t="shared" si="125"/>
        <v>#N/A</v>
      </c>
      <c r="DT175" s="60" t="e">
        <f ca="1">AVERAGE(OFFSET($DS$3,0,0,'Données projet'!$E$14+1,1))-AVERAGE(OFFSET($H$3,0,0,'Données projet'!$E$14+1,1))</f>
        <v>#N/A</v>
      </c>
      <c r="DU175" s="60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0" t="e">
        <f t="shared" si="128"/>
        <v>#N/A</v>
      </c>
      <c r="EO175" s="60" t="e">
        <f ca="1">AVERAGE(OFFSET($EN$3,0,0,'Données projet'!$E$15+1,1))-AVERAGE(OFFSET($H$3,0,0,'Données projet'!$E$15+1,1))</f>
        <v>#N/A</v>
      </c>
      <c r="EP175" s="60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8">
        <f t="shared" si="110"/>
        <v>478.18333093112028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2.2737367544323206E-13</v>
      </c>
      <c r="O176" s="14">
        <f>N176*VLOOKUP('Données projet'!$B$9,Paramètres!$A$1:$I$89,3,0)*VLOOKUP('Données projet'!$B$9,Paramètres!$A$1:$I$89,5,0)</f>
        <v>1.2710188457276673E-13</v>
      </c>
      <c r="P176" s="14">
        <f t="shared" si="141"/>
        <v>1.856866851063998E-12</v>
      </c>
      <c r="Q176" s="22">
        <f t="shared" si="162"/>
        <v>3.4554122145673649E-12</v>
      </c>
      <c r="R176" s="60">
        <f t="shared" si="109"/>
        <v>293.33333333333678</v>
      </c>
      <c r="S176" s="60">
        <f ca="1">AVERAGE(OFFSET($R$3,0,0,'Données projet'!$E$9+1,1))-AVERAGE(OFFSET($H$3,0,0,'Données projet'!$E$9+1,1))</f>
        <v>256.47911362806866</v>
      </c>
      <c r="T176" s="60">
        <f t="shared" si="142"/>
        <v>230.93438491511529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8.2999445602595118E-2</v>
      </c>
      <c r="AB176" s="23">
        <f>EXP(-LN(2)/2)*AB175+(1-EXP(-LN(2)/2))/(LN(2)/2)*V176*Y176*VLOOKUP('Données projet'!$B$9,Paramètres!$A$1:$I$89,3,0)*0.475*44/12</f>
        <v>4.8275045536107581E-21</v>
      </c>
      <c r="AC176" s="24">
        <f t="shared" si="163"/>
        <v>8.2999445602595118E-2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-3.694822225952521E-13</v>
      </c>
      <c r="AJ176" s="14">
        <f>AI176*VLOOKUP('Données projet'!$B$10,Paramètres!$A$1:$I$89,3,0)*VLOOKUP('Données projet'!$B$10,Paramètres!$A$1:$I$89,5,0)</f>
        <v>-3.2277966965921228E-13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233.41481265653817</v>
      </c>
      <c r="AO176" s="60">
        <f t="shared" si="144"/>
        <v>300.97465452084055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3.4106051316484809E-13</v>
      </c>
      <c r="BE176" s="14">
        <f>BD176*VLOOKUP('Données projet'!$B$11,Paramètres!$A$1:$I$89,3,0)*VLOOKUP('Données projet'!$B$11,Paramètres!$A$1:$I$89,5,0)</f>
        <v>2.7134774427395314E-13</v>
      </c>
      <c r="BF176" s="14">
        <f t="shared" si="167"/>
        <v>3.6292411711343559E-12</v>
      </c>
      <c r="BG176" s="22">
        <f t="shared" si="168"/>
        <v>6.7935256943361388E-12</v>
      </c>
      <c r="BH176" s="60">
        <f t="shared" si="116"/>
        <v>293.33333333334014</v>
      </c>
      <c r="BI176" s="60">
        <f ca="1">AVERAGE(OFFSET($BH$3,0,0,'Données projet'!$E$11+1,1))-AVERAGE(OFFSET($H$3,0,0,'Données projet'!$E$11+1,1))</f>
        <v>238.47463071449789</v>
      </c>
      <c r="BJ176" s="60">
        <f t="shared" si="146"/>
        <v>270.92950919803718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0" t="e">
        <f t="shared" si="119"/>
        <v>#N/A</v>
      </c>
      <c r="CD176" s="60" t="e">
        <f ca="1">AVERAGE(OFFSET($CC$3,0,0,'Données projet'!$E$12+1,1))-AVERAGE(OFFSET($H$3,0,0,'Données projet'!$E$12+1,1))</f>
        <v>#N/A</v>
      </c>
      <c r="CE176" s="60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0" t="e">
        <f t="shared" si="122"/>
        <v>#N/A</v>
      </c>
      <c r="CY176" s="60" t="e">
        <f ca="1">AVERAGE(OFFSET($CX$3,0,0,'Données projet'!$E$13+1,1))-AVERAGE(OFFSET($H$3,0,0,'Données projet'!$E$13+1,1))</f>
        <v>#N/A</v>
      </c>
      <c r="CZ176" s="60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0" t="e">
        <f t="shared" si="125"/>
        <v>#N/A</v>
      </c>
      <c r="DT176" s="60" t="e">
        <f ca="1">AVERAGE(OFFSET($DS$3,0,0,'Données projet'!$E$14+1,1))-AVERAGE(OFFSET($H$3,0,0,'Données projet'!$E$14+1,1))</f>
        <v>#N/A</v>
      </c>
      <c r="DU176" s="60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0" t="e">
        <f t="shared" si="128"/>
        <v>#N/A</v>
      </c>
      <c r="EO176" s="60" t="e">
        <f ca="1">AVERAGE(OFFSET($EN$3,0,0,'Données projet'!$E$15+1,1))-AVERAGE(OFFSET($H$3,0,0,'Données projet'!$E$15+1,1))</f>
        <v>#N/A</v>
      </c>
      <c r="EP176" s="60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8">
        <f t="shared" si="110"/>
        <v>479.224899648448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2.2737367544323206E-13</v>
      </c>
      <c r="O177" s="14">
        <f>N177*VLOOKUP('Données projet'!$B$9,Paramètres!$A$1:$I$89,3,0)*VLOOKUP('Données projet'!$B$9,Paramètres!$A$1:$I$89,5,0)</f>
        <v>1.2710188457276673E-13</v>
      </c>
      <c r="P177" s="14">
        <f t="shared" si="141"/>
        <v>1.856866851063998E-12</v>
      </c>
      <c r="Q177" s="22">
        <f t="shared" si="162"/>
        <v>3.4554122145673649E-12</v>
      </c>
      <c r="R177" s="60">
        <f t="shared" si="109"/>
        <v>293.33333333333678</v>
      </c>
      <c r="S177" s="60">
        <f ca="1">AVERAGE(OFFSET($R$3,0,0,'Données projet'!$E$9+1,1))-AVERAGE(OFFSET($H$3,0,0,'Données projet'!$E$9+1,1))</f>
        <v>256.47911362806866</v>
      </c>
      <c r="T177" s="60">
        <f t="shared" si="142"/>
        <v>230.93438491511529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8.0729821397841003E-2</v>
      </c>
      <c r="AB177" s="23">
        <f>EXP(-LN(2)/2)*AB176+(1-EXP(-LN(2)/2))/(LN(2)/2)*V177*Y177*VLOOKUP('Données projet'!$B$9,Paramètres!$A$1:$I$89,3,0)*0.475*44/12</f>
        <v>3.4135612060671041E-21</v>
      </c>
      <c r="AC177" s="24">
        <f t="shared" si="163"/>
        <v>8.0729821397841003E-2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-3.694822225952521E-13</v>
      </c>
      <c r="AJ177" s="14">
        <f>AI177*VLOOKUP('Données projet'!$B$10,Paramètres!$A$1:$I$89,3,0)*VLOOKUP('Données projet'!$B$10,Paramètres!$A$1:$I$89,5,0)</f>
        <v>-3.2277966965921228E-13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233.41481265653817</v>
      </c>
      <c r="AO177" s="60">
        <f t="shared" si="144"/>
        <v>300.97465452084055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3.4106051316484809E-13</v>
      </c>
      <c r="BE177" s="14">
        <f>BD177*VLOOKUP('Données projet'!$B$11,Paramètres!$A$1:$I$89,3,0)*VLOOKUP('Données projet'!$B$11,Paramètres!$A$1:$I$89,5,0)</f>
        <v>2.7134774427395314E-13</v>
      </c>
      <c r="BF177" s="14">
        <f t="shared" si="167"/>
        <v>3.6292411711343559E-12</v>
      </c>
      <c r="BG177" s="22">
        <f t="shared" si="168"/>
        <v>6.7935256943361388E-12</v>
      </c>
      <c r="BH177" s="60">
        <f t="shared" si="116"/>
        <v>293.33333333334014</v>
      </c>
      <c r="BI177" s="60">
        <f ca="1">AVERAGE(OFFSET($BH$3,0,0,'Données projet'!$E$11+1,1))-AVERAGE(OFFSET($H$3,0,0,'Données projet'!$E$11+1,1))</f>
        <v>238.47463071449789</v>
      </c>
      <c r="BJ177" s="60">
        <f t="shared" si="146"/>
        <v>270.92950919803718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0" t="e">
        <f t="shared" si="119"/>
        <v>#N/A</v>
      </c>
      <c r="CD177" s="60" t="e">
        <f ca="1">AVERAGE(OFFSET($CC$3,0,0,'Données projet'!$E$12+1,1))-AVERAGE(OFFSET($H$3,0,0,'Données projet'!$E$12+1,1))</f>
        <v>#N/A</v>
      </c>
      <c r="CE177" s="60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0" t="e">
        <f t="shared" si="122"/>
        <v>#N/A</v>
      </c>
      <c r="CY177" s="60" t="e">
        <f ca="1">AVERAGE(OFFSET($CX$3,0,0,'Données projet'!$E$13+1,1))-AVERAGE(OFFSET($H$3,0,0,'Données projet'!$E$13+1,1))</f>
        <v>#N/A</v>
      </c>
      <c r="CZ177" s="60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0" t="e">
        <f t="shared" si="125"/>
        <v>#N/A</v>
      </c>
      <c r="DT177" s="60" t="e">
        <f ca="1">AVERAGE(OFFSET($DS$3,0,0,'Données projet'!$E$14+1,1))-AVERAGE(OFFSET($H$3,0,0,'Données projet'!$E$14+1,1))</f>
        <v>#N/A</v>
      </c>
      <c r="DU177" s="60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0" t="e">
        <f t="shared" si="128"/>
        <v>#N/A</v>
      </c>
      <c r="EO177" s="60" t="e">
        <f ca="1">AVERAGE(OFFSET($EN$3,0,0,'Données projet'!$E$15+1,1))-AVERAGE(OFFSET($H$3,0,0,'Données projet'!$E$15+1,1))</f>
        <v>#N/A</v>
      </c>
      <c r="EP177" s="60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8">
        <f t="shared" si="110"/>
        <v>480.26633205731122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2.2737367544323206E-13</v>
      </c>
      <c r="O178" s="14">
        <f>N178*VLOOKUP('Données projet'!$B$9,Paramètres!$A$1:$I$89,3,0)*VLOOKUP('Données projet'!$B$9,Paramètres!$A$1:$I$89,5,0)</f>
        <v>1.2710188457276673E-13</v>
      </c>
      <c r="P178" s="14">
        <f t="shared" si="141"/>
        <v>1.856866851063998E-12</v>
      </c>
      <c r="Q178" s="22">
        <f t="shared" si="162"/>
        <v>3.4554122145673649E-12</v>
      </c>
      <c r="R178" s="60">
        <f t="shared" si="109"/>
        <v>293.33333333333678</v>
      </c>
      <c r="S178" s="60">
        <f ca="1">AVERAGE(OFFSET($R$3,0,0,'Données projet'!$E$9+1,1))-AVERAGE(OFFSET($H$3,0,0,'Données projet'!$E$9+1,1))</f>
        <v>256.47911362806866</v>
      </c>
      <c r="T178" s="60">
        <f t="shared" si="142"/>
        <v>230.93438491511529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7.8522260186320247E-2</v>
      </c>
      <c r="AB178" s="23">
        <f>EXP(-LN(2)/2)*AB177+(1-EXP(-LN(2)/2))/(LN(2)/2)*V178*Y178*VLOOKUP('Données projet'!$B$9,Paramètres!$A$1:$I$89,3,0)*0.475*44/12</f>
        <v>2.4137522768053791E-21</v>
      </c>
      <c r="AC178" s="24">
        <f t="shared" si="163"/>
        <v>7.8522260186320247E-2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-3.694822225952521E-13</v>
      </c>
      <c r="AJ178" s="14">
        <f>AI178*VLOOKUP('Données projet'!$B$10,Paramètres!$A$1:$I$89,3,0)*VLOOKUP('Données projet'!$B$10,Paramètres!$A$1:$I$89,5,0)</f>
        <v>-3.2277966965921228E-13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233.41481265653817</v>
      </c>
      <c r="AO178" s="60">
        <f t="shared" si="144"/>
        <v>300.97465452084055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3.4106051316484809E-13</v>
      </c>
      <c r="BE178" s="14">
        <f>BD178*VLOOKUP('Données projet'!$B$11,Paramètres!$A$1:$I$89,3,0)*VLOOKUP('Données projet'!$B$11,Paramètres!$A$1:$I$89,5,0)</f>
        <v>2.7134774427395314E-13</v>
      </c>
      <c r="BF178" s="14">
        <f t="shared" si="167"/>
        <v>3.6292411711343559E-12</v>
      </c>
      <c r="BG178" s="22">
        <f t="shared" si="168"/>
        <v>6.7935256943361388E-12</v>
      </c>
      <c r="BH178" s="60">
        <f t="shared" si="116"/>
        <v>293.33333333334014</v>
      </c>
      <c r="BI178" s="60">
        <f ca="1">AVERAGE(OFFSET($BH$3,0,0,'Données projet'!$E$11+1,1))-AVERAGE(OFFSET($H$3,0,0,'Données projet'!$E$11+1,1))</f>
        <v>238.47463071449789</v>
      </c>
      <c r="BJ178" s="60">
        <f t="shared" si="146"/>
        <v>270.92950919803718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0" t="e">
        <f t="shared" si="119"/>
        <v>#N/A</v>
      </c>
      <c r="CD178" s="60" t="e">
        <f ca="1">AVERAGE(OFFSET($CC$3,0,0,'Données projet'!$E$12+1,1))-AVERAGE(OFFSET($H$3,0,0,'Données projet'!$E$12+1,1))</f>
        <v>#N/A</v>
      </c>
      <c r="CE178" s="60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0" t="e">
        <f t="shared" si="122"/>
        <v>#N/A</v>
      </c>
      <c r="CY178" s="60" t="e">
        <f ca="1">AVERAGE(OFFSET($CX$3,0,0,'Données projet'!$E$13+1,1))-AVERAGE(OFFSET($H$3,0,0,'Données projet'!$E$13+1,1))</f>
        <v>#N/A</v>
      </c>
      <c r="CZ178" s="60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0" t="e">
        <f t="shared" si="125"/>
        <v>#N/A</v>
      </c>
      <c r="DT178" s="60" t="e">
        <f ca="1">AVERAGE(OFFSET($DS$3,0,0,'Données projet'!$E$14+1,1))-AVERAGE(OFFSET($H$3,0,0,'Données projet'!$E$14+1,1))</f>
        <v>#N/A</v>
      </c>
      <c r="DU178" s="60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0" t="e">
        <f t="shared" si="128"/>
        <v>#N/A</v>
      </c>
      <c r="EO178" s="60" t="e">
        <f ca="1">AVERAGE(OFFSET($EN$3,0,0,'Données projet'!$E$15+1,1))-AVERAGE(OFFSET($H$3,0,0,'Données projet'!$E$15+1,1))</f>
        <v>#N/A</v>
      </c>
      <c r="EP178" s="60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8">
        <f t="shared" si="110"/>
        <v>481.3076290270003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2.2737367544323206E-13</v>
      </c>
      <c r="O179" s="14">
        <f>N179*VLOOKUP('Données projet'!$B$9,Paramètres!$A$1:$I$89,3,0)*VLOOKUP('Données projet'!$B$9,Paramètres!$A$1:$I$89,5,0)</f>
        <v>1.2710188457276673E-13</v>
      </c>
      <c r="P179" s="14">
        <f t="shared" si="141"/>
        <v>1.856866851063998E-12</v>
      </c>
      <c r="Q179" s="22">
        <f t="shared" si="162"/>
        <v>3.4554122145673649E-12</v>
      </c>
      <c r="R179" s="60">
        <f t="shared" si="109"/>
        <v>293.33333333333678</v>
      </c>
      <c r="S179" s="60">
        <f ca="1">AVERAGE(OFFSET($R$3,0,0,'Données projet'!$E$9+1,1))-AVERAGE(OFFSET($H$3,0,0,'Données projet'!$E$9+1,1))</f>
        <v>256.47911362806866</v>
      </c>
      <c r="T179" s="60">
        <f t="shared" si="142"/>
        <v>230.93438491511529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7.6375064852219121E-2</v>
      </c>
      <c r="AB179" s="23">
        <f>EXP(-LN(2)/2)*AB178+(1-EXP(-LN(2)/2))/(LN(2)/2)*V179*Y179*VLOOKUP('Données projet'!$B$9,Paramètres!$A$1:$I$89,3,0)*0.475*44/12</f>
        <v>1.7067806030335521E-21</v>
      </c>
      <c r="AC179" s="24">
        <f t="shared" si="163"/>
        <v>7.6375064852219121E-2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-3.694822225952521E-13</v>
      </c>
      <c r="AJ179" s="14">
        <f>AI179*VLOOKUP('Données projet'!$B$10,Paramètres!$A$1:$I$89,3,0)*VLOOKUP('Données projet'!$B$10,Paramètres!$A$1:$I$89,5,0)</f>
        <v>-3.2277966965921228E-13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233.41481265653817</v>
      </c>
      <c r="AO179" s="60">
        <f t="shared" si="144"/>
        <v>300.97465452084055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3.4106051316484809E-13</v>
      </c>
      <c r="BE179" s="14">
        <f>BD179*VLOOKUP('Données projet'!$B$11,Paramètres!$A$1:$I$89,3,0)*VLOOKUP('Données projet'!$B$11,Paramètres!$A$1:$I$89,5,0)</f>
        <v>2.7134774427395314E-13</v>
      </c>
      <c r="BF179" s="14">
        <f t="shared" si="167"/>
        <v>3.6292411711343559E-12</v>
      </c>
      <c r="BG179" s="22">
        <f t="shared" si="168"/>
        <v>6.7935256943361388E-12</v>
      </c>
      <c r="BH179" s="60">
        <f t="shared" si="116"/>
        <v>293.33333333334014</v>
      </c>
      <c r="BI179" s="60">
        <f ca="1">AVERAGE(OFFSET($BH$3,0,0,'Données projet'!$E$11+1,1))-AVERAGE(OFFSET($H$3,0,0,'Données projet'!$E$11+1,1))</f>
        <v>238.47463071449789</v>
      </c>
      <c r="BJ179" s="60">
        <f t="shared" si="146"/>
        <v>270.92950919803718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0" t="e">
        <f t="shared" si="119"/>
        <v>#N/A</v>
      </c>
      <c r="CD179" s="60" t="e">
        <f ca="1">AVERAGE(OFFSET($CC$3,0,0,'Données projet'!$E$12+1,1))-AVERAGE(OFFSET($H$3,0,0,'Données projet'!$E$12+1,1))</f>
        <v>#N/A</v>
      </c>
      <c r="CE179" s="60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0" t="e">
        <f t="shared" si="122"/>
        <v>#N/A</v>
      </c>
      <c r="CY179" s="60" t="e">
        <f ca="1">AVERAGE(OFFSET($CX$3,0,0,'Données projet'!$E$13+1,1))-AVERAGE(OFFSET($H$3,0,0,'Données projet'!$E$13+1,1))</f>
        <v>#N/A</v>
      </c>
      <c r="CZ179" s="60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0" t="e">
        <f t="shared" si="125"/>
        <v>#N/A</v>
      </c>
      <c r="DT179" s="60" t="e">
        <f ca="1">AVERAGE(OFFSET($DS$3,0,0,'Données projet'!$E$14+1,1))-AVERAGE(OFFSET($H$3,0,0,'Données projet'!$E$14+1,1))</f>
        <v>#N/A</v>
      </c>
      <c r="DU179" s="60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0" t="e">
        <f t="shared" si="128"/>
        <v>#N/A</v>
      </c>
      <c r="EO179" s="60" t="e">
        <f ca="1">AVERAGE(OFFSET($EN$3,0,0,'Données projet'!$E$15+1,1))-AVERAGE(OFFSET($H$3,0,0,'Données projet'!$E$15+1,1))</f>
        <v>#N/A</v>
      </c>
      <c r="EP179" s="60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8">
        <f t="shared" si="110"/>
        <v>482.34879141635599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2.2737367544323206E-13</v>
      </c>
      <c r="O180" s="14">
        <f>N180*VLOOKUP('Données projet'!$B$9,Paramètres!$A$1:$I$89,3,0)*VLOOKUP('Données projet'!$B$9,Paramètres!$A$1:$I$89,5,0)</f>
        <v>1.2710188457276673E-13</v>
      </c>
      <c r="P180" s="14">
        <f t="shared" si="141"/>
        <v>1.856866851063998E-12</v>
      </c>
      <c r="Q180" s="22">
        <f t="shared" si="162"/>
        <v>3.4554122145673649E-12</v>
      </c>
      <c r="R180" s="60">
        <f t="shared" si="109"/>
        <v>293.33333333333678</v>
      </c>
      <c r="S180" s="60">
        <f ca="1">AVERAGE(OFFSET($R$3,0,0,'Données projet'!$E$9+1,1))-AVERAGE(OFFSET($H$3,0,0,'Données projet'!$E$9+1,1))</f>
        <v>256.47911362806866</v>
      </c>
      <c r="T180" s="60">
        <f t="shared" si="142"/>
        <v>230.93438491511529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7.428658468744509E-2</v>
      </c>
      <c r="AB180" s="23">
        <f>EXP(-LN(2)/2)*AB179+(1-EXP(-LN(2)/2))/(LN(2)/2)*V180*Y180*VLOOKUP('Données projet'!$B$9,Paramètres!$A$1:$I$89,3,0)*0.475*44/12</f>
        <v>1.2068761384026895E-21</v>
      </c>
      <c r="AC180" s="24">
        <f t="shared" si="163"/>
        <v>7.428658468744509E-2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-3.694822225952521E-13</v>
      </c>
      <c r="AJ180" s="14">
        <f>AI180*VLOOKUP('Données projet'!$B$10,Paramètres!$A$1:$I$89,3,0)*VLOOKUP('Données projet'!$B$10,Paramètres!$A$1:$I$89,5,0)</f>
        <v>-3.2277966965921228E-13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233.41481265653817</v>
      </c>
      <c r="AO180" s="60">
        <f t="shared" si="144"/>
        <v>300.97465452084055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3.4106051316484809E-13</v>
      </c>
      <c r="BE180" s="14">
        <f>BD180*VLOOKUP('Données projet'!$B$11,Paramètres!$A$1:$I$89,3,0)*VLOOKUP('Données projet'!$B$11,Paramètres!$A$1:$I$89,5,0)</f>
        <v>2.7134774427395314E-13</v>
      </c>
      <c r="BF180" s="14">
        <f t="shared" si="167"/>
        <v>3.6292411711343559E-12</v>
      </c>
      <c r="BG180" s="22">
        <f t="shared" si="168"/>
        <v>6.7935256943361388E-12</v>
      </c>
      <c r="BH180" s="60">
        <f t="shared" si="116"/>
        <v>293.33333333334014</v>
      </c>
      <c r="BI180" s="60">
        <f ca="1">AVERAGE(OFFSET($BH$3,0,0,'Données projet'!$E$11+1,1))-AVERAGE(OFFSET($H$3,0,0,'Données projet'!$E$11+1,1))</f>
        <v>238.47463071449789</v>
      </c>
      <c r="BJ180" s="60">
        <f t="shared" si="146"/>
        <v>270.92950919803718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0" t="e">
        <f t="shared" si="119"/>
        <v>#N/A</v>
      </c>
      <c r="CD180" s="60" t="e">
        <f ca="1">AVERAGE(OFFSET($CC$3,0,0,'Données projet'!$E$12+1,1))-AVERAGE(OFFSET($H$3,0,0,'Données projet'!$E$12+1,1))</f>
        <v>#N/A</v>
      </c>
      <c r="CE180" s="60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0" t="e">
        <f t="shared" si="122"/>
        <v>#N/A</v>
      </c>
      <c r="CY180" s="60" t="e">
        <f ca="1">AVERAGE(OFFSET($CX$3,0,0,'Données projet'!$E$13+1,1))-AVERAGE(OFFSET($H$3,0,0,'Données projet'!$E$13+1,1))</f>
        <v>#N/A</v>
      </c>
      <c r="CZ180" s="60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0" t="e">
        <f t="shared" si="125"/>
        <v>#N/A</v>
      </c>
      <c r="DT180" s="60" t="e">
        <f ca="1">AVERAGE(OFFSET($DS$3,0,0,'Données projet'!$E$14+1,1))-AVERAGE(OFFSET($H$3,0,0,'Données projet'!$E$14+1,1))</f>
        <v>#N/A</v>
      </c>
      <c r="DU180" s="60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0" t="e">
        <f t="shared" si="128"/>
        <v>#N/A</v>
      </c>
      <c r="EO180" s="60" t="e">
        <f ca="1">AVERAGE(OFFSET($EN$3,0,0,'Données projet'!$E$15+1,1))-AVERAGE(OFFSET($H$3,0,0,'Données projet'!$E$15+1,1))</f>
        <v>#N/A</v>
      </c>
      <c r="EP180" s="60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8">
        <f t="shared" si="110"/>
        <v>483.38982007395271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2.2737367544323206E-13</v>
      </c>
      <c r="O181" s="14">
        <f>N181*VLOOKUP('Données projet'!$B$9,Paramètres!$A$1:$I$89,3,0)*VLOOKUP('Données projet'!$B$9,Paramètres!$A$1:$I$89,5,0)</f>
        <v>1.2710188457276673E-13</v>
      </c>
      <c r="P181" s="14">
        <f t="shared" si="141"/>
        <v>1.856866851063998E-12</v>
      </c>
      <c r="Q181" s="22">
        <f t="shared" si="162"/>
        <v>3.4554122145673649E-12</v>
      </c>
      <c r="R181" s="60">
        <f t="shared" si="109"/>
        <v>293.33333333333678</v>
      </c>
      <c r="S181" s="60">
        <f ca="1">AVERAGE(OFFSET($R$3,0,0,'Données projet'!$E$9+1,1))-AVERAGE(OFFSET($H$3,0,0,'Données projet'!$E$9+1,1))</f>
        <v>256.47911362806866</v>
      </c>
      <c r="T181" s="60">
        <f t="shared" si="142"/>
        <v>230.93438491511529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7.2255214122605202E-2</v>
      </c>
      <c r="AB181" s="23">
        <f>EXP(-LN(2)/2)*AB180+(1-EXP(-LN(2)/2))/(LN(2)/2)*V181*Y181*VLOOKUP('Données projet'!$B$9,Paramètres!$A$1:$I$89,3,0)*0.475*44/12</f>
        <v>8.5339030151677603E-22</v>
      </c>
      <c r="AC181" s="24">
        <f t="shared" si="163"/>
        <v>7.2255214122605202E-2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-3.694822225952521E-13</v>
      </c>
      <c r="AJ181" s="14">
        <f>AI181*VLOOKUP('Données projet'!$B$10,Paramètres!$A$1:$I$89,3,0)*VLOOKUP('Données projet'!$B$10,Paramètres!$A$1:$I$89,5,0)</f>
        <v>-3.2277966965921228E-13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233.41481265653817</v>
      </c>
      <c r="AO181" s="60">
        <f t="shared" si="144"/>
        <v>300.97465452084055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3.4106051316484809E-13</v>
      </c>
      <c r="BE181" s="14">
        <f>BD181*VLOOKUP('Données projet'!$B$11,Paramètres!$A$1:$I$89,3,0)*VLOOKUP('Données projet'!$B$11,Paramètres!$A$1:$I$89,5,0)</f>
        <v>2.7134774427395314E-13</v>
      </c>
      <c r="BF181" s="14">
        <f t="shared" si="167"/>
        <v>3.6292411711343559E-12</v>
      </c>
      <c r="BG181" s="22">
        <f t="shared" si="168"/>
        <v>6.7935256943361388E-12</v>
      </c>
      <c r="BH181" s="60">
        <f t="shared" si="116"/>
        <v>293.33333333334014</v>
      </c>
      <c r="BI181" s="60">
        <f ca="1">AVERAGE(OFFSET($BH$3,0,0,'Données projet'!$E$11+1,1))-AVERAGE(OFFSET($H$3,0,0,'Données projet'!$E$11+1,1))</f>
        <v>238.47463071449789</v>
      </c>
      <c r="BJ181" s="60">
        <f t="shared" si="146"/>
        <v>270.92950919803718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0" t="e">
        <f t="shared" si="119"/>
        <v>#N/A</v>
      </c>
      <c r="CD181" s="60" t="e">
        <f ca="1">AVERAGE(OFFSET($CC$3,0,0,'Données projet'!$E$12+1,1))-AVERAGE(OFFSET($H$3,0,0,'Données projet'!$E$12+1,1))</f>
        <v>#N/A</v>
      </c>
      <c r="CE181" s="60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0" t="e">
        <f t="shared" si="122"/>
        <v>#N/A</v>
      </c>
      <c r="CY181" s="60" t="e">
        <f ca="1">AVERAGE(OFFSET($CX$3,0,0,'Données projet'!$E$13+1,1))-AVERAGE(OFFSET($H$3,0,0,'Données projet'!$E$13+1,1))</f>
        <v>#N/A</v>
      </c>
      <c r="CZ181" s="60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0" t="e">
        <f t="shared" si="125"/>
        <v>#N/A</v>
      </c>
      <c r="DT181" s="60" t="e">
        <f ca="1">AVERAGE(OFFSET($DS$3,0,0,'Données projet'!$E$14+1,1))-AVERAGE(OFFSET($H$3,0,0,'Données projet'!$E$14+1,1))</f>
        <v>#N/A</v>
      </c>
      <c r="DU181" s="60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0" t="e">
        <f t="shared" si="128"/>
        <v>#N/A</v>
      </c>
      <c r="EO181" s="60" t="e">
        <f ca="1">AVERAGE(OFFSET($EN$3,0,0,'Données projet'!$E$15+1,1))-AVERAGE(OFFSET($H$3,0,0,'Données projet'!$E$15+1,1))</f>
        <v>#N/A</v>
      </c>
      <c r="EP181" s="60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8">
        <f t="shared" si="110"/>
        <v>484.43071583827873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2.2737367544323206E-13</v>
      </c>
      <c r="O182" s="14">
        <f>N182*VLOOKUP('Données projet'!$B$9,Paramètres!$A$1:$I$89,3,0)*VLOOKUP('Données projet'!$B$9,Paramètres!$A$1:$I$89,5,0)</f>
        <v>1.2710188457276673E-13</v>
      </c>
      <c r="P182" s="14">
        <f t="shared" si="141"/>
        <v>1.856866851063998E-12</v>
      </c>
      <c r="Q182" s="22">
        <f t="shared" si="162"/>
        <v>3.4554122145673649E-12</v>
      </c>
      <c r="R182" s="60">
        <f t="shared" si="109"/>
        <v>293.33333333333678</v>
      </c>
      <c r="S182" s="60">
        <f ca="1">AVERAGE(OFFSET($R$3,0,0,'Données projet'!$E$9+1,1))-AVERAGE(OFFSET($H$3,0,0,'Données projet'!$E$9+1,1))</f>
        <v>256.47911362806866</v>
      </c>
      <c r="T182" s="60">
        <f t="shared" si="142"/>
        <v>230.93438491511529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7.0279391492686E-2</v>
      </c>
      <c r="AB182" s="23">
        <f>EXP(-LN(2)/2)*AB181+(1-EXP(-LN(2)/2))/(LN(2)/2)*V182*Y182*VLOOKUP('Données projet'!$B$9,Paramètres!$A$1:$I$89,3,0)*0.475*44/12</f>
        <v>6.0343806920134477E-22</v>
      </c>
      <c r="AC182" s="24">
        <f t="shared" si="163"/>
        <v>7.0279391492686E-2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-3.694822225952521E-13</v>
      </c>
      <c r="AJ182" s="14">
        <f>AI182*VLOOKUP('Données projet'!$B$10,Paramètres!$A$1:$I$89,3,0)*VLOOKUP('Données projet'!$B$10,Paramètres!$A$1:$I$89,5,0)</f>
        <v>-3.2277966965921228E-13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233.41481265653817</v>
      </c>
      <c r="AO182" s="60">
        <f t="shared" si="144"/>
        <v>300.97465452084055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3.4106051316484809E-13</v>
      </c>
      <c r="BE182" s="14">
        <f>BD182*VLOOKUP('Données projet'!$B$11,Paramètres!$A$1:$I$89,3,0)*VLOOKUP('Données projet'!$B$11,Paramètres!$A$1:$I$89,5,0)</f>
        <v>2.7134774427395314E-13</v>
      </c>
      <c r="BF182" s="14">
        <f t="shared" si="167"/>
        <v>3.6292411711343559E-12</v>
      </c>
      <c r="BG182" s="22">
        <f t="shared" si="168"/>
        <v>6.7935256943361388E-12</v>
      </c>
      <c r="BH182" s="60">
        <f t="shared" si="116"/>
        <v>293.33333333334014</v>
      </c>
      <c r="BI182" s="60">
        <f ca="1">AVERAGE(OFFSET($BH$3,0,0,'Données projet'!$E$11+1,1))-AVERAGE(OFFSET($H$3,0,0,'Données projet'!$E$11+1,1))</f>
        <v>238.47463071449789</v>
      </c>
      <c r="BJ182" s="60">
        <f t="shared" si="146"/>
        <v>270.92950919803718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0" t="e">
        <f t="shared" si="119"/>
        <v>#N/A</v>
      </c>
      <c r="CD182" s="60" t="e">
        <f ca="1">AVERAGE(OFFSET($CC$3,0,0,'Données projet'!$E$12+1,1))-AVERAGE(OFFSET($H$3,0,0,'Données projet'!$E$12+1,1))</f>
        <v>#N/A</v>
      </c>
      <c r="CE182" s="60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0" t="e">
        <f t="shared" si="122"/>
        <v>#N/A</v>
      </c>
      <c r="CY182" s="60" t="e">
        <f ca="1">AVERAGE(OFFSET($CX$3,0,0,'Données projet'!$E$13+1,1))-AVERAGE(OFFSET($H$3,0,0,'Données projet'!$E$13+1,1))</f>
        <v>#N/A</v>
      </c>
      <c r="CZ182" s="60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0" t="e">
        <f t="shared" si="125"/>
        <v>#N/A</v>
      </c>
      <c r="DT182" s="60" t="e">
        <f ca="1">AVERAGE(OFFSET($DS$3,0,0,'Données projet'!$E$14+1,1))-AVERAGE(OFFSET($H$3,0,0,'Données projet'!$E$14+1,1))</f>
        <v>#N/A</v>
      </c>
      <c r="DU182" s="60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0" t="e">
        <f t="shared" si="128"/>
        <v>#N/A</v>
      </c>
      <c r="EO182" s="60" t="e">
        <f ca="1">AVERAGE(OFFSET($EN$3,0,0,'Données projet'!$E$15+1,1))-AVERAGE(OFFSET($H$3,0,0,'Données projet'!$E$15+1,1))</f>
        <v>#N/A</v>
      </c>
      <c r="EP182" s="60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8">
        <f t="shared" si="110"/>
        <v>485.47147953791148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2.2737367544323206E-13</v>
      </c>
      <c r="O183" s="14">
        <f>N183*VLOOKUP('Données projet'!$B$9,Paramètres!$A$1:$I$89,3,0)*VLOOKUP('Données projet'!$B$9,Paramètres!$A$1:$I$89,5,0)</f>
        <v>1.2710188457276673E-13</v>
      </c>
      <c r="P183" s="14">
        <f t="shared" si="141"/>
        <v>1.856866851063998E-12</v>
      </c>
      <c r="Q183" s="22">
        <f t="shared" si="162"/>
        <v>3.4554122145673649E-12</v>
      </c>
      <c r="R183" s="60">
        <f t="shared" si="109"/>
        <v>293.33333333333678</v>
      </c>
      <c r="S183" s="60">
        <f ca="1">AVERAGE(OFFSET($R$3,0,0,'Données projet'!$E$9+1,1))-AVERAGE(OFFSET($H$3,0,0,'Données projet'!$E$9+1,1))</f>
        <v>256.47911362806866</v>
      </c>
      <c r="T183" s="60">
        <f t="shared" si="142"/>
        <v>230.93438491511529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6.8357597836485928E-2</v>
      </c>
      <c r="AB183" s="23">
        <f>EXP(-LN(2)/2)*AB182+(1-EXP(-LN(2)/2))/(LN(2)/2)*V183*Y183*VLOOKUP('Données projet'!$B$9,Paramètres!$A$1:$I$89,3,0)*0.475*44/12</f>
        <v>4.2669515075838801E-22</v>
      </c>
      <c r="AC183" s="24">
        <f t="shared" si="163"/>
        <v>6.8357597836485928E-2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-3.694822225952521E-13</v>
      </c>
      <c r="AJ183" s="14">
        <f>AI183*VLOOKUP('Données projet'!$B$10,Paramètres!$A$1:$I$89,3,0)*VLOOKUP('Données projet'!$B$10,Paramètres!$A$1:$I$89,5,0)</f>
        <v>-3.2277966965921228E-13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233.41481265653817</v>
      </c>
      <c r="AO183" s="60">
        <f t="shared" si="144"/>
        <v>300.97465452084055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3.4106051316484809E-13</v>
      </c>
      <c r="BE183" s="14">
        <f>BD183*VLOOKUP('Données projet'!$B$11,Paramètres!$A$1:$I$89,3,0)*VLOOKUP('Données projet'!$B$11,Paramètres!$A$1:$I$89,5,0)</f>
        <v>2.7134774427395314E-13</v>
      </c>
      <c r="BF183" s="14">
        <f t="shared" si="167"/>
        <v>3.6292411711343559E-12</v>
      </c>
      <c r="BG183" s="22">
        <f t="shared" si="168"/>
        <v>6.7935256943361388E-12</v>
      </c>
      <c r="BH183" s="60">
        <f t="shared" si="116"/>
        <v>293.33333333334014</v>
      </c>
      <c r="BI183" s="60">
        <f ca="1">AVERAGE(OFFSET($BH$3,0,0,'Données projet'!$E$11+1,1))-AVERAGE(OFFSET($H$3,0,0,'Données projet'!$E$11+1,1))</f>
        <v>238.47463071449789</v>
      </c>
      <c r="BJ183" s="60">
        <f t="shared" si="146"/>
        <v>270.92950919803718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0" t="e">
        <f t="shared" si="119"/>
        <v>#N/A</v>
      </c>
      <c r="CD183" s="60" t="e">
        <f ca="1">AVERAGE(OFFSET($CC$3,0,0,'Données projet'!$E$12+1,1))-AVERAGE(OFFSET($H$3,0,0,'Données projet'!$E$12+1,1))</f>
        <v>#N/A</v>
      </c>
      <c r="CE183" s="60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0" t="e">
        <f t="shared" si="122"/>
        <v>#N/A</v>
      </c>
      <c r="CY183" s="60" t="e">
        <f ca="1">AVERAGE(OFFSET($CX$3,0,0,'Données projet'!$E$13+1,1))-AVERAGE(OFFSET($H$3,0,0,'Données projet'!$E$13+1,1))</f>
        <v>#N/A</v>
      </c>
      <c r="CZ183" s="60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0" t="e">
        <f t="shared" si="125"/>
        <v>#N/A</v>
      </c>
      <c r="DT183" s="60" t="e">
        <f ca="1">AVERAGE(OFFSET($DS$3,0,0,'Données projet'!$E$14+1,1))-AVERAGE(OFFSET($H$3,0,0,'Données projet'!$E$14+1,1))</f>
        <v>#N/A</v>
      </c>
      <c r="DU183" s="60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0" t="e">
        <f t="shared" si="128"/>
        <v>#N/A</v>
      </c>
      <c r="EO183" s="60" t="e">
        <f ca="1">AVERAGE(OFFSET($EN$3,0,0,'Données projet'!$E$15+1,1))-AVERAGE(OFFSET($H$3,0,0,'Données projet'!$E$15+1,1))</f>
        <v>#N/A</v>
      </c>
      <c r="EP183" s="60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8">
        <f t="shared" si="110"/>
        <v>486.51211199168915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2.2737367544323206E-13</v>
      </c>
      <c r="O184" s="14">
        <f>N184*VLOOKUP('Données projet'!$B$9,Paramètres!$A$1:$I$89,3,0)*VLOOKUP('Données projet'!$B$9,Paramètres!$A$1:$I$89,5,0)</f>
        <v>1.2710188457276673E-13</v>
      </c>
      <c r="P184" s="14">
        <f t="shared" si="141"/>
        <v>1.856866851063998E-12</v>
      </c>
      <c r="Q184" s="22">
        <f t="shared" si="162"/>
        <v>3.4554122145673649E-12</v>
      </c>
      <c r="R184" s="60">
        <f t="shared" si="109"/>
        <v>293.33333333333678</v>
      </c>
      <c r="S184" s="60">
        <f ca="1">AVERAGE(OFFSET($R$3,0,0,'Données projet'!$E$9+1,1))-AVERAGE(OFFSET($H$3,0,0,'Données projet'!$E$9+1,1))</f>
        <v>256.47911362806866</v>
      </c>
      <c r="T184" s="60">
        <f t="shared" si="142"/>
        <v>230.93438491511529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6.6488355728877388E-2</v>
      </c>
      <c r="AB184" s="23">
        <f>EXP(-LN(2)/2)*AB183+(1-EXP(-LN(2)/2))/(LN(2)/2)*V184*Y184*VLOOKUP('Données projet'!$B$9,Paramètres!$A$1:$I$89,3,0)*0.475*44/12</f>
        <v>3.0171903460067238E-22</v>
      </c>
      <c r="AC184" s="24">
        <f t="shared" si="163"/>
        <v>6.6488355728877388E-2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-3.694822225952521E-13</v>
      </c>
      <c r="AJ184" s="14">
        <f>AI184*VLOOKUP('Données projet'!$B$10,Paramètres!$A$1:$I$89,3,0)*VLOOKUP('Données projet'!$B$10,Paramètres!$A$1:$I$89,5,0)</f>
        <v>-3.2277966965921228E-13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233.41481265653817</v>
      </c>
      <c r="AO184" s="60">
        <f t="shared" si="144"/>
        <v>300.97465452084055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3.4106051316484809E-13</v>
      </c>
      <c r="BE184" s="14">
        <f>BD184*VLOOKUP('Données projet'!$B$11,Paramètres!$A$1:$I$89,3,0)*VLOOKUP('Données projet'!$B$11,Paramètres!$A$1:$I$89,5,0)</f>
        <v>2.7134774427395314E-13</v>
      </c>
      <c r="BF184" s="14">
        <f t="shared" si="167"/>
        <v>3.6292411711343559E-12</v>
      </c>
      <c r="BG184" s="22">
        <f t="shared" si="168"/>
        <v>6.7935256943361388E-12</v>
      </c>
      <c r="BH184" s="60">
        <f t="shared" si="116"/>
        <v>293.33333333334014</v>
      </c>
      <c r="BI184" s="60">
        <f ca="1">AVERAGE(OFFSET($BH$3,0,0,'Données projet'!$E$11+1,1))-AVERAGE(OFFSET($H$3,0,0,'Données projet'!$E$11+1,1))</f>
        <v>238.47463071449789</v>
      </c>
      <c r="BJ184" s="60">
        <f t="shared" si="146"/>
        <v>270.92950919803718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0" t="e">
        <f t="shared" si="119"/>
        <v>#N/A</v>
      </c>
      <c r="CD184" s="60" t="e">
        <f ca="1">AVERAGE(OFFSET($CC$3,0,0,'Données projet'!$E$12+1,1))-AVERAGE(OFFSET($H$3,0,0,'Données projet'!$E$12+1,1))</f>
        <v>#N/A</v>
      </c>
      <c r="CE184" s="60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0" t="e">
        <f t="shared" si="122"/>
        <v>#N/A</v>
      </c>
      <c r="CY184" s="60" t="e">
        <f ca="1">AVERAGE(OFFSET($CX$3,0,0,'Données projet'!$E$13+1,1))-AVERAGE(OFFSET($H$3,0,0,'Données projet'!$E$13+1,1))</f>
        <v>#N/A</v>
      </c>
      <c r="CZ184" s="60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0" t="e">
        <f t="shared" si="125"/>
        <v>#N/A</v>
      </c>
      <c r="DT184" s="60" t="e">
        <f ca="1">AVERAGE(OFFSET($DS$3,0,0,'Données projet'!$E$14+1,1))-AVERAGE(OFFSET($H$3,0,0,'Données projet'!$E$14+1,1))</f>
        <v>#N/A</v>
      </c>
      <c r="DU184" s="60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0" t="e">
        <f t="shared" si="128"/>
        <v>#N/A</v>
      </c>
      <c r="EO184" s="60" t="e">
        <f ca="1">AVERAGE(OFFSET($EN$3,0,0,'Données projet'!$E$15+1,1))-AVERAGE(OFFSET($H$3,0,0,'Données projet'!$E$15+1,1))</f>
        <v>#N/A</v>
      </c>
      <c r="EP184" s="60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8">
        <f t="shared" si="110"/>
        <v>487.55261400887855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2.2737367544323206E-13</v>
      </c>
      <c r="O185" s="14">
        <f>N185*VLOOKUP('Données projet'!$B$9,Paramètres!$A$1:$I$89,3,0)*VLOOKUP('Données projet'!$B$9,Paramètres!$A$1:$I$89,5,0)</f>
        <v>1.2710188457276673E-13</v>
      </c>
      <c r="P185" s="14">
        <f t="shared" si="141"/>
        <v>1.856866851063998E-12</v>
      </c>
      <c r="Q185" s="22">
        <f t="shared" si="162"/>
        <v>3.4554122145673649E-12</v>
      </c>
      <c r="R185" s="60">
        <f t="shared" si="109"/>
        <v>293.33333333333678</v>
      </c>
      <c r="S185" s="60">
        <f ca="1">AVERAGE(OFFSET($R$3,0,0,'Données projet'!$E$9+1,1))-AVERAGE(OFFSET($H$3,0,0,'Données projet'!$E$9+1,1))</f>
        <v>256.47911362806866</v>
      </c>
      <c r="T185" s="60">
        <f t="shared" si="142"/>
        <v>230.93438491511529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6.4670228145000563E-2</v>
      </c>
      <c r="AB185" s="23">
        <f>EXP(-LN(2)/2)*AB184+(1-EXP(-LN(2)/2))/(LN(2)/2)*V185*Y185*VLOOKUP('Données projet'!$B$9,Paramètres!$A$1:$I$89,3,0)*0.475*44/12</f>
        <v>2.1334757537919401E-22</v>
      </c>
      <c r="AC185" s="24">
        <f t="shared" si="163"/>
        <v>6.4670228145000563E-2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-3.694822225952521E-13</v>
      </c>
      <c r="AJ185" s="14">
        <f>AI185*VLOOKUP('Données projet'!$B$10,Paramètres!$A$1:$I$89,3,0)*VLOOKUP('Données projet'!$B$10,Paramètres!$A$1:$I$89,5,0)</f>
        <v>-3.2277966965921228E-13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233.41481265653817</v>
      </c>
      <c r="AO185" s="60">
        <f t="shared" si="144"/>
        <v>300.97465452084055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3.4106051316484809E-13</v>
      </c>
      <c r="BE185" s="14">
        <f>BD185*VLOOKUP('Données projet'!$B$11,Paramètres!$A$1:$I$89,3,0)*VLOOKUP('Données projet'!$B$11,Paramètres!$A$1:$I$89,5,0)</f>
        <v>2.7134774427395314E-13</v>
      </c>
      <c r="BF185" s="14">
        <f t="shared" si="167"/>
        <v>3.6292411711343559E-12</v>
      </c>
      <c r="BG185" s="22">
        <f t="shared" si="168"/>
        <v>6.7935256943361388E-12</v>
      </c>
      <c r="BH185" s="60">
        <f t="shared" si="116"/>
        <v>293.33333333334014</v>
      </c>
      <c r="BI185" s="60">
        <f ca="1">AVERAGE(OFFSET($BH$3,0,0,'Données projet'!$E$11+1,1))-AVERAGE(OFFSET($H$3,0,0,'Données projet'!$E$11+1,1))</f>
        <v>238.47463071449789</v>
      </c>
      <c r="BJ185" s="60">
        <f t="shared" si="146"/>
        <v>270.92950919803718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0" t="e">
        <f t="shared" si="119"/>
        <v>#N/A</v>
      </c>
      <c r="CD185" s="60" t="e">
        <f ca="1">AVERAGE(OFFSET($CC$3,0,0,'Données projet'!$E$12+1,1))-AVERAGE(OFFSET($H$3,0,0,'Données projet'!$E$12+1,1))</f>
        <v>#N/A</v>
      </c>
      <c r="CE185" s="60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0" t="e">
        <f t="shared" si="122"/>
        <v>#N/A</v>
      </c>
      <c r="CY185" s="60" t="e">
        <f ca="1">AVERAGE(OFFSET($CX$3,0,0,'Données projet'!$E$13+1,1))-AVERAGE(OFFSET($H$3,0,0,'Données projet'!$E$13+1,1))</f>
        <v>#N/A</v>
      </c>
      <c r="CZ185" s="60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0" t="e">
        <f t="shared" si="125"/>
        <v>#N/A</v>
      </c>
      <c r="DT185" s="60" t="e">
        <f ca="1">AVERAGE(OFFSET($DS$3,0,0,'Données projet'!$E$14+1,1))-AVERAGE(OFFSET($H$3,0,0,'Données projet'!$E$14+1,1))</f>
        <v>#N/A</v>
      </c>
      <c r="DU185" s="60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0" t="e">
        <f t="shared" si="128"/>
        <v>#N/A</v>
      </c>
      <c r="EO185" s="60" t="e">
        <f ca="1">AVERAGE(OFFSET($EN$3,0,0,'Données projet'!$E$15+1,1))-AVERAGE(OFFSET($H$3,0,0,'Données projet'!$E$15+1,1))</f>
        <v>#N/A</v>
      </c>
      <c r="EP185" s="60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8">
        <f t="shared" si="110"/>
        <v>488.59298638933842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2.2737367544323206E-13</v>
      </c>
      <c r="O186" s="14">
        <f>N186*VLOOKUP('Données projet'!$B$9,Paramètres!$A$1:$I$89,3,0)*VLOOKUP('Données projet'!$B$9,Paramètres!$A$1:$I$89,5,0)</f>
        <v>1.2710188457276673E-13</v>
      </c>
      <c r="P186" s="14">
        <f t="shared" si="141"/>
        <v>1.856866851063998E-12</v>
      </c>
      <c r="Q186" s="22">
        <f t="shared" si="162"/>
        <v>3.4554122145673649E-12</v>
      </c>
      <c r="R186" s="60">
        <f t="shared" si="109"/>
        <v>293.33333333333678</v>
      </c>
      <c r="S186" s="60">
        <f ca="1">AVERAGE(OFFSET($R$3,0,0,'Données projet'!$E$9+1,1))-AVERAGE(OFFSET($H$3,0,0,'Données projet'!$E$9+1,1))</f>
        <v>256.47911362806866</v>
      </c>
      <c r="T186" s="60">
        <f t="shared" si="142"/>
        <v>230.93438491511529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6.2901817355516032E-2</v>
      </c>
      <c r="AB186" s="23">
        <f>EXP(-LN(2)/2)*AB185+(1-EXP(-LN(2)/2))/(LN(2)/2)*V186*Y186*VLOOKUP('Données projet'!$B$9,Paramètres!$A$1:$I$89,3,0)*0.475*44/12</f>
        <v>1.5085951730033619E-22</v>
      </c>
      <c r="AC186" s="24">
        <f t="shared" si="163"/>
        <v>6.2901817355516032E-2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-3.694822225952521E-13</v>
      </c>
      <c r="AJ186" s="14">
        <f>AI186*VLOOKUP('Données projet'!$B$10,Paramètres!$A$1:$I$89,3,0)*VLOOKUP('Données projet'!$B$10,Paramètres!$A$1:$I$89,5,0)</f>
        <v>-3.2277966965921228E-13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233.41481265653817</v>
      </c>
      <c r="AO186" s="60">
        <f t="shared" si="144"/>
        <v>300.97465452084055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3.4106051316484809E-13</v>
      </c>
      <c r="BE186" s="14">
        <f>BD186*VLOOKUP('Données projet'!$B$11,Paramètres!$A$1:$I$89,3,0)*VLOOKUP('Données projet'!$B$11,Paramètres!$A$1:$I$89,5,0)</f>
        <v>2.7134774427395314E-13</v>
      </c>
      <c r="BF186" s="14">
        <f t="shared" si="167"/>
        <v>3.6292411711343559E-12</v>
      </c>
      <c r="BG186" s="22">
        <f t="shared" si="168"/>
        <v>6.7935256943361388E-12</v>
      </c>
      <c r="BH186" s="60">
        <f t="shared" si="116"/>
        <v>293.33333333334014</v>
      </c>
      <c r="BI186" s="60">
        <f ca="1">AVERAGE(OFFSET($BH$3,0,0,'Données projet'!$E$11+1,1))-AVERAGE(OFFSET($H$3,0,0,'Données projet'!$E$11+1,1))</f>
        <v>238.47463071449789</v>
      </c>
      <c r="BJ186" s="60">
        <f t="shared" si="146"/>
        <v>270.92950919803718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0" t="e">
        <f t="shared" si="119"/>
        <v>#N/A</v>
      </c>
      <c r="CD186" s="60" t="e">
        <f ca="1">AVERAGE(OFFSET($CC$3,0,0,'Données projet'!$E$12+1,1))-AVERAGE(OFFSET($H$3,0,0,'Données projet'!$E$12+1,1))</f>
        <v>#N/A</v>
      </c>
      <c r="CE186" s="60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0" t="e">
        <f t="shared" si="122"/>
        <v>#N/A</v>
      </c>
      <c r="CY186" s="60" t="e">
        <f ca="1">AVERAGE(OFFSET($CX$3,0,0,'Données projet'!$E$13+1,1))-AVERAGE(OFFSET($H$3,0,0,'Données projet'!$E$13+1,1))</f>
        <v>#N/A</v>
      </c>
      <c r="CZ186" s="60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0" t="e">
        <f t="shared" si="125"/>
        <v>#N/A</v>
      </c>
      <c r="DT186" s="60" t="e">
        <f ca="1">AVERAGE(OFFSET($DS$3,0,0,'Données projet'!$E$14+1,1))-AVERAGE(OFFSET($H$3,0,0,'Données projet'!$E$14+1,1))</f>
        <v>#N/A</v>
      </c>
      <c r="DU186" s="60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0" t="e">
        <f t="shared" si="128"/>
        <v>#N/A</v>
      </c>
      <c r="EO186" s="60" t="e">
        <f ca="1">AVERAGE(OFFSET($EN$3,0,0,'Données projet'!$E$15+1,1))-AVERAGE(OFFSET($H$3,0,0,'Données projet'!$E$15+1,1))</f>
        <v>#N/A</v>
      </c>
      <c r="EP186" s="60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8">
        <f t="shared" si="110"/>
        <v>489.63322992368012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2.2737367544323206E-13</v>
      </c>
      <c r="O187" s="14">
        <f>N187*VLOOKUP('Données projet'!$B$9,Paramètres!$A$1:$I$89,3,0)*VLOOKUP('Données projet'!$B$9,Paramètres!$A$1:$I$89,5,0)</f>
        <v>1.2710188457276673E-13</v>
      </c>
      <c r="P187" s="14">
        <f t="shared" si="141"/>
        <v>1.856866851063998E-12</v>
      </c>
      <c r="Q187" s="22">
        <f t="shared" si="162"/>
        <v>3.4554122145673649E-12</v>
      </c>
      <c r="R187" s="60">
        <f t="shared" si="109"/>
        <v>293.33333333333678</v>
      </c>
      <c r="S187" s="60">
        <f ca="1">AVERAGE(OFFSET($R$3,0,0,'Données projet'!$E$9+1,1))-AVERAGE(OFFSET($H$3,0,0,'Données projet'!$E$9+1,1))</f>
        <v>256.47911362806866</v>
      </c>
      <c r="T187" s="60">
        <f t="shared" si="142"/>
        <v>230.93438491511529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6.1181763852066633E-2</v>
      </c>
      <c r="AB187" s="23">
        <f>EXP(-LN(2)/2)*AB186+(1-EXP(-LN(2)/2))/(LN(2)/2)*V187*Y187*VLOOKUP('Données projet'!$B$9,Paramètres!$A$1:$I$89,3,0)*0.475*44/12</f>
        <v>1.06673787689597E-22</v>
      </c>
      <c r="AC187" s="24">
        <f t="shared" si="163"/>
        <v>6.1181763852066633E-2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-3.694822225952521E-13</v>
      </c>
      <c r="AJ187" s="14">
        <f>AI187*VLOOKUP('Données projet'!$B$10,Paramètres!$A$1:$I$89,3,0)*VLOOKUP('Données projet'!$B$10,Paramètres!$A$1:$I$89,5,0)</f>
        <v>-3.2277966965921228E-13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233.41481265653817</v>
      </c>
      <c r="AO187" s="60">
        <f t="shared" si="144"/>
        <v>300.97465452084055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3.4106051316484809E-13</v>
      </c>
      <c r="BE187" s="14">
        <f>BD187*VLOOKUP('Données projet'!$B$11,Paramètres!$A$1:$I$89,3,0)*VLOOKUP('Données projet'!$B$11,Paramètres!$A$1:$I$89,5,0)</f>
        <v>2.7134774427395314E-13</v>
      </c>
      <c r="BF187" s="14">
        <f t="shared" si="167"/>
        <v>3.6292411711343559E-12</v>
      </c>
      <c r="BG187" s="22">
        <f t="shared" si="168"/>
        <v>6.7935256943361388E-12</v>
      </c>
      <c r="BH187" s="60">
        <f t="shared" si="116"/>
        <v>293.33333333334014</v>
      </c>
      <c r="BI187" s="60">
        <f ca="1">AVERAGE(OFFSET($BH$3,0,0,'Données projet'!$E$11+1,1))-AVERAGE(OFFSET($H$3,0,0,'Données projet'!$E$11+1,1))</f>
        <v>238.47463071449789</v>
      </c>
      <c r="BJ187" s="60">
        <f t="shared" si="146"/>
        <v>270.92950919803718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0" t="e">
        <f t="shared" si="119"/>
        <v>#N/A</v>
      </c>
      <c r="CD187" s="60" t="e">
        <f ca="1">AVERAGE(OFFSET($CC$3,0,0,'Données projet'!$E$12+1,1))-AVERAGE(OFFSET($H$3,0,0,'Données projet'!$E$12+1,1))</f>
        <v>#N/A</v>
      </c>
      <c r="CE187" s="60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0" t="e">
        <f t="shared" si="122"/>
        <v>#N/A</v>
      </c>
      <c r="CY187" s="60" t="e">
        <f ca="1">AVERAGE(OFFSET($CX$3,0,0,'Données projet'!$E$13+1,1))-AVERAGE(OFFSET($H$3,0,0,'Données projet'!$E$13+1,1))</f>
        <v>#N/A</v>
      </c>
      <c r="CZ187" s="60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0" t="e">
        <f t="shared" si="125"/>
        <v>#N/A</v>
      </c>
      <c r="DT187" s="60" t="e">
        <f ca="1">AVERAGE(OFFSET($DS$3,0,0,'Données projet'!$E$14+1,1))-AVERAGE(OFFSET($H$3,0,0,'Données projet'!$E$14+1,1))</f>
        <v>#N/A</v>
      </c>
      <c r="DU187" s="60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0" t="e">
        <f t="shared" si="128"/>
        <v>#N/A</v>
      </c>
      <c r="EO187" s="60" t="e">
        <f ca="1">AVERAGE(OFFSET($EN$3,0,0,'Données projet'!$E$15+1,1))-AVERAGE(OFFSET($H$3,0,0,'Données projet'!$E$15+1,1))</f>
        <v>#N/A</v>
      </c>
      <c r="EP187" s="60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8">
        <f t="shared" si="110"/>
        <v>490.67334539342403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2.2737367544323206E-13</v>
      </c>
      <c r="O188" s="14">
        <f>N188*VLOOKUP('Données projet'!$B$9,Paramètres!$A$1:$I$89,3,0)*VLOOKUP('Données projet'!$B$9,Paramètres!$A$1:$I$89,5,0)</f>
        <v>1.2710188457276673E-13</v>
      </c>
      <c r="P188" s="14">
        <f t="shared" si="141"/>
        <v>1.856866851063998E-12</v>
      </c>
      <c r="Q188" s="22">
        <f t="shared" si="162"/>
        <v>3.4554122145673649E-12</v>
      </c>
      <c r="R188" s="60">
        <f t="shared" si="109"/>
        <v>293.33333333333678</v>
      </c>
      <c r="S188" s="60">
        <f ca="1">AVERAGE(OFFSET($R$3,0,0,'Données projet'!$E$9+1,1))-AVERAGE(OFFSET($H$3,0,0,'Données projet'!$E$9+1,1))</f>
        <v>256.47911362806866</v>
      </c>
      <c r="T188" s="60">
        <f t="shared" si="142"/>
        <v>230.93438491511529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5.9508745302122745E-2</v>
      </c>
      <c r="AB188" s="23">
        <f>EXP(-LN(2)/2)*AB187+(1-EXP(-LN(2)/2))/(LN(2)/2)*V188*Y188*VLOOKUP('Données projet'!$B$9,Paramètres!$A$1:$I$89,3,0)*0.475*44/12</f>
        <v>7.5429758650168096E-23</v>
      </c>
      <c r="AC188" s="24">
        <f t="shared" si="163"/>
        <v>5.9508745302122745E-2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-3.694822225952521E-13</v>
      </c>
      <c r="AJ188" s="14">
        <f>AI188*VLOOKUP('Données projet'!$B$10,Paramètres!$A$1:$I$89,3,0)*VLOOKUP('Données projet'!$B$10,Paramètres!$A$1:$I$89,5,0)</f>
        <v>-3.2277966965921228E-13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233.41481265653817</v>
      </c>
      <c r="AO188" s="60">
        <f t="shared" si="144"/>
        <v>300.97465452084055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3.4106051316484809E-13</v>
      </c>
      <c r="BE188" s="14">
        <f>BD188*VLOOKUP('Données projet'!$B$11,Paramètres!$A$1:$I$89,3,0)*VLOOKUP('Données projet'!$B$11,Paramètres!$A$1:$I$89,5,0)</f>
        <v>2.7134774427395314E-13</v>
      </c>
      <c r="BF188" s="14">
        <f t="shared" si="167"/>
        <v>3.6292411711343559E-12</v>
      </c>
      <c r="BG188" s="22">
        <f t="shared" si="168"/>
        <v>6.7935256943361388E-12</v>
      </c>
      <c r="BH188" s="60">
        <f t="shared" si="116"/>
        <v>293.33333333334014</v>
      </c>
      <c r="BI188" s="60">
        <f ca="1">AVERAGE(OFFSET($BH$3,0,0,'Données projet'!$E$11+1,1))-AVERAGE(OFFSET($H$3,0,0,'Données projet'!$E$11+1,1))</f>
        <v>238.47463071449789</v>
      </c>
      <c r="BJ188" s="60">
        <f t="shared" si="146"/>
        <v>270.92950919803718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0" t="e">
        <f t="shared" si="119"/>
        <v>#N/A</v>
      </c>
      <c r="CD188" s="60" t="e">
        <f ca="1">AVERAGE(OFFSET($CC$3,0,0,'Données projet'!$E$12+1,1))-AVERAGE(OFFSET($H$3,0,0,'Données projet'!$E$12+1,1))</f>
        <v>#N/A</v>
      </c>
      <c r="CE188" s="60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0" t="e">
        <f t="shared" si="122"/>
        <v>#N/A</v>
      </c>
      <c r="CY188" s="60" t="e">
        <f ca="1">AVERAGE(OFFSET($CX$3,0,0,'Données projet'!$E$13+1,1))-AVERAGE(OFFSET($H$3,0,0,'Données projet'!$E$13+1,1))</f>
        <v>#N/A</v>
      </c>
      <c r="CZ188" s="60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0" t="e">
        <f t="shared" si="125"/>
        <v>#N/A</v>
      </c>
      <c r="DT188" s="60" t="e">
        <f ca="1">AVERAGE(OFFSET($DS$3,0,0,'Données projet'!$E$14+1,1))-AVERAGE(OFFSET($H$3,0,0,'Données projet'!$E$14+1,1))</f>
        <v>#N/A</v>
      </c>
      <c r="DU188" s="60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0" t="e">
        <f t="shared" si="128"/>
        <v>#N/A</v>
      </c>
      <c r="EO188" s="60" t="e">
        <f ca="1">AVERAGE(OFFSET($EN$3,0,0,'Données projet'!$E$15+1,1))-AVERAGE(OFFSET($H$3,0,0,'Données projet'!$E$15+1,1))</f>
        <v>#N/A</v>
      </c>
      <c r="EP188" s="60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8">
        <f t="shared" si="110"/>
        <v>491.71333357115242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2.2737367544323206E-13</v>
      </c>
      <c r="O189" s="14">
        <f>N189*VLOOKUP('Données projet'!$B$9,Paramètres!$A$1:$I$89,3,0)*VLOOKUP('Données projet'!$B$9,Paramètres!$A$1:$I$89,5,0)</f>
        <v>1.2710188457276673E-13</v>
      </c>
      <c r="P189" s="14">
        <f t="shared" si="141"/>
        <v>1.856866851063998E-12</v>
      </c>
      <c r="Q189" s="22">
        <f t="shared" si="162"/>
        <v>3.4554122145673649E-12</v>
      </c>
      <c r="R189" s="60">
        <f t="shared" si="109"/>
        <v>293.33333333333678</v>
      </c>
      <c r="S189" s="60">
        <f ca="1">AVERAGE(OFFSET($R$3,0,0,'Données projet'!$E$9+1,1))-AVERAGE(OFFSET($H$3,0,0,'Données projet'!$E$9+1,1))</f>
        <v>256.47911362806866</v>
      </c>
      <c r="T189" s="60">
        <f t="shared" si="142"/>
        <v>230.93438491511529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5.7881475532407294E-2</v>
      </c>
      <c r="AB189" s="23">
        <f>EXP(-LN(2)/2)*AB188+(1-EXP(-LN(2)/2))/(LN(2)/2)*V189*Y189*VLOOKUP('Données projet'!$B$9,Paramètres!$A$1:$I$89,3,0)*0.475*44/12</f>
        <v>5.3336893844798502E-23</v>
      </c>
      <c r="AC189" s="24">
        <f t="shared" si="163"/>
        <v>5.7881475532407294E-2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-3.694822225952521E-13</v>
      </c>
      <c r="AJ189" s="14">
        <f>AI189*VLOOKUP('Données projet'!$B$10,Paramètres!$A$1:$I$89,3,0)*VLOOKUP('Données projet'!$B$10,Paramètres!$A$1:$I$89,5,0)</f>
        <v>-3.2277966965921228E-13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233.41481265653817</v>
      </c>
      <c r="AO189" s="60">
        <f t="shared" si="144"/>
        <v>300.97465452084055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3.4106051316484809E-13</v>
      </c>
      <c r="BE189" s="14">
        <f>BD189*VLOOKUP('Données projet'!$B$11,Paramètres!$A$1:$I$89,3,0)*VLOOKUP('Données projet'!$B$11,Paramètres!$A$1:$I$89,5,0)</f>
        <v>2.7134774427395314E-13</v>
      </c>
      <c r="BF189" s="14">
        <f t="shared" si="167"/>
        <v>3.6292411711343559E-12</v>
      </c>
      <c r="BG189" s="22">
        <f t="shared" si="168"/>
        <v>6.7935256943361388E-12</v>
      </c>
      <c r="BH189" s="60">
        <f t="shared" si="116"/>
        <v>293.33333333334014</v>
      </c>
      <c r="BI189" s="60">
        <f ca="1">AVERAGE(OFFSET($BH$3,0,0,'Données projet'!$E$11+1,1))-AVERAGE(OFFSET($H$3,0,0,'Données projet'!$E$11+1,1))</f>
        <v>238.47463071449789</v>
      </c>
      <c r="BJ189" s="60">
        <f t="shared" si="146"/>
        <v>270.92950919803718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0" t="e">
        <f t="shared" si="119"/>
        <v>#N/A</v>
      </c>
      <c r="CD189" s="60" t="e">
        <f ca="1">AVERAGE(OFFSET($CC$3,0,0,'Données projet'!$E$12+1,1))-AVERAGE(OFFSET($H$3,0,0,'Données projet'!$E$12+1,1))</f>
        <v>#N/A</v>
      </c>
      <c r="CE189" s="60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0" t="e">
        <f t="shared" si="122"/>
        <v>#N/A</v>
      </c>
      <c r="CY189" s="60" t="e">
        <f ca="1">AVERAGE(OFFSET($CX$3,0,0,'Données projet'!$E$13+1,1))-AVERAGE(OFFSET($H$3,0,0,'Données projet'!$E$13+1,1))</f>
        <v>#N/A</v>
      </c>
      <c r="CZ189" s="60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0" t="e">
        <f t="shared" si="125"/>
        <v>#N/A</v>
      </c>
      <c r="DT189" s="60" t="e">
        <f ca="1">AVERAGE(OFFSET($DS$3,0,0,'Données projet'!$E$14+1,1))-AVERAGE(OFFSET($H$3,0,0,'Données projet'!$E$14+1,1))</f>
        <v>#N/A</v>
      </c>
      <c r="DU189" s="60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0" t="e">
        <f t="shared" si="128"/>
        <v>#N/A</v>
      </c>
      <c r="EO189" s="60" t="e">
        <f ca="1">AVERAGE(OFFSET($EN$3,0,0,'Données projet'!$E$15+1,1))-AVERAGE(OFFSET($H$3,0,0,'Données projet'!$E$15+1,1))</f>
        <v>#N/A</v>
      </c>
      <c r="EP189" s="60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8">
        <f t="shared" si="110"/>
        <v>492.75319522065962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2.2737367544323206E-13</v>
      </c>
      <c r="O190" s="14">
        <f>N190*VLOOKUP('Données projet'!$B$9,Paramètres!$A$1:$I$89,3,0)*VLOOKUP('Données projet'!$B$9,Paramètres!$A$1:$I$89,5,0)</f>
        <v>1.2710188457276673E-13</v>
      </c>
      <c r="P190" s="14">
        <f t="shared" si="141"/>
        <v>1.856866851063998E-12</v>
      </c>
      <c r="Q190" s="22">
        <f t="shared" si="162"/>
        <v>3.4554122145673649E-12</v>
      </c>
      <c r="R190" s="60">
        <f t="shared" si="109"/>
        <v>293.33333333333678</v>
      </c>
      <c r="S190" s="60">
        <f ca="1">AVERAGE(OFFSET($R$3,0,0,'Données projet'!$E$9+1,1))-AVERAGE(OFFSET($H$3,0,0,'Données projet'!$E$9+1,1))</f>
        <v>256.47911362806866</v>
      </c>
      <c r="T190" s="60">
        <f t="shared" si="142"/>
        <v>230.93438491511529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5.6298703540119108E-2</v>
      </c>
      <c r="AB190" s="23">
        <f>EXP(-LN(2)/2)*AB189+(1-EXP(-LN(2)/2))/(LN(2)/2)*V190*Y190*VLOOKUP('Données projet'!$B$9,Paramètres!$A$1:$I$89,3,0)*0.475*44/12</f>
        <v>3.7714879325084048E-23</v>
      </c>
      <c r="AC190" s="24">
        <f t="shared" si="163"/>
        <v>5.6298703540119108E-2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-3.694822225952521E-13</v>
      </c>
      <c r="AJ190" s="14">
        <f>AI190*VLOOKUP('Données projet'!$B$10,Paramètres!$A$1:$I$89,3,0)*VLOOKUP('Données projet'!$B$10,Paramètres!$A$1:$I$89,5,0)</f>
        <v>-3.2277966965921228E-13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233.41481265653817</v>
      </c>
      <c r="AO190" s="60">
        <f t="shared" si="144"/>
        <v>300.97465452084055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3.4106051316484809E-13</v>
      </c>
      <c r="BE190" s="14">
        <f>BD190*VLOOKUP('Données projet'!$B$11,Paramètres!$A$1:$I$89,3,0)*VLOOKUP('Données projet'!$B$11,Paramètres!$A$1:$I$89,5,0)</f>
        <v>2.7134774427395314E-13</v>
      </c>
      <c r="BF190" s="14">
        <f t="shared" si="167"/>
        <v>3.6292411711343559E-12</v>
      </c>
      <c r="BG190" s="22">
        <f t="shared" si="168"/>
        <v>6.7935256943361388E-12</v>
      </c>
      <c r="BH190" s="60">
        <f t="shared" si="116"/>
        <v>293.33333333334014</v>
      </c>
      <c r="BI190" s="60">
        <f ca="1">AVERAGE(OFFSET($BH$3,0,0,'Données projet'!$E$11+1,1))-AVERAGE(OFFSET($H$3,0,0,'Données projet'!$E$11+1,1))</f>
        <v>238.47463071449789</v>
      </c>
      <c r="BJ190" s="60">
        <f t="shared" si="146"/>
        <v>270.92950919803718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0" t="e">
        <f t="shared" si="119"/>
        <v>#N/A</v>
      </c>
      <c r="CD190" s="60" t="e">
        <f ca="1">AVERAGE(OFFSET($CC$3,0,0,'Données projet'!$E$12+1,1))-AVERAGE(OFFSET($H$3,0,0,'Données projet'!$E$12+1,1))</f>
        <v>#N/A</v>
      </c>
      <c r="CE190" s="60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0" t="e">
        <f t="shared" si="122"/>
        <v>#N/A</v>
      </c>
      <c r="CY190" s="60" t="e">
        <f ca="1">AVERAGE(OFFSET($CX$3,0,0,'Données projet'!$E$13+1,1))-AVERAGE(OFFSET($H$3,0,0,'Données projet'!$E$13+1,1))</f>
        <v>#N/A</v>
      </c>
      <c r="CZ190" s="60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0" t="e">
        <f t="shared" si="125"/>
        <v>#N/A</v>
      </c>
      <c r="DT190" s="60" t="e">
        <f ca="1">AVERAGE(OFFSET($DS$3,0,0,'Données projet'!$E$14+1,1))-AVERAGE(OFFSET($H$3,0,0,'Données projet'!$E$14+1,1))</f>
        <v>#N/A</v>
      </c>
      <c r="DU190" s="60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0" t="e">
        <f t="shared" si="128"/>
        <v>#N/A</v>
      </c>
      <c r="EO190" s="60" t="e">
        <f ca="1">AVERAGE(OFFSET($EN$3,0,0,'Données projet'!$E$15+1,1))-AVERAGE(OFFSET($H$3,0,0,'Données projet'!$E$15+1,1))</f>
        <v>#N/A</v>
      </c>
      <c r="EP190" s="60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8">
        <f t="shared" si="110"/>
        <v>493.79293109709795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2.2737367544323206E-13</v>
      </c>
      <c r="O191" s="14">
        <f>N191*VLOOKUP('Données projet'!$B$9,Paramètres!$A$1:$I$89,3,0)*VLOOKUP('Données projet'!$B$9,Paramètres!$A$1:$I$89,5,0)</f>
        <v>1.2710188457276673E-13</v>
      </c>
      <c r="P191" s="14">
        <f t="shared" si="141"/>
        <v>1.856866851063998E-12</v>
      </c>
      <c r="Q191" s="22">
        <f t="shared" si="162"/>
        <v>3.4554122145673649E-12</v>
      </c>
      <c r="R191" s="60">
        <f t="shared" si="109"/>
        <v>293.33333333333678</v>
      </c>
      <c r="S191" s="60">
        <f ca="1">AVERAGE(OFFSET($R$3,0,0,'Données projet'!$E$9+1,1))-AVERAGE(OFFSET($H$3,0,0,'Données projet'!$E$9+1,1))</f>
        <v>256.47911362806866</v>
      </c>
      <c r="T191" s="60">
        <f t="shared" si="142"/>
        <v>230.93438491511529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5.4759212531194403E-2</v>
      </c>
      <c r="AB191" s="23">
        <f>EXP(-LN(2)/2)*AB190+(1-EXP(-LN(2)/2))/(LN(2)/2)*V191*Y191*VLOOKUP('Données projet'!$B$9,Paramètres!$A$1:$I$89,3,0)*0.475*44/12</f>
        <v>2.6668446922399251E-23</v>
      </c>
      <c r="AC191" s="24">
        <f t="shared" si="163"/>
        <v>5.4759212531194403E-2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-3.694822225952521E-13</v>
      </c>
      <c r="AJ191" s="14">
        <f>AI191*VLOOKUP('Données projet'!$B$10,Paramètres!$A$1:$I$89,3,0)*VLOOKUP('Données projet'!$B$10,Paramètres!$A$1:$I$89,5,0)</f>
        <v>-3.2277966965921228E-13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233.41481265653817</v>
      </c>
      <c r="AO191" s="60">
        <f t="shared" si="144"/>
        <v>300.97465452084055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3.4106051316484809E-13</v>
      </c>
      <c r="BE191" s="14">
        <f>BD191*VLOOKUP('Données projet'!$B$11,Paramètres!$A$1:$I$89,3,0)*VLOOKUP('Données projet'!$B$11,Paramètres!$A$1:$I$89,5,0)</f>
        <v>2.7134774427395314E-13</v>
      </c>
      <c r="BF191" s="14">
        <f t="shared" si="167"/>
        <v>3.6292411711343559E-12</v>
      </c>
      <c r="BG191" s="22">
        <f t="shared" si="168"/>
        <v>6.7935256943361388E-12</v>
      </c>
      <c r="BH191" s="60">
        <f t="shared" si="116"/>
        <v>293.33333333334014</v>
      </c>
      <c r="BI191" s="60">
        <f ca="1">AVERAGE(OFFSET($BH$3,0,0,'Données projet'!$E$11+1,1))-AVERAGE(OFFSET($H$3,0,0,'Données projet'!$E$11+1,1))</f>
        <v>238.47463071449789</v>
      </c>
      <c r="BJ191" s="60">
        <f t="shared" si="146"/>
        <v>270.92950919803718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0" t="e">
        <f t="shared" si="119"/>
        <v>#N/A</v>
      </c>
      <c r="CD191" s="60" t="e">
        <f ca="1">AVERAGE(OFFSET($CC$3,0,0,'Données projet'!$E$12+1,1))-AVERAGE(OFFSET($H$3,0,0,'Données projet'!$E$12+1,1))</f>
        <v>#N/A</v>
      </c>
      <c r="CE191" s="60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0" t="e">
        <f t="shared" si="122"/>
        <v>#N/A</v>
      </c>
      <c r="CY191" s="60" t="e">
        <f ca="1">AVERAGE(OFFSET($CX$3,0,0,'Données projet'!$E$13+1,1))-AVERAGE(OFFSET($H$3,0,0,'Données projet'!$E$13+1,1))</f>
        <v>#N/A</v>
      </c>
      <c r="CZ191" s="60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0" t="e">
        <f t="shared" si="125"/>
        <v>#N/A</v>
      </c>
      <c r="DT191" s="60" t="e">
        <f ca="1">AVERAGE(OFFSET($DS$3,0,0,'Données projet'!$E$14+1,1))-AVERAGE(OFFSET($H$3,0,0,'Données projet'!$E$14+1,1))</f>
        <v>#N/A</v>
      </c>
      <c r="DU191" s="60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0" t="e">
        <f t="shared" si="128"/>
        <v>#N/A</v>
      </c>
      <c r="EO191" s="60" t="e">
        <f ca="1">AVERAGE(OFFSET($EN$3,0,0,'Données projet'!$E$15+1,1))-AVERAGE(OFFSET($H$3,0,0,'Données projet'!$E$15+1,1))</f>
        <v>#N/A</v>
      </c>
      <c r="EP191" s="60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8">
        <f t="shared" si="110"/>
        <v>494.83254194712129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2.2737367544323206E-13</v>
      </c>
      <c r="O192" s="14">
        <f>N192*VLOOKUP('Données projet'!$B$9,Paramètres!$A$1:$I$89,3,0)*VLOOKUP('Données projet'!$B$9,Paramètres!$A$1:$I$89,5,0)</f>
        <v>1.2710188457276673E-13</v>
      </c>
      <c r="P192" s="14">
        <f t="shared" si="141"/>
        <v>1.856866851063998E-12</v>
      </c>
      <c r="Q192" s="22">
        <f t="shared" si="162"/>
        <v>3.4554122145673649E-12</v>
      </c>
      <c r="R192" s="60">
        <f t="shared" si="109"/>
        <v>293.33333333333678</v>
      </c>
      <c r="S192" s="60">
        <f ca="1">AVERAGE(OFFSET($R$3,0,0,'Données projet'!$E$9+1,1))-AVERAGE(OFFSET($H$3,0,0,'Données projet'!$E$9+1,1))</f>
        <v>256.47911362806866</v>
      </c>
      <c r="T192" s="60">
        <f t="shared" si="142"/>
        <v>230.93438491511529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5.3261818984867058E-2</v>
      </c>
      <c r="AB192" s="23">
        <f>EXP(-LN(2)/2)*AB191+(1-EXP(-LN(2)/2))/(LN(2)/2)*V192*Y192*VLOOKUP('Données projet'!$B$9,Paramètres!$A$1:$I$89,3,0)*0.475*44/12</f>
        <v>1.8857439662542024E-23</v>
      </c>
      <c r="AC192" s="24">
        <f t="shared" si="163"/>
        <v>5.3261818984867058E-2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-3.694822225952521E-13</v>
      </c>
      <c r="AJ192" s="14">
        <f>AI192*VLOOKUP('Données projet'!$B$10,Paramètres!$A$1:$I$89,3,0)*VLOOKUP('Données projet'!$B$10,Paramètres!$A$1:$I$89,5,0)</f>
        <v>-3.2277966965921228E-13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233.41481265653817</v>
      </c>
      <c r="AO192" s="60">
        <f t="shared" si="144"/>
        <v>300.97465452084055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3.4106051316484809E-13</v>
      </c>
      <c r="BE192" s="14">
        <f>BD192*VLOOKUP('Données projet'!$B$11,Paramètres!$A$1:$I$89,3,0)*VLOOKUP('Données projet'!$B$11,Paramètres!$A$1:$I$89,5,0)</f>
        <v>2.7134774427395314E-13</v>
      </c>
      <c r="BF192" s="14">
        <f t="shared" si="167"/>
        <v>3.6292411711343559E-12</v>
      </c>
      <c r="BG192" s="22">
        <f t="shared" si="168"/>
        <v>6.7935256943361388E-12</v>
      </c>
      <c r="BH192" s="60">
        <f t="shared" si="116"/>
        <v>293.33333333334014</v>
      </c>
      <c r="BI192" s="60">
        <f ca="1">AVERAGE(OFFSET($BH$3,0,0,'Données projet'!$E$11+1,1))-AVERAGE(OFFSET($H$3,0,0,'Données projet'!$E$11+1,1))</f>
        <v>238.47463071449789</v>
      </c>
      <c r="BJ192" s="60">
        <f t="shared" si="146"/>
        <v>270.92950919803718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0" t="e">
        <f t="shared" si="119"/>
        <v>#N/A</v>
      </c>
      <c r="CD192" s="60" t="e">
        <f ca="1">AVERAGE(OFFSET($CC$3,0,0,'Données projet'!$E$12+1,1))-AVERAGE(OFFSET($H$3,0,0,'Données projet'!$E$12+1,1))</f>
        <v>#N/A</v>
      </c>
      <c r="CE192" s="60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0" t="e">
        <f t="shared" si="122"/>
        <v>#N/A</v>
      </c>
      <c r="CY192" s="60" t="e">
        <f ca="1">AVERAGE(OFFSET($CX$3,0,0,'Données projet'!$E$13+1,1))-AVERAGE(OFFSET($H$3,0,0,'Données projet'!$E$13+1,1))</f>
        <v>#N/A</v>
      </c>
      <c r="CZ192" s="60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0" t="e">
        <f t="shared" si="125"/>
        <v>#N/A</v>
      </c>
      <c r="DT192" s="60" t="e">
        <f ca="1">AVERAGE(OFFSET($DS$3,0,0,'Données projet'!$E$14+1,1))-AVERAGE(OFFSET($H$3,0,0,'Données projet'!$E$14+1,1))</f>
        <v>#N/A</v>
      </c>
      <c r="DU192" s="60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0" t="e">
        <f t="shared" si="128"/>
        <v>#N/A</v>
      </c>
      <c r="EO192" s="60" t="e">
        <f ca="1">AVERAGE(OFFSET($EN$3,0,0,'Données projet'!$E$15+1,1))-AVERAGE(OFFSET($H$3,0,0,'Données projet'!$E$15+1,1))</f>
        <v>#N/A</v>
      </c>
      <c r="EP192" s="60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8">
        <f t="shared" si="110"/>
        <v>495.87202850902497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2.2737367544323206E-13</v>
      </c>
      <c r="O193" s="14">
        <f>N193*VLOOKUP('Données projet'!$B$9,Paramètres!$A$1:$I$89,3,0)*VLOOKUP('Données projet'!$B$9,Paramètres!$A$1:$I$89,5,0)</f>
        <v>1.2710188457276673E-13</v>
      </c>
      <c r="P193" s="14">
        <f t="shared" si="141"/>
        <v>1.856866851063998E-12</v>
      </c>
      <c r="Q193" s="22">
        <f t="shared" si="162"/>
        <v>3.4554122145673649E-12</v>
      </c>
      <c r="R193" s="60">
        <f t="shared" si="109"/>
        <v>293.33333333333678</v>
      </c>
      <c r="S193" s="60">
        <f ca="1">AVERAGE(OFFSET($R$3,0,0,'Données projet'!$E$9+1,1))-AVERAGE(OFFSET($H$3,0,0,'Données projet'!$E$9+1,1))</f>
        <v>256.47911362806866</v>
      </c>
      <c r="T193" s="60">
        <f t="shared" si="142"/>
        <v>230.93438491511529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5.1805371743808538E-2</v>
      </c>
      <c r="AB193" s="23">
        <f>EXP(-LN(2)/2)*AB192+(1-EXP(-LN(2)/2))/(LN(2)/2)*V193*Y193*VLOOKUP('Données projet'!$B$9,Paramètres!$A$1:$I$89,3,0)*0.475*44/12</f>
        <v>1.3334223461199625E-23</v>
      </c>
      <c r="AC193" s="24">
        <f t="shared" si="163"/>
        <v>5.1805371743808538E-2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-3.694822225952521E-13</v>
      </c>
      <c r="AJ193" s="14">
        <f>AI193*VLOOKUP('Données projet'!$B$10,Paramètres!$A$1:$I$89,3,0)*VLOOKUP('Données projet'!$B$10,Paramètres!$A$1:$I$89,5,0)</f>
        <v>-3.2277966965921228E-13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233.41481265653817</v>
      </c>
      <c r="AO193" s="60">
        <f t="shared" si="144"/>
        <v>300.97465452084055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3.4106051316484809E-13</v>
      </c>
      <c r="BE193" s="14">
        <f>BD193*VLOOKUP('Données projet'!$B$11,Paramètres!$A$1:$I$89,3,0)*VLOOKUP('Données projet'!$B$11,Paramètres!$A$1:$I$89,5,0)</f>
        <v>2.7134774427395314E-13</v>
      </c>
      <c r="BF193" s="14">
        <f t="shared" si="167"/>
        <v>3.6292411711343559E-12</v>
      </c>
      <c r="BG193" s="22">
        <f t="shared" si="168"/>
        <v>6.7935256943361388E-12</v>
      </c>
      <c r="BH193" s="60">
        <f t="shared" si="116"/>
        <v>293.33333333334014</v>
      </c>
      <c r="BI193" s="60">
        <f ca="1">AVERAGE(OFFSET($BH$3,0,0,'Données projet'!$E$11+1,1))-AVERAGE(OFFSET($H$3,0,0,'Données projet'!$E$11+1,1))</f>
        <v>238.47463071449789</v>
      </c>
      <c r="BJ193" s="60">
        <f t="shared" si="146"/>
        <v>270.92950919803718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0" t="e">
        <f t="shared" si="119"/>
        <v>#N/A</v>
      </c>
      <c r="CD193" s="60" t="e">
        <f ca="1">AVERAGE(OFFSET($CC$3,0,0,'Données projet'!$E$12+1,1))-AVERAGE(OFFSET($H$3,0,0,'Données projet'!$E$12+1,1))</f>
        <v>#N/A</v>
      </c>
      <c r="CE193" s="60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0" t="e">
        <f t="shared" si="122"/>
        <v>#N/A</v>
      </c>
      <c r="CY193" s="60" t="e">
        <f ca="1">AVERAGE(OFFSET($CX$3,0,0,'Données projet'!$E$13+1,1))-AVERAGE(OFFSET($H$3,0,0,'Données projet'!$E$13+1,1))</f>
        <v>#N/A</v>
      </c>
      <c r="CZ193" s="60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0" t="e">
        <f t="shared" si="125"/>
        <v>#N/A</v>
      </c>
      <c r="DT193" s="60" t="e">
        <f ca="1">AVERAGE(OFFSET($DS$3,0,0,'Données projet'!$E$14+1,1))-AVERAGE(OFFSET($H$3,0,0,'Données projet'!$E$14+1,1))</f>
        <v>#N/A</v>
      </c>
      <c r="DU193" s="60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0" t="e">
        <f t="shared" si="128"/>
        <v>#N/A</v>
      </c>
      <c r="EO193" s="60" t="e">
        <f ca="1">AVERAGE(OFFSET($EN$3,0,0,'Données projet'!$E$15+1,1))-AVERAGE(OFFSET($H$3,0,0,'Données projet'!$E$15+1,1))</f>
        <v>#N/A</v>
      </c>
      <c r="EP193" s="60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8">
        <f t="shared" si="110"/>
        <v>496.91139151288291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2.2737367544323206E-13</v>
      </c>
      <c r="O194" s="14">
        <f>N194*VLOOKUP('Données projet'!$B$9,Paramètres!$A$1:$I$89,3,0)*VLOOKUP('Données projet'!$B$9,Paramètres!$A$1:$I$89,5,0)</f>
        <v>1.2710188457276673E-13</v>
      </c>
      <c r="P194" s="14">
        <f t="shared" si="141"/>
        <v>1.856866851063998E-12</v>
      </c>
      <c r="Q194" s="22">
        <f t="shared" si="162"/>
        <v>3.4554122145673649E-12</v>
      </c>
      <c r="R194" s="60">
        <f t="shared" si="109"/>
        <v>293.33333333333678</v>
      </c>
      <c r="S194" s="60">
        <f ca="1">AVERAGE(OFFSET($R$3,0,0,'Données projet'!$E$9+1,1))-AVERAGE(OFFSET($H$3,0,0,'Données projet'!$E$9+1,1))</f>
        <v>256.47911362806866</v>
      </c>
      <c r="T194" s="60">
        <f t="shared" si="142"/>
        <v>230.93438491511529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5.0388751129147993E-2</v>
      </c>
      <c r="AB194" s="23">
        <f>EXP(-LN(2)/2)*AB193+(1-EXP(-LN(2)/2))/(LN(2)/2)*V194*Y194*VLOOKUP('Données projet'!$B$9,Paramètres!$A$1:$I$89,3,0)*0.475*44/12</f>
        <v>9.428719831271012E-24</v>
      </c>
      <c r="AC194" s="24">
        <f t="shared" si="163"/>
        <v>5.0388751129147993E-2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-3.694822225952521E-13</v>
      </c>
      <c r="AJ194" s="14">
        <f>AI194*VLOOKUP('Données projet'!$B$10,Paramètres!$A$1:$I$89,3,0)*VLOOKUP('Données projet'!$B$10,Paramètres!$A$1:$I$89,5,0)</f>
        <v>-3.2277966965921228E-13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233.41481265653817</v>
      </c>
      <c r="AO194" s="60">
        <f t="shared" si="144"/>
        <v>300.97465452084055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3.4106051316484809E-13</v>
      </c>
      <c r="BE194" s="14">
        <f>BD194*VLOOKUP('Données projet'!$B$11,Paramètres!$A$1:$I$89,3,0)*VLOOKUP('Données projet'!$B$11,Paramètres!$A$1:$I$89,5,0)</f>
        <v>2.7134774427395314E-13</v>
      </c>
      <c r="BF194" s="14">
        <f t="shared" si="167"/>
        <v>3.6292411711343559E-12</v>
      </c>
      <c r="BG194" s="22">
        <f t="shared" si="168"/>
        <v>6.7935256943361388E-12</v>
      </c>
      <c r="BH194" s="60">
        <f t="shared" si="116"/>
        <v>293.33333333334014</v>
      </c>
      <c r="BI194" s="60">
        <f ca="1">AVERAGE(OFFSET($BH$3,0,0,'Données projet'!$E$11+1,1))-AVERAGE(OFFSET($H$3,0,0,'Données projet'!$E$11+1,1))</f>
        <v>238.47463071449789</v>
      </c>
      <c r="BJ194" s="60">
        <f t="shared" si="146"/>
        <v>270.92950919803718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0" t="e">
        <f t="shared" si="119"/>
        <v>#N/A</v>
      </c>
      <c r="CD194" s="60" t="e">
        <f ca="1">AVERAGE(OFFSET($CC$3,0,0,'Données projet'!$E$12+1,1))-AVERAGE(OFFSET($H$3,0,0,'Données projet'!$E$12+1,1))</f>
        <v>#N/A</v>
      </c>
      <c r="CE194" s="60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0" t="e">
        <f t="shared" si="122"/>
        <v>#N/A</v>
      </c>
      <c r="CY194" s="60" t="e">
        <f ca="1">AVERAGE(OFFSET($CX$3,0,0,'Données projet'!$E$13+1,1))-AVERAGE(OFFSET($H$3,0,0,'Données projet'!$E$13+1,1))</f>
        <v>#N/A</v>
      </c>
      <c r="CZ194" s="60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0" t="e">
        <f t="shared" si="125"/>
        <v>#N/A</v>
      </c>
      <c r="DT194" s="60" t="e">
        <f ca="1">AVERAGE(OFFSET($DS$3,0,0,'Données projet'!$E$14+1,1))-AVERAGE(OFFSET($H$3,0,0,'Données projet'!$E$14+1,1))</f>
        <v>#N/A</v>
      </c>
      <c r="DU194" s="60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0" t="e">
        <f t="shared" si="128"/>
        <v>#N/A</v>
      </c>
      <c r="EO194" s="60" t="e">
        <f ca="1">AVERAGE(OFFSET($EN$3,0,0,'Données projet'!$E$15+1,1))-AVERAGE(OFFSET($H$3,0,0,'Données projet'!$E$15+1,1))</f>
        <v>#N/A</v>
      </c>
      <c r="EP194" s="60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8">
        <f t="shared" si="110"/>
        <v>497.95063168068179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2.2737367544323206E-13</v>
      </c>
      <c r="O195" s="14">
        <f>N195*VLOOKUP('Données projet'!$B$9,Paramètres!$A$1:$I$89,3,0)*VLOOKUP('Données projet'!$B$9,Paramètres!$A$1:$I$89,5,0)</f>
        <v>1.2710188457276673E-13</v>
      </c>
      <c r="P195" s="14">
        <f t="shared" si="141"/>
        <v>1.856866851063998E-12</v>
      </c>
      <c r="Q195" s="22">
        <f t="shared" si="162"/>
        <v>3.4554122145673649E-12</v>
      </c>
      <c r="R195" s="60">
        <f t="shared" ref="R195:R203" si="191">Q195+(I195+J195)*44/12</f>
        <v>293.33333333333678</v>
      </c>
      <c r="S195" s="60">
        <f ca="1">AVERAGE(OFFSET($R$3,0,0,'Données projet'!$E$9+1,1))-AVERAGE(OFFSET($H$3,0,0,'Données projet'!$E$9+1,1))</f>
        <v>256.47911362806866</v>
      </c>
      <c r="T195" s="60">
        <f t="shared" si="142"/>
        <v>230.93438491511529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4.9010868079692183E-2</v>
      </c>
      <c r="AB195" s="23">
        <f>EXP(-LN(2)/2)*AB194+(1-EXP(-LN(2)/2))/(LN(2)/2)*V195*Y195*VLOOKUP('Données projet'!$B$9,Paramètres!$A$1:$I$89,3,0)*0.475*44/12</f>
        <v>6.6671117305998127E-24</v>
      </c>
      <c r="AC195" s="24">
        <f t="shared" si="163"/>
        <v>4.9010868079692183E-2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-3.694822225952521E-13</v>
      </c>
      <c r="AJ195" s="14">
        <f>AI195*VLOOKUP('Données projet'!$B$10,Paramètres!$A$1:$I$89,3,0)*VLOOKUP('Données projet'!$B$10,Paramètres!$A$1:$I$89,5,0)</f>
        <v>-3.2277966965921228E-13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233.41481265653817</v>
      </c>
      <c r="AO195" s="60">
        <f t="shared" si="144"/>
        <v>300.97465452084055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3.4106051316484809E-13</v>
      </c>
      <c r="BE195" s="14">
        <f>BD195*VLOOKUP('Données projet'!$B$11,Paramètres!$A$1:$I$89,3,0)*VLOOKUP('Données projet'!$B$11,Paramètres!$A$1:$I$89,5,0)</f>
        <v>2.7134774427395314E-13</v>
      </c>
      <c r="BF195" s="14">
        <f t="shared" si="167"/>
        <v>3.6292411711343559E-12</v>
      </c>
      <c r="BG195" s="22">
        <f t="shared" si="168"/>
        <v>6.7935256943361388E-12</v>
      </c>
      <c r="BH195" s="60">
        <f t="shared" si="116"/>
        <v>293.33333333334014</v>
      </c>
      <c r="BI195" s="60">
        <f ca="1">AVERAGE(OFFSET($BH$3,0,0,'Données projet'!$E$11+1,1))-AVERAGE(OFFSET($H$3,0,0,'Données projet'!$E$11+1,1))</f>
        <v>238.47463071449789</v>
      </c>
      <c r="BJ195" s="60">
        <f t="shared" si="146"/>
        <v>270.92950919803718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0" t="e">
        <f t="shared" si="119"/>
        <v>#N/A</v>
      </c>
      <c r="CD195" s="60" t="e">
        <f ca="1">AVERAGE(OFFSET($CC$3,0,0,'Données projet'!$E$12+1,1))-AVERAGE(OFFSET($H$3,0,0,'Données projet'!$E$12+1,1))</f>
        <v>#N/A</v>
      </c>
      <c r="CE195" s="60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0" t="e">
        <f t="shared" si="122"/>
        <v>#N/A</v>
      </c>
      <c r="CY195" s="60" t="e">
        <f ca="1">AVERAGE(OFFSET($CX$3,0,0,'Données projet'!$E$13+1,1))-AVERAGE(OFFSET($H$3,0,0,'Données projet'!$E$13+1,1))</f>
        <v>#N/A</v>
      </c>
      <c r="CZ195" s="60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0" t="e">
        <f t="shared" si="125"/>
        <v>#N/A</v>
      </c>
      <c r="DT195" s="60" t="e">
        <f ca="1">AVERAGE(OFFSET($DS$3,0,0,'Données projet'!$E$14+1,1))-AVERAGE(OFFSET($H$3,0,0,'Données projet'!$E$14+1,1))</f>
        <v>#N/A</v>
      </c>
      <c r="DU195" s="60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0" t="e">
        <f t="shared" si="128"/>
        <v>#N/A</v>
      </c>
      <c r="EO195" s="60" t="e">
        <f ca="1">AVERAGE(OFFSET($EN$3,0,0,'Données projet'!$E$15+1,1))-AVERAGE(OFFSET($H$3,0,0,'Données projet'!$E$15+1,1))</f>
        <v>#N/A</v>
      </c>
      <c r="EP195" s="60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8">
        <f t="shared" ref="H196:H203" si="192">(B196+E196+F196)*44/12+(C196+D196)*0.475*44/12</f>
        <v>498.98974972645203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2.2737367544323206E-13</v>
      </c>
      <c r="O196" s="14">
        <f>N196*VLOOKUP('Données projet'!$B$9,Paramètres!$A$1:$I$89,3,0)*VLOOKUP('Données projet'!$B$9,Paramètres!$A$1:$I$89,5,0)</f>
        <v>1.2710188457276673E-13</v>
      </c>
      <c r="P196" s="14">
        <f t="shared" si="141"/>
        <v>1.856866851063998E-12</v>
      </c>
      <c r="Q196" s="22">
        <f t="shared" si="162"/>
        <v>3.4554122145673649E-12</v>
      </c>
      <c r="R196" s="60">
        <f t="shared" si="191"/>
        <v>293.33333333333678</v>
      </c>
      <c r="S196" s="60">
        <f ca="1">AVERAGE(OFFSET($R$3,0,0,'Données projet'!$E$9+1,1))-AVERAGE(OFFSET($H$3,0,0,'Données projet'!$E$9+1,1))</f>
        <v>256.47911362806866</v>
      </c>
      <c r="T196" s="60">
        <f t="shared" si="142"/>
        <v>230.93438491511529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4.7670663314683462E-2</v>
      </c>
      <c r="AB196" s="23">
        <f>EXP(-LN(2)/2)*AB195+(1-EXP(-LN(2)/2))/(LN(2)/2)*V196*Y196*VLOOKUP('Données projet'!$B$9,Paramètres!$A$1:$I$89,3,0)*0.475*44/12</f>
        <v>4.714359915635506E-24</v>
      </c>
      <c r="AC196" s="24">
        <f t="shared" si="163"/>
        <v>4.7670663314683462E-2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-3.694822225952521E-13</v>
      </c>
      <c r="AJ196" s="14">
        <f>AI196*VLOOKUP('Données projet'!$B$10,Paramètres!$A$1:$I$89,3,0)*VLOOKUP('Données projet'!$B$10,Paramètres!$A$1:$I$89,5,0)</f>
        <v>-3.2277966965921228E-13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233.41481265653817</v>
      </c>
      <c r="AO196" s="60">
        <f t="shared" si="144"/>
        <v>300.97465452084055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3.4106051316484809E-13</v>
      </c>
      <c r="BE196" s="14">
        <f>BD196*VLOOKUP('Données projet'!$B$11,Paramètres!$A$1:$I$89,3,0)*VLOOKUP('Données projet'!$B$11,Paramètres!$A$1:$I$89,5,0)</f>
        <v>2.7134774427395314E-13</v>
      </c>
      <c r="BF196" s="14">
        <f t="shared" si="167"/>
        <v>3.6292411711343559E-12</v>
      </c>
      <c r="BG196" s="22">
        <f t="shared" si="168"/>
        <v>6.7935256943361388E-12</v>
      </c>
      <c r="BH196" s="60">
        <f t="shared" ref="BH196:BH203" si="194">BG196+(AY196+AZ196)*44/12</f>
        <v>293.33333333334014</v>
      </c>
      <c r="BI196" s="60">
        <f ca="1">AVERAGE(OFFSET($BH$3,0,0,'Données projet'!$E$11+1,1))-AVERAGE(OFFSET($H$3,0,0,'Données projet'!$E$11+1,1))</f>
        <v>238.47463071449789</v>
      </c>
      <c r="BJ196" s="60">
        <f t="shared" si="146"/>
        <v>270.92950919803718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0" t="e">
        <f t="shared" ref="CC196:CC203" si="195">CB196+(BT196+BU196)*44/12</f>
        <v>#N/A</v>
      </c>
      <c r="CD196" s="60" t="e">
        <f ca="1">AVERAGE(OFFSET($CC$3,0,0,'Données projet'!$E$12+1,1))-AVERAGE(OFFSET($H$3,0,0,'Données projet'!$E$12+1,1))</f>
        <v>#N/A</v>
      </c>
      <c r="CE196" s="60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0" t="e">
        <f t="shared" ref="CX196:CX203" si="196">CW196+(CO196+CP196)*44/12</f>
        <v>#N/A</v>
      </c>
      <c r="CY196" s="60" t="e">
        <f ca="1">AVERAGE(OFFSET($CX$3,0,0,'Données projet'!$E$13+1,1))-AVERAGE(OFFSET($H$3,0,0,'Données projet'!$E$13+1,1))</f>
        <v>#N/A</v>
      </c>
      <c r="CZ196" s="60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0" t="e">
        <f t="shared" ref="DS196:DS203" si="197">DR196+(DJ196+DK196)*44/12</f>
        <v>#N/A</v>
      </c>
      <c r="DT196" s="60" t="e">
        <f ca="1">AVERAGE(OFFSET($DS$3,0,0,'Données projet'!$E$14+1,1))-AVERAGE(OFFSET($H$3,0,0,'Données projet'!$E$14+1,1))</f>
        <v>#N/A</v>
      </c>
      <c r="DU196" s="60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0" t="e">
        <f t="shared" ref="EN196:EN203" si="198">EM196+(EE196+EF196)*44/12</f>
        <v>#N/A</v>
      </c>
      <c r="EO196" s="60" t="e">
        <f ca="1">AVERAGE(OFFSET($EN$3,0,0,'Données projet'!$E$15+1,1))-AVERAGE(OFFSET($H$3,0,0,'Données projet'!$E$15+1,1))</f>
        <v>#N/A</v>
      </c>
      <c r="EP196" s="60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8">
        <f t="shared" si="192"/>
        <v>500.0287463563966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2.2737367544323206E-13</v>
      </c>
      <c r="O197" s="14">
        <f>N197*VLOOKUP('Données projet'!$B$9,Paramètres!$A$1:$I$89,3,0)*VLOOKUP('Données projet'!$B$9,Paramètres!$A$1:$I$89,5,0)</f>
        <v>1.2710188457276673E-13</v>
      </c>
      <c r="P197" s="14">
        <f t="shared" ref="P197:P203" si="203">EXP(-1.0587+0.8836*LN(O197)+0.284)</f>
        <v>1.856866851063998E-12</v>
      </c>
      <c r="Q197" s="22">
        <f t="shared" si="162"/>
        <v>3.4554122145673649E-12</v>
      </c>
      <c r="R197" s="60">
        <f t="shared" si="191"/>
        <v>293.33333333333678</v>
      </c>
      <c r="S197" s="60">
        <f ca="1">AVERAGE(OFFSET($R$3,0,0,'Données projet'!$E$9+1,1))-AVERAGE(OFFSET($H$3,0,0,'Données projet'!$E$9+1,1))</f>
        <v>256.47911362806866</v>
      </c>
      <c r="T197" s="60">
        <f t="shared" ref="T197:T203" si="204">$T$3</f>
        <v>230.93438491511529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4.6367106519452209E-2</v>
      </c>
      <c r="AB197" s="23">
        <f>EXP(-LN(2)/2)*AB196+(1-EXP(-LN(2)/2))/(LN(2)/2)*V197*Y197*VLOOKUP('Données projet'!$B$9,Paramètres!$A$1:$I$89,3,0)*0.475*44/12</f>
        <v>3.3335558652999064E-24</v>
      </c>
      <c r="AC197" s="24">
        <f t="shared" si="163"/>
        <v>4.6367106519452209E-2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-3.694822225952521E-13</v>
      </c>
      <c r="AJ197" s="14">
        <f>AI197*VLOOKUP('Données projet'!$B$10,Paramètres!$A$1:$I$89,3,0)*VLOOKUP('Données projet'!$B$10,Paramètres!$A$1:$I$89,5,0)</f>
        <v>-3.2277966965921228E-13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233.41481265653817</v>
      </c>
      <c r="AO197" s="60">
        <f t="shared" ref="AO197:AO203" si="205">$AO$3</f>
        <v>300.97465452084055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3.4106051316484809E-13</v>
      </c>
      <c r="BE197" s="14">
        <f>BD197*VLOOKUP('Données projet'!$B$11,Paramètres!$A$1:$I$89,3,0)*VLOOKUP('Données projet'!$B$11,Paramètres!$A$1:$I$89,5,0)</f>
        <v>2.7134774427395314E-13</v>
      </c>
      <c r="BF197" s="14">
        <f t="shared" si="167"/>
        <v>3.6292411711343559E-12</v>
      </c>
      <c r="BG197" s="22">
        <f t="shared" si="168"/>
        <v>6.7935256943361388E-12</v>
      </c>
      <c r="BH197" s="60">
        <f t="shared" si="194"/>
        <v>293.33333333334014</v>
      </c>
      <c r="BI197" s="60">
        <f ca="1">AVERAGE(OFFSET($BH$3,0,0,'Données projet'!$E$11+1,1))-AVERAGE(OFFSET($H$3,0,0,'Données projet'!$E$11+1,1))</f>
        <v>238.47463071449789</v>
      </c>
      <c r="BJ197" s="60">
        <f t="shared" ref="BJ197:BJ203" si="206">$BJ$3</f>
        <v>270.92950919803718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0" t="e">
        <f t="shared" si="195"/>
        <v>#N/A</v>
      </c>
      <c r="CD197" s="60" t="e">
        <f ca="1">AVERAGE(OFFSET($CC$3,0,0,'Données projet'!$E$12+1,1))-AVERAGE(OFFSET($H$3,0,0,'Données projet'!$E$12+1,1))</f>
        <v>#N/A</v>
      </c>
      <c r="CE197" s="60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0" t="e">
        <f t="shared" si="196"/>
        <v>#N/A</v>
      </c>
      <c r="CY197" s="60" t="e">
        <f ca="1">AVERAGE(OFFSET($CX$3,0,0,'Données projet'!$E$13+1,1))-AVERAGE(OFFSET($H$3,0,0,'Données projet'!$E$13+1,1))</f>
        <v>#N/A</v>
      </c>
      <c r="CZ197" s="60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0" t="e">
        <f t="shared" si="197"/>
        <v>#N/A</v>
      </c>
      <c r="DT197" s="60" t="e">
        <f ca="1">AVERAGE(OFFSET($DS$3,0,0,'Données projet'!$E$14+1,1))-AVERAGE(OFFSET($H$3,0,0,'Données projet'!$E$14+1,1))</f>
        <v>#N/A</v>
      </c>
      <c r="DU197" s="60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0" t="e">
        <f t="shared" si="198"/>
        <v>#N/A</v>
      </c>
      <c r="EO197" s="60" t="e">
        <f ca="1">AVERAGE(OFFSET($EN$3,0,0,'Données projet'!$E$15+1,1))-AVERAGE(OFFSET($H$3,0,0,'Données projet'!$E$15+1,1))</f>
        <v>#N/A</v>
      </c>
      <c r="EP197" s="60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8">
        <f t="shared" si="192"/>
        <v>501.06762226901623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2.2737367544323206E-13</v>
      </c>
      <c r="O198" s="14">
        <f>N198*VLOOKUP('Données projet'!$B$9,Paramètres!$A$1:$I$89,3,0)*VLOOKUP('Données projet'!$B$9,Paramètres!$A$1:$I$89,5,0)</f>
        <v>1.2710188457276673E-13</v>
      </c>
      <c r="P198" s="14">
        <f t="shared" si="203"/>
        <v>1.856866851063998E-12</v>
      </c>
      <c r="Q198" s="22">
        <f t="shared" si="162"/>
        <v>3.4554122145673649E-12</v>
      </c>
      <c r="R198" s="60">
        <f t="shared" si="191"/>
        <v>293.33333333333678</v>
      </c>
      <c r="S198" s="60">
        <f ca="1">AVERAGE(OFFSET($R$3,0,0,'Données projet'!$E$9+1,1))-AVERAGE(OFFSET($H$3,0,0,'Données projet'!$E$9+1,1))</f>
        <v>256.47911362806866</v>
      </c>
      <c r="T198" s="60">
        <f t="shared" si="204"/>
        <v>230.93438491511529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4.5099195553337627E-2</v>
      </c>
      <c r="AB198" s="23">
        <f>EXP(-LN(2)/2)*AB197+(1-EXP(-LN(2)/2))/(LN(2)/2)*V198*Y198*VLOOKUP('Données projet'!$B$9,Paramètres!$A$1:$I$89,3,0)*0.475*44/12</f>
        <v>2.357179957817753E-24</v>
      </c>
      <c r="AC198" s="24">
        <f t="shared" si="163"/>
        <v>4.5099195553337627E-2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-3.694822225952521E-13</v>
      </c>
      <c r="AJ198" s="14">
        <f>AI198*VLOOKUP('Données projet'!$B$10,Paramètres!$A$1:$I$89,3,0)*VLOOKUP('Données projet'!$B$10,Paramètres!$A$1:$I$89,5,0)</f>
        <v>-3.2277966965921228E-13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233.41481265653817</v>
      </c>
      <c r="AO198" s="60">
        <f t="shared" si="205"/>
        <v>300.97465452084055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3.4106051316484809E-13</v>
      </c>
      <c r="BE198" s="14">
        <f>BD198*VLOOKUP('Données projet'!$B$11,Paramètres!$A$1:$I$89,3,0)*VLOOKUP('Données projet'!$B$11,Paramètres!$A$1:$I$89,5,0)</f>
        <v>2.7134774427395314E-13</v>
      </c>
      <c r="BF198" s="14">
        <f t="shared" si="167"/>
        <v>3.6292411711343559E-12</v>
      </c>
      <c r="BG198" s="22">
        <f t="shared" si="168"/>
        <v>6.7935256943361388E-12</v>
      </c>
      <c r="BH198" s="60">
        <f t="shared" si="194"/>
        <v>293.33333333334014</v>
      </c>
      <c r="BI198" s="60">
        <f ca="1">AVERAGE(OFFSET($BH$3,0,0,'Données projet'!$E$11+1,1))-AVERAGE(OFFSET($H$3,0,0,'Données projet'!$E$11+1,1))</f>
        <v>238.47463071449789</v>
      </c>
      <c r="BJ198" s="60">
        <f t="shared" si="206"/>
        <v>270.92950919803718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0" t="e">
        <f t="shared" si="195"/>
        <v>#N/A</v>
      </c>
      <c r="CD198" s="60" t="e">
        <f ca="1">AVERAGE(OFFSET($CC$3,0,0,'Données projet'!$E$12+1,1))-AVERAGE(OFFSET($H$3,0,0,'Données projet'!$E$12+1,1))</f>
        <v>#N/A</v>
      </c>
      <c r="CE198" s="60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0" t="e">
        <f t="shared" si="196"/>
        <v>#N/A</v>
      </c>
      <c r="CY198" s="60" t="e">
        <f ca="1">AVERAGE(OFFSET($CX$3,0,0,'Données projet'!$E$13+1,1))-AVERAGE(OFFSET($H$3,0,0,'Données projet'!$E$13+1,1))</f>
        <v>#N/A</v>
      </c>
      <c r="CZ198" s="60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0" t="e">
        <f t="shared" si="197"/>
        <v>#N/A</v>
      </c>
      <c r="DT198" s="60" t="e">
        <f ca="1">AVERAGE(OFFSET($DS$3,0,0,'Données projet'!$E$14+1,1))-AVERAGE(OFFSET($H$3,0,0,'Données projet'!$E$14+1,1))</f>
        <v>#N/A</v>
      </c>
      <c r="DU198" s="60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0" t="e">
        <f t="shared" si="198"/>
        <v>#N/A</v>
      </c>
      <c r="EO198" s="60" t="e">
        <f ca="1">AVERAGE(OFFSET($EN$3,0,0,'Données projet'!$E$15+1,1))-AVERAGE(OFFSET($H$3,0,0,'Données projet'!$E$15+1,1))</f>
        <v>#N/A</v>
      </c>
      <c r="EP198" s="60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8">
        <f t="shared" si="192"/>
        <v>502.10637815523307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2.2737367544323206E-13</v>
      </c>
      <c r="O199" s="14">
        <f>N199*VLOOKUP('Données projet'!$B$9,Paramètres!$A$1:$I$89,3,0)*VLOOKUP('Données projet'!$B$9,Paramètres!$A$1:$I$89,5,0)</f>
        <v>1.2710188457276673E-13</v>
      </c>
      <c r="P199" s="14">
        <f t="shared" si="203"/>
        <v>1.856866851063998E-12</v>
      </c>
      <c r="Q199" s="22">
        <f t="shared" si="162"/>
        <v>3.4554122145673649E-12</v>
      </c>
      <c r="R199" s="60">
        <f t="shared" si="191"/>
        <v>293.33333333333678</v>
      </c>
      <c r="S199" s="60">
        <f ca="1">AVERAGE(OFFSET($R$3,0,0,'Données projet'!$E$9+1,1))-AVERAGE(OFFSET($H$3,0,0,'Données projet'!$E$9+1,1))</f>
        <v>256.47911362806866</v>
      </c>
      <c r="T199" s="60">
        <f t="shared" si="204"/>
        <v>230.93438491511529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4.3865955679267994E-2</v>
      </c>
      <c r="AB199" s="23">
        <f>EXP(-LN(2)/2)*AB198+(1-EXP(-LN(2)/2))/(LN(2)/2)*V199*Y199*VLOOKUP('Données projet'!$B$9,Paramètres!$A$1:$I$89,3,0)*0.475*44/12</f>
        <v>1.6667779326499532E-24</v>
      </c>
      <c r="AC199" s="24">
        <f t="shared" si="163"/>
        <v>4.3865955679267994E-2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-3.694822225952521E-13</v>
      </c>
      <c r="AJ199" s="14">
        <f>AI199*VLOOKUP('Données projet'!$B$10,Paramètres!$A$1:$I$89,3,0)*VLOOKUP('Données projet'!$B$10,Paramètres!$A$1:$I$89,5,0)</f>
        <v>-3.2277966965921228E-13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233.41481265653817</v>
      </c>
      <c r="AO199" s="60">
        <f t="shared" si="205"/>
        <v>300.97465452084055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3.4106051316484809E-13</v>
      </c>
      <c r="BE199" s="14">
        <f>BD199*VLOOKUP('Données projet'!$B$11,Paramètres!$A$1:$I$89,3,0)*VLOOKUP('Données projet'!$B$11,Paramètres!$A$1:$I$89,5,0)</f>
        <v>2.7134774427395314E-13</v>
      </c>
      <c r="BF199" s="14">
        <f t="shared" si="167"/>
        <v>3.6292411711343559E-12</v>
      </c>
      <c r="BG199" s="22">
        <f t="shared" si="168"/>
        <v>6.7935256943361388E-12</v>
      </c>
      <c r="BH199" s="60">
        <f t="shared" si="194"/>
        <v>293.33333333334014</v>
      </c>
      <c r="BI199" s="60">
        <f ca="1">AVERAGE(OFFSET($BH$3,0,0,'Données projet'!$E$11+1,1))-AVERAGE(OFFSET($H$3,0,0,'Données projet'!$E$11+1,1))</f>
        <v>238.47463071449789</v>
      </c>
      <c r="BJ199" s="60">
        <f t="shared" si="206"/>
        <v>270.92950919803718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0" t="e">
        <f t="shared" si="195"/>
        <v>#N/A</v>
      </c>
      <c r="CD199" s="60" t="e">
        <f ca="1">AVERAGE(OFFSET($CC$3,0,0,'Données projet'!$E$12+1,1))-AVERAGE(OFFSET($H$3,0,0,'Données projet'!$E$12+1,1))</f>
        <v>#N/A</v>
      </c>
      <c r="CE199" s="60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0" t="e">
        <f t="shared" si="196"/>
        <v>#N/A</v>
      </c>
      <c r="CY199" s="60" t="e">
        <f ca="1">AVERAGE(OFFSET($CX$3,0,0,'Données projet'!$E$13+1,1))-AVERAGE(OFFSET($H$3,0,0,'Données projet'!$E$13+1,1))</f>
        <v>#N/A</v>
      </c>
      <c r="CZ199" s="60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0" t="e">
        <f t="shared" si="197"/>
        <v>#N/A</v>
      </c>
      <c r="DT199" s="60" t="e">
        <f ca="1">AVERAGE(OFFSET($DS$3,0,0,'Données projet'!$E$14+1,1))-AVERAGE(OFFSET($H$3,0,0,'Données projet'!$E$14+1,1))</f>
        <v>#N/A</v>
      </c>
      <c r="DU199" s="60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0" t="e">
        <f t="shared" si="198"/>
        <v>#N/A</v>
      </c>
      <c r="EO199" s="60" t="e">
        <f ca="1">AVERAGE(OFFSET($EN$3,0,0,'Données projet'!$E$15+1,1))-AVERAGE(OFFSET($H$3,0,0,'Données projet'!$E$15+1,1))</f>
        <v>#N/A</v>
      </c>
      <c r="EP199" s="60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8">
        <f t="shared" si="192"/>
        <v>503.14501469851064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2.2737367544323206E-13</v>
      </c>
      <c r="O200" s="14">
        <f>N200*VLOOKUP('Données projet'!$B$9,Paramètres!$A$1:$I$89,3,0)*VLOOKUP('Données projet'!$B$9,Paramètres!$A$1:$I$89,5,0)</f>
        <v>1.2710188457276673E-13</v>
      </c>
      <c r="P200" s="14">
        <f t="shared" si="203"/>
        <v>1.856866851063998E-12</v>
      </c>
      <c r="Q200" s="22">
        <f t="shared" si="162"/>
        <v>3.4554122145673649E-12</v>
      </c>
      <c r="R200" s="60">
        <f t="shared" si="191"/>
        <v>293.33333333333678</v>
      </c>
      <c r="S200" s="60">
        <f ca="1">AVERAGE(OFFSET($R$3,0,0,'Données projet'!$E$9+1,1))-AVERAGE(OFFSET($H$3,0,0,'Données projet'!$E$9+1,1))</f>
        <v>256.47911362806866</v>
      </c>
      <c r="T200" s="60">
        <f t="shared" si="204"/>
        <v>230.93438491511529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4.2666438814408056E-2</v>
      </c>
      <c r="AB200" s="23">
        <f>EXP(-LN(2)/2)*AB199+(1-EXP(-LN(2)/2))/(LN(2)/2)*V200*Y200*VLOOKUP('Données projet'!$B$9,Paramètres!$A$1:$I$89,3,0)*0.475*44/12</f>
        <v>1.1785899789088765E-24</v>
      </c>
      <c r="AC200" s="24">
        <f t="shared" si="163"/>
        <v>4.2666438814408056E-2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-3.694822225952521E-13</v>
      </c>
      <c r="AJ200" s="14">
        <f>AI200*VLOOKUP('Données projet'!$B$10,Paramètres!$A$1:$I$89,3,0)*VLOOKUP('Données projet'!$B$10,Paramètres!$A$1:$I$89,5,0)</f>
        <v>-3.2277966965921228E-13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233.41481265653817</v>
      </c>
      <c r="AO200" s="60">
        <f t="shared" si="205"/>
        <v>300.97465452084055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3.4106051316484809E-13</v>
      </c>
      <c r="BE200" s="14">
        <f>BD200*VLOOKUP('Données projet'!$B$11,Paramètres!$A$1:$I$89,3,0)*VLOOKUP('Données projet'!$B$11,Paramètres!$A$1:$I$89,5,0)</f>
        <v>2.7134774427395314E-13</v>
      </c>
      <c r="BF200" s="14">
        <f t="shared" si="167"/>
        <v>3.6292411711343559E-12</v>
      </c>
      <c r="BG200" s="22">
        <f t="shared" si="168"/>
        <v>6.7935256943361388E-12</v>
      </c>
      <c r="BH200" s="60">
        <f t="shared" si="194"/>
        <v>293.33333333334014</v>
      </c>
      <c r="BI200" s="60">
        <f ca="1">AVERAGE(OFFSET($BH$3,0,0,'Données projet'!$E$11+1,1))-AVERAGE(OFFSET($H$3,0,0,'Données projet'!$E$11+1,1))</f>
        <v>238.47463071449789</v>
      </c>
      <c r="BJ200" s="60">
        <f t="shared" si="206"/>
        <v>270.92950919803718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0" t="e">
        <f t="shared" si="195"/>
        <v>#N/A</v>
      </c>
      <c r="CD200" s="60" t="e">
        <f ca="1">AVERAGE(OFFSET($CC$3,0,0,'Données projet'!$E$12+1,1))-AVERAGE(OFFSET($H$3,0,0,'Données projet'!$E$12+1,1))</f>
        <v>#N/A</v>
      </c>
      <c r="CE200" s="60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0" t="e">
        <f t="shared" si="196"/>
        <v>#N/A</v>
      </c>
      <c r="CY200" s="60" t="e">
        <f ca="1">AVERAGE(OFFSET($CX$3,0,0,'Données projet'!$E$13+1,1))-AVERAGE(OFFSET($H$3,0,0,'Données projet'!$E$13+1,1))</f>
        <v>#N/A</v>
      </c>
      <c r="CZ200" s="60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0" t="e">
        <f t="shared" si="197"/>
        <v>#N/A</v>
      </c>
      <c r="DT200" s="60" t="e">
        <f ca="1">AVERAGE(OFFSET($DS$3,0,0,'Données projet'!$E$14+1,1))-AVERAGE(OFFSET($H$3,0,0,'Données projet'!$E$14+1,1))</f>
        <v>#N/A</v>
      </c>
      <c r="DU200" s="60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0" t="e">
        <f t="shared" si="198"/>
        <v>#N/A</v>
      </c>
      <c r="EO200" s="60" t="e">
        <f ca="1">AVERAGE(OFFSET($EN$3,0,0,'Données projet'!$E$15+1,1))-AVERAGE(OFFSET($H$3,0,0,'Données projet'!$E$15+1,1))</f>
        <v>#N/A</v>
      </c>
      <c r="EP200" s="60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8">
        <f t="shared" si="192"/>
        <v>504.18353257497199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2.2737367544323206E-13</v>
      </c>
      <c r="O201" s="14">
        <f>N201*VLOOKUP('Données projet'!$B$9,Paramètres!$A$1:$I$89,3,0)*VLOOKUP('Données projet'!$B$9,Paramètres!$A$1:$I$89,5,0)</f>
        <v>1.2710188457276673E-13</v>
      </c>
      <c r="P201" s="14">
        <f t="shared" si="203"/>
        <v>1.856866851063998E-12</v>
      </c>
      <c r="Q201" s="22">
        <f t="shared" si="162"/>
        <v>3.4554122145673649E-12</v>
      </c>
      <c r="R201" s="60">
        <f t="shared" si="191"/>
        <v>293.33333333333678</v>
      </c>
      <c r="S201" s="60">
        <f ca="1">AVERAGE(OFFSET($R$3,0,0,'Données projet'!$E$9+1,1))-AVERAGE(OFFSET($H$3,0,0,'Données projet'!$E$9+1,1))</f>
        <v>256.47911362806866</v>
      </c>
      <c r="T201" s="60">
        <f t="shared" si="204"/>
        <v>230.93438491511529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4.1499722801297566E-2</v>
      </c>
      <c r="AB201" s="23">
        <f>EXP(-LN(2)/2)*AB200+(1-EXP(-LN(2)/2))/(LN(2)/2)*V201*Y201*VLOOKUP('Données projet'!$B$9,Paramètres!$A$1:$I$89,3,0)*0.475*44/12</f>
        <v>8.3338896632497659E-25</v>
      </c>
      <c r="AC201" s="24">
        <f t="shared" si="163"/>
        <v>4.1499722801297566E-2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-3.694822225952521E-13</v>
      </c>
      <c r="AJ201" s="14">
        <f>AI201*VLOOKUP('Données projet'!$B$10,Paramètres!$A$1:$I$89,3,0)*VLOOKUP('Données projet'!$B$10,Paramètres!$A$1:$I$89,5,0)</f>
        <v>-3.2277966965921228E-13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233.41481265653817</v>
      </c>
      <c r="AO201" s="60">
        <f t="shared" si="205"/>
        <v>300.97465452084055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3.4106051316484809E-13</v>
      </c>
      <c r="BE201" s="14">
        <f>BD201*VLOOKUP('Données projet'!$B$11,Paramètres!$A$1:$I$89,3,0)*VLOOKUP('Données projet'!$B$11,Paramètres!$A$1:$I$89,5,0)</f>
        <v>2.7134774427395314E-13</v>
      </c>
      <c r="BF201" s="14">
        <f t="shared" si="167"/>
        <v>3.6292411711343559E-12</v>
      </c>
      <c r="BG201" s="22">
        <f t="shared" si="168"/>
        <v>6.7935256943361388E-12</v>
      </c>
      <c r="BH201" s="60">
        <f t="shared" si="194"/>
        <v>293.33333333334014</v>
      </c>
      <c r="BI201" s="60">
        <f ca="1">AVERAGE(OFFSET($BH$3,0,0,'Données projet'!$E$11+1,1))-AVERAGE(OFFSET($H$3,0,0,'Données projet'!$E$11+1,1))</f>
        <v>238.47463071449789</v>
      </c>
      <c r="BJ201" s="60">
        <f t="shared" si="206"/>
        <v>270.92950919803718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0" t="e">
        <f t="shared" si="195"/>
        <v>#N/A</v>
      </c>
      <c r="CD201" s="60" t="e">
        <f ca="1">AVERAGE(OFFSET($CC$3,0,0,'Données projet'!$E$12+1,1))-AVERAGE(OFFSET($H$3,0,0,'Données projet'!$E$12+1,1))</f>
        <v>#N/A</v>
      </c>
      <c r="CE201" s="60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0" t="e">
        <f t="shared" si="196"/>
        <v>#N/A</v>
      </c>
      <c r="CY201" s="60" t="e">
        <f ca="1">AVERAGE(OFFSET($CX$3,0,0,'Données projet'!$E$13+1,1))-AVERAGE(OFFSET($H$3,0,0,'Données projet'!$E$13+1,1))</f>
        <v>#N/A</v>
      </c>
      <c r="CZ201" s="60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0" t="e">
        <f t="shared" si="197"/>
        <v>#N/A</v>
      </c>
      <c r="DT201" s="60" t="e">
        <f ca="1">AVERAGE(OFFSET($DS$3,0,0,'Données projet'!$E$14+1,1))-AVERAGE(OFFSET($H$3,0,0,'Données projet'!$E$14+1,1))</f>
        <v>#N/A</v>
      </c>
      <c r="DU201" s="60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0" t="e">
        <f t="shared" si="198"/>
        <v>#N/A</v>
      </c>
      <c r="EO201" s="60" t="e">
        <f ca="1">AVERAGE(OFFSET($EN$3,0,0,'Données projet'!$E$15+1,1))-AVERAGE(OFFSET($H$3,0,0,'Données projet'!$E$15+1,1))</f>
        <v>#N/A</v>
      </c>
      <c r="EP201" s="60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8">
        <f t="shared" si="192"/>
        <v>505.22193245351531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2.2737367544323206E-13</v>
      </c>
      <c r="O202" s="14">
        <f>N202*VLOOKUP('Données projet'!$B$9,Paramètres!$A$1:$I$89,3,0)*VLOOKUP('Données projet'!$B$9,Paramètres!$A$1:$I$89,5,0)</f>
        <v>1.2710188457276673E-13</v>
      </c>
      <c r="P202" s="14">
        <f t="shared" si="203"/>
        <v>1.856866851063998E-12</v>
      </c>
      <c r="Q202" s="22">
        <f t="shared" si="162"/>
        <v>3.4554122145673649E-12</v>
      </c>
      <c r="R202" s="60">
        <f t="shared" si="191"/>
        <v>293.33333333333678</v>
      </c>
      <c r="S202" s="60">
        <f ca="1">AVERAGE(OFFSET($R$3,0,0,'Données projet'!$E$9+1,1))-AVERAGE(OFFSET($H$3,0,0,'Données projet'!$E$9+1,1))</f>
        <v>256.47911362806866</v>
      </c>
      <c r="T202" s="60">
        <f t="shared" si="204"/>
        <v>230.93438491511529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4.0364910698920509E-2</v>
      </c>
      <c r="AB202" s="23">
        <f>EXP(-LN(2)/2)*AB201+(1-EXP(-LN(2)/2))/(LN(2)/2)*V202*Y202*VLOOKUP('Données projet'!$B$9,Paramètres!$A$1:$I$89,3,0)*0.475*44/12</f>
        <v>5.8929498945443825E-25</v>
      </c>
      <c r="AC202" s="24">
        <f t="shared" si="163"/>
        <v>4.0364910698920509E-2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-3.694822225952521E-13</v>
      </c>
      <c r="AJ202" s="14">
        <f>AI202*VLOOKUP('Données projet'!$B$10,Paramètres!$A$1:$I$89,3,0)*VLOOKUP('Données projet'!$B$10,Paramètres!$A$1:$I$89,5,0)</f>
        <v>-3.2277966965921228E-13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233.41481265653817</v>
      </c>
      <c r="AO202" s="60">
        <f t="shared" si="205"/>
        <v>300.97465452084055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3.4106051316484809E-13</v>
      </c>
      <c r="BE202" s="14">
        <f>BD202*VLOOKUP('Données projet'!$B$11,Paramètres!$A$1:$I$89,3,0)*VLOOKUP('Données projet'!$B$11,Paramètres!$A$1:$I$89,5,0)</f>
        <v>2.7134774427395314E-13</v>
      </c>
      <c r="BF202" s="14">
        <f t="shared" si="167"/>
        <v>3.6292411711343559E-12</v>
      </c>
      <c r="BG202" s="22">
        <f t="shared" si="168"/>
        <v>6.7935256943361388E-12</v>
      </c>
      <c r="BH202" s="60">
        <f t="shared" si="194"/>
        <v>293.33333333334014</v>
      </c>
      <c r="BI202" s="60">
        <f ca="1">AVERAGE(OFFSET($BH$3,0,0,'Données projet'!$E$11+1,1))-AVERAGE(OFFSET($H$3,0,0,'Données projet'!$E$11+1,1))</f>
        <v>238.47463071449789</v>
      </c>
      <c r="BJ202" s="60">
        <f t="shared" si="206"/>
        <v>270.92950919803718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0" t="e">
        <f t="shared" si="195"/>
        <v>#N/A</v>
      </c>
      <c r="CD202" s="60" t="e">
        <f ca="1">AVERAGE(OFFSET($CC$3,0,0,'Données projet'!$E$12+1,1))-AVERAGE(OFFSET($H$3,0,0,'Données projet'!$E$12+1,1))</f>
        <v>#N/A</v>
      </c>
      <c r="CE202" s="60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0" t="e">
        <f t="shared" si="196"/>
        <v>#N/A</v>
      </c>
      <c r="CY202" s="60" t="e">
        <f ca="1">AVERAGE(OFFSET($CX$3,0,0,'Données projet'!$E$13+1,1))-AVERAGE(OFFSET($H$3,0,0,'Données projet'!$E$13+1,1))</f>
        <v>#N/A</v>
      </c>
      <c r="CZ202" s="60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0" t="e">
        <f t="shared" si="197"/>
        <v>#N/A</v>
      </c>
      <c r="DT202" s="60" t="e">
        <f ca="1">AVERAGE(OFFSET($DS$3,0,0,'Données projet'!$E$14+1,1))-AVERAGE(OFFSET($H$3,0,0,'Données projet'!$E$14+1,1))</f>
        <v>#N/A</v>
      </c>
      <c r="DU202" s="60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0" t="e">
        <f t="shared" si="198"/>
        <v>#N/A</v>
      </c>
      <c r="EO202" s="60" t="e">
        <f ca="1">AVERAGE(OFFSET($EN$3,0,0,'Données projet'!$E$15+1,1))-AVERAGE(OFFSET($H$3,0,0,'Données projet'!$E$15+1,1))</f>
        <v>#N/A</v>
      </c>
      <c r="EP202" s="60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8">
        <f t="shared" si="192"/>
        <v>506.26021499592679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2.2737367544323206E-13</v>
      </c>
      <c r="O203" s="14">
        <f>N203*VLOOKUP('Données projet'!$B$9,Paramètres!$A$1:$I$89,3,0)*VLOOKUP('Données projet'!$B$9,Paramètres!$A$1:$I$89,5,0)</f>
        <v>1.2710188457276673E-13</v>
      </c>
      <c r="P203" s="14">
        <f t="shared" si="203"/>
        <v>1.856866851063998E-12</v>
      </c>
      <c r="Q203" s="22">
        <f t="shared" si="162"/>
        <v>3.4554122145673649E-12</v>
      </c>
      <c r="R203" s="60">
        <f t="shared" si="191"/>
        <v>293.33333333333678</v>
      </c>
      <c r="S203" s="60">
        <f ca="1">AVERAGE(OFFSET($R$3,0,0,'Données projet'!$E$9+1,1))-AVERAGE(OFFSET($H$3,0,0,'Données projet'!$E$9+1,1))</f>
        <v>256.47911362806866</v>
      </c>
      <c r="T203" s="60">
        <f t="shared" si="204"/>
        <v>230.93438491511529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3.9261130093160131E-2</v>
      </c>
      <c r="AB203" s="23">
        <f>EXP(-LN(2)/2)*AB202+(1-EXP(-LN(2)/2))/(LN(2)/2)*V203*Y203*VLOOKUP('Données projet'!$B$9,Paramètres!$A$1:$I$89,3,0)*0.475*44/12</f>
        <v>4.1669448316248829E-25</v>
      </c>
      <c r="AC203" s="24">
        <f t="shared" si="163"/>
        <v>3.9261130093160131E-2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-3.694822225952521E-13</v>
      </c>
      <c r="AJ203" s="14">
        <f>AI203*VLOOKUP('Données projet'!$B$10,Paramètres!$A$1:$I$89,3,0)*VLOOKUP('Données projet'!$B$10,Paramètres!$A$1:$I$89,5,0)</f>
        <v>-3.2277966965921228E-13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233.41481265653817</v>
      </c>
      <c r="AO203" s="60">
        <f t="shared" si="205"/>
        <v>300.97465452084055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3.4106051316484809E-13</v>
      </c>
      <c r="BE203" s="14">
        <f>BD203*VLOOKUP('Données projet'!$B$11,Paramètres!$A$1:$I$89,3,0)*VLOOKUP('Données projet'!$B$11,Paramètres!$A$1:$I$89,5,0)</f>
        <v>2.7134774427395314E-13</v>
      </c>
      <c r="BF203" s="14">
        <f t="shared" si="167"/>
        <v>3.6292411711343559E-12</v>
      </c>
      <c r="BG203" s="22">
        <f t="shared" si="168"/>
        <v>6.7935256943361388E-12</v>
      </c>
      <c r="BH203" s="60">
        <f t="shared" si="194"/>
        <v>293.33333333334014</v>
      </c>
      <c r="BI203" s="60">
        <f ca="1">AVERAGE(OFFSET($BH$3,0,0,'Données projet'!$E$11+1,1))-AVERAGE(OFFSET($H$3,0,0,'Données projet'!$E$11+1,1))</f>
        <v>238.47463071449789</v>
      </c>
      <c r="BJ203" s="60">
        <f t="shared" si="206"/>
        <v>270.92950919803718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0" t="e">
        <f t="shared" si="195"/>
        <v>#N/A</v>
      </c>
      <c r="CD203" s="60" t="e">
        <f ca="1">AVERAGE(OFFSET($CC$3,0,0,'Données projet'!$E$12+1,1))-AVERAGE(OFFSET($H$3,0,0,'Données projet'!$E$12+1,1))</f>
        <v>#N/A</v>
      </c>
      <c r="CE203" s="60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0" t="e">
        <f t="shared" si="196"/>
        <v>#N/A</v>
      </c>
      <c r="CY203" s="60" t="e">
        <f ca="1">AVERAGE(OFFSET($CX$3,0,0,'Données projet'!$E$13+1,1))-AVERAGE(OFFSET($H$3,0,0,'Données projet'!$E$13+1,1))</f>
        <v>#N/A</v>
      </c>
      <c r="CZ203" s="60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0" t="e">
        <f t="shared" si="197"/>
        <v>#N/A</v>
      </c>
      <c r="DT203" s="60" t="e">
        <f ca="1">AVERAGE(OFFSET($DS$3,0,0,'Données projet'!$E$14+1,1))-AVERAGE(OFFSET($H$3,0,0,'Données projet'!$E$14+1,1))</f>
        <v>#N/A</v>
      </c>
      <c r="DU203" s="60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0" t="e">
        <f t="shared" si="198"/>
        <v>#N/A</v>
      </c>
      <c r="EO203" s="60" t="e">
        <f ca="1">AVERAGE(OFFSET($EN$3,0,0,'Données projet'!$E$15+1,1))-AVERAGE(OFFSET($H$3,0,0,'Données projet'!$E$15+1,1))</f>
        <v>#N/A</v>
      </c>
      <c r="EP203" s="60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" thickBot="1" x14ac:dyDescent="0.35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1.3009230512021859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1.2613966317002558</v>
      </c>
      <c r="BA205" s="86">
        <f>EXP(LN('Données projet'!B88)/'Données projet'!A88)</f>
        <v>1.2730870686066207</v>
      </c>
      <c r="BV205" s="86" t="e">
        <f>EXP(LN('Données projet'!B114)/'Données projet'!A114)</f>
        <v>#NUM!</v>
      </c>
      <c r="CQ205" s="86" t="e">
        <f>EXP(LN('Données projet'!B140)/'Données projet'!A140)</f>
        <v>#NUM!</v>
      </c>
      <c r="DL205" s="86" t="e">
        <f>EXP(LN('Données projet'!B166)/'Données projet'!A166)</f>
        <v>#NUM!</v>
      </c>
      <c r="EG205" s="86" t="e">
        <f>EXP(LN('Données projet'!B192)/'Données projet'!A192)</f>
        <v>#NUM!</v>
      </c>
      <c r="FB205" s="86" t="e">
        <f>EXP(LN('Données projet'!B218)/'Données projet'!A218)</f>
        <v>#NUM!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7" t="s">
        <v>0</v>
      </c>
      <c r="B1" s="118" t="s">
        <v>106</v>
      </c>
      <c r="C1" s="119" t="s">
        <v>144</v>
      </c>
      <c r="D1" s="118" t="s">
        <v>100</v>
      </c>
      <c r="E1" s="119" t="s">
        <v>145</v>
      </c>
      <c r="F1" s="119" t="s">
        <v>100</v>
      </c>
      <c r="G1" s="119" t="s">
        <v>146</v>
      </c>
      <c r="H1" s="119" t="s">
        <v>100</v>
      </c>
      <c r="I1" s="120" t="s">
        <v>147</v>
      </c>
      <c r="J1" s="97"/>
      <c r="K1" s="97"/>
      <c r="L1" s="97"/>
      <c r="M1" s="97"/>
      <c r="N1" s="97"/>
    </row>
    <row r="2" spans="1:16" x14ac:dyDescent="0.3">
      <c r="A2" s="121" t="s">
        <v>1</v>
      </c>
      <c r="B2" s="122" t="s">
        <v>53</v>
      </c>
      <c r="C2" s="123">
        <v>0.62</v>
      </c>
      <c r="D2" s="123" t="s">
        <v>161</v>
      </c>
      <c r="E2" s="123">
        <v>1.56</v>
      </c>
      <c r="F2" s="123" t="s">
        <v>274</v>
      </c>
      <c r="G2" s="124">
        <v>0.43</v>
      </c>
      <c r="H2" s="125" t="s">
        <v>278</v>
      </c>
      <c r="I2" s="126">
        <v>0.25</v>
      </c>
      <c r="J2" s="97"/>
      <c r="K2" s="97"/>
      <c r="L2" s="97"/>
      <c r="M2" s="97"/>
      <c r="N2" s="97"/>
      <c r="O2" s="315" t="s">
        <v>238</v>
      </c>
      <c r="P2" s="127">
        <v>0</v>
      </c>
    </row>
    <row r="3" spans="1:16" ht="15" thickBot="1" x14ac:dyDescent="0.35">
      <c r="A3" s="128" t="s">
        <v>2</v>
      </c>
      <c r="B3" s="129" t="s">
        <v>54</v>
      </c>
      <c r="C3" s="130">
        <v>0.64</v>
      </c>
      <c r="D3" s="130" t="s">
        <v>161</v>
      </c>
      <c r="E3" s="130">
        <v>1.56</v>
      </c>
      <c r="F3" s="131" t="s">
        <v>274</v>
      </c>
      <c r="G3" s="132">
        <v>0.43</v>
      </c>
      <c r="H3" s="130" t="s">
        <v>278</v>
      </c>
      <c r="I3" s="133">
        <v>0.25</v>
      </c>
      <c r="J3" s="97"/>
      <c r="K3" s="97"/>
      <c r="L3" s="97"/>
      <c r="M3" s="97"/>
      <c r="N3" s="97"/>
      <c r="O3" s="316"/>
      <c r="P3" s="134">
        <v>0.2</v>
      </c>
    </row>
    <row r="4" spans="1:16" ht="15" thickBot="1" x14ac:dyDescent="0.35">
      <c r="A4" s="128" t="s">
        <v>98</v>
      </c>
      <c r="B4" s="129" t="s">
        <v>99</v>
      </c>
      <c r="C4" s="130">
        <v>0.42</v>
      </c>
      <c r="D4" s="130" t="s">
        <v>161</v>
      </c>
      <c r="E4" s="130">
        <v>1.56</v>
      </c>
      <c r="F4" s="131" t="s">
        <v>274</v>
      </c>
      <c r="G4" s="132">
        <v>0.43</v>
      </c>
      <c r="H4" s="130" t="s">
        <v>278</v>
      </c>
      <c r="I4" s="133">
        <v>0.25</v>
      </c>
      <c r="J4" s="97"/>
      <c r="K4" s="97"/>
      <c r="L4" s="97"/>
      <c r="M4" s="97"/>
      <c r="N4" s="97"/>
    </row>
    <row r="5" spans="1:16" x14ac:dyDescent="0.3">
      <c r="A5" s="128" t="s">
        <v>4</v>
      </c>
      <c r="B5" s="129" t="s">
        <v>55</v>
      </c>
      <c r="C5" s="130">
        <v>0.42</v>
      </c>
      <c r="D5" s="130" t="s">
        <v>161</v>
      </c>
      <c r="E5" s="130">
        <v>1.56</v>
      </c>
      <c r="F5" s="131" t="s">
        <v>274</v>
      </c>
      <c r="G5" s="132">
        <v>0.43</v>
      </c>
      <c r="H5" s="130" t="s">
        <v>278</v>
      </c>
      <c r="I5" s="133">
        <v>0.25</v>
      </c>
      <c r="J5" s="97"/>
      <c r="K5" s="97"/>
      <c r="L5" s="97"/>
      <c r="M5" s="97"/>
      <c r="N5" s="97"/>
      <c r="O5" s="315" t="s">
        <v>237</v>
      </c>
      <c r="P5" s="127">
        <v>0</v>
      </c>
    </row>
    <row r="6" spans="1:16" x14ac:dyDescent="0.3">
      <c r="A6" s="128" t="s">
        <v>3</v>
      </c>
      <c r="B6" s="129" t="s">
        <v>97</v>
      </c>
      <c r="C6" s="130">
        <v>0.42</v>
      </c>
      <c r="D6" s="130" t="s">
        <v>161</v>
      </c>
      <c r="E6" s="130">
        <v>1.56</v>
      </c>
      <c r="F6" s="131" t="s">
        <v>274</v>
      </c>
      <c r="G6" s="132">
        <v>0.43</v>
      </c>
      <c r="H6" s="130" t="s">
        <v>278</v>
      </c>
      <c r="I6" s="133">
        <v>0.25</v>
      </c>
      <c r="J6" s="97"/>
      <c r="K6" s="97"/>
      <c r="L6" s="97"/>
      <c r="M6" s="97"/>
      <c r="N6" s="97"/>
      <c r="O6" s="317"/>
      <c r="P6" s="135">
        <v>0.05</v>
      </c>
    </row>
    <row r="7" spans="1:16" x14ac:dyDescent="0.3">
      <c r="A7" s="128" t="s">
        <v>5</v>
      </c>
      <c r="B7" s="129" t="s">
        <v>56</v>
      </c>
      <c r="C7" s="130">
        <v>0.52</v>
      </c>
      <c r="D7" s="130" t="s">
        <v>161</v>
      </c>
      <c r="E7" s="130">
        <v>1.56</v>
      </c>
      <c r="F7" s="131" t="s">
        <v>274</v>
      </c>
      <c r="G7" s="132">
        <v>0.43</v>
      </c>
      <c r="H7" s="130" t="s">
        <v>278</v>
      </c>
      <c r="I7" s="133">
        <v>0.25</v>
      </c>
      <c r="J7" s="97"/>
      <c r="K7" s="97"/>
      <c r="L7" s="97"/>
      <c r="M7" s="97"/>
      <c r="N7" s="97"/>
      <c r="O7" s="317"/>
      <c r="P7" s="135">
        <v>0.1</v>
      </c>
    </row>
    <row r="8" spans="1:16" ht="15" thickBot="1" x14ac:dyDescent="0.35">
      <c r="A8" s="128" t="s">
        <v>164</v>
      </c>
      <c r="B8" s="129" t="s">
        <v>57</v>
      </c>
      <c r="C8" s="130">
        <v>0.36</v>
      </c>
      <c r="D8" s="130" t="s">
        <v>161</v>
      </c>
      <c r="E8" s="130">
        <v>1.3</v>
      </c>
      <c r="F8" s="131" t="s">
        <v>274</v>
      </c>
      <c r="G8" s="132">
        <v>0.55000000000000004</v>
      </c>
      <c r="H8" s="130" t="s">
        <v>153</v>
      </c>
      <c r="I8" s="133">
        <v>0.43</v>
      </c>
      <c r="J8" s="97"/>
      <c r="K8" s="97"/>
      <c r="L8" s="97"/>
      <c r="M8" s="97"/>
      <c r="N8" s="97"/>
      <c r="O8" s="316"/>
      <c r="P8" s="134">
        <v>0.15</v>
      </c>
    </row>
    <row r="9" spans="1:16" ht="15" thickBot="1" x14ac:dyDescent="0.35">
      <c r="A9" s="128" t="s">
        <v>6</v>
      </c>
      <c r="B9" s="129" t="s">
        <v>58</v>
      </c>
      <c r="C9" s="130">
        <v>0.61</v>
      </c>
      <c r="D9" s="130" t="s">
        <v>161</v>
      </c>
      <c r="E9" s="130">
        <v>1.56</v>
      </c>
      <c r="F9" s="131" t="s">
        <v>274</v>
      </c>
      <c r="G9" s="132">
        <v>0.43</v>
      </c>
      <c r="H9" s="130" t="s">
        <v>278</v>
      </c>
      <c r="I9" s="133">
        <v>0.25</v>
      </c>
      <c r="J9" s="97"/>
      <c r="K9" s="97"/>
      <c r="L9" s="97"/>
      <c r="M9" s="97"/>
      <c r="N9" s="97"/>
    </row>
    <row r="10" spans="1:16" x14ac:dyDescent="0.3">
      <c r="A10" s="128" t="s">
        <v>7</v>
      </c>
      <c r="B10" s="129" t="s">
        <v>59</v>
      </c>
      <c r="C10" s="130">
        <v>0.66</v>
      </c>
      <c r="D10" s="130" t="s">
        <v>161</v>
      </c>
      <c r="E10" s="130">
        <v>1.56</v>
      </c>
      <c r="F10" s="131" t="s">
        <v>274</v>
      </c>
      <c r="G10" s="132">
        <v>0.43</v>
      </c>
      <c r="H10" s="130" t="s">
        <v>278</v>
      </c>
      <c r="I10" s="133">
        <v>0.25</v>
      </c>
      <c r="J10" s="97"/>
      <c r="K10" s="97"/>
      <c r="L10" s="97"/>
      <c r="M10" s="97"/>
      <c r="N10" s="97"/>
      <c r="O10" s="315" t="s">
        <v>236</v>
      </c>
      <c r="P10" s="127">
        <v>0</v>
      </c>
    </row>
    <row r="11" spans="1:16" ht="15" thickBot="1" x14ac:dyDescent="0.35">
      <c r="A11" s="128" t="s">
        <v>8</v>
      </c>
      <c r="B11" s="129" t="s">
        <v>60</v>
      </c>
      <c r="C11" s="130">
        <v>0.47</v>
      </c>
      <c r="D11" s="130" t="s">
        <v>161</v>
      </c>
      <c r="E11" s="130">
        <v>1.56</v>
      </c>
      <c r="F11" s="131" t="s">
        <v>274</v>
      </c>
      <c r="G11" s="132">
        <v>0.43</v>
      </c>
      <c r="H11" s="130" t="s">
        <v>278</v>
      </c>
      <c r="I11" s="133">
        <v>0.25</v>
      </c>
      <c r="J11" s="97"/>
      <c r="K11" s="97"/>
      <c r="L11" s="97"/>
      <c r="M11" s="97"/>
      <c r="N11" s="97"/>
      <c r="O11" s="316"/>
      <c r="P11" s="134">
        <v>0.1</v>
      </c>
    </row>
    <row r="12" spans="1:16" x14ac:dyDescent="0.3">
      <c r="A12" s="128" t="s">
        <v>9</v>
      </c>
      <c r="B12" s="129" t="s">
        <v>61</v>
      </c>
      <c r="C12" s="130">
        <v>0.67</v>
      </c>
      <c r="D12" s="130" t="s">
        <v>161</v>
      </c>
      <c r="E12" s="130">
        <v>1.56</v>
      </c>
      <c r="F12" s="131" t="s">
        <v>274</v>
      </c>
      <c r="G12" s="132">
        <v>0.43</v>
      </c>
      <c r="H12" s="130" t="s">
        <v>152</v>
      </c>
      <c r="I12" s="133">
        <v>0.25</v>
      </c>
      <c r="J12" s="97"/>
      <c r="K12" s="97"/>
      <c r="L12" s="97"/>
      <c r="M12" s="97"/>
      <c r="N12" s="97"/>
    </row>
    <row r="13" spans="1:16" x14ac:dyDescent="0.3">
      <c r="A13" s="128" t="s">
        <v>10</v>
      </c>
      <c r="B13" s="129" t="s">
        <v>62</v>
      </c>
      <c r="C13" s="130">
        <v>0.7</v>
      </c>
      <c r="D13" s="130" t="s">
        <v>161</v>
      </c>
      <c r="E13" s="130">
        <v>1.56</v>
      </c>
      <c r="F13" s="131" t="s">
        <v>274</v>
      </c>
      <c r="G13" s="132">
        <v>0.43</v>
      </c>
      <c r="H13" s="130" t="s">
        <v>152</v>
      </c>
      <c r="I13" s="133">
        <v>0.25</v>
      </c>
      <c r="J13" s="97"/>
      <c r="K13" s="97"/>
      <c r="L13" s="97"/>
      <c r="M13" s="97"/>
      <c r="N13" s="97"/>
    </row>
    <row r="14" spans="1:16" x14ac:dyDescent="0.3">
      <c r="A14" s="128" t="s">
        <v>11</v>
      </c>
      <c r="B14" s="129" t="s">
        <v>63</v>
      </c>
      <c r="C14" s="130">
        <v>0.54</v>
      </c>
      <c r="D14" s="130" t="s">
        <v>161</v>
      </c>
      <c r="E14" s="130">
        <v>1.56</v>
      </c>
      <c r="F14" s="131" t="s">
        <v>274</v>
      </c>
      <c r="G14" s="132">
        <v>0.43</v>
      </c>
      <c r="H14" s="130" t="s">
        <v>152</v>
      </c>
      <c r="I14" s="133">
        <v>0.25</v>
      </c>
      <c r="J14" s="97"/>
      <c r="K14" s="97"/>
      <c r="L14" s="97"/>
      <c r="M14" s="97"/>
      <c r="N14" s="97"/>
    </row>
    <row r="15" spans="1:16" x14ac:dyDescent="0.3">
      <c r="A15" s="128" t="s">
        <v>12</v>
      </c>
      <c r="B15" s="129" t="s">
        <v>64</v>
      </c>
      <c r="C15" s="130">
        <v>0.65</v>
      </c>
      <c r="D15" s="130" t="s">
        <v>161</v>
      </c>
      <c r="E15" s="130">
        <v>1.56</v>
      </c>
      <c r="F15" s="131" t="s">
        <v>274</v>
      </c>
      <c r="G15" s="132">
        <v>0.43</v>
      </c>
      <c r="H15" s="130" t="s">
        <v>152</v>
      </c>
      <c r="I15" s="133">
        <v>0.25</v>
      </c>
      <c r="J15" s="97"/>
      <c r="K15" s="97"/>
      <c r="L15" s="97"/>
      <c r="M15" s="97"/>
      <c r="N15" s="97"/>
    </row>
    <row r="16" spans="1:16" x14ac:dyDescent="0.3">
      <c r="A16" s="128" t="s">
        <v>13</v>
      </c>
      <c r="B16" s="129" t="s">
        <v>65</v>
      </c>
      <c r="C16" s="130">
        <v>0.56000000000000005</v>
      </c>
      <c r="D16" s="130" t="s">
        <v>161</v>
      </c>
      <c r="E16" s="130">
        <v>1.56</v>
      </c>
      <c r="F16" s="131" t="s">
        <v>274</v>
      </c>
      <c r="G16" s="132">
        <v>0.43</v>
      </c>
      <c r="H16" s="130" t="s">
        <v>152</v>
      </c>
      <c r="I16" s="133">
        <v>0.25</v>
      </c>
      <c r="J16" s="97"/>
      <c r="K16" s="97"/>
      <c r="L16" s="97"/>
      <c r="M16" s="97"/>
      <c r="N16" s="97"/>
    </row>
    <row r="17" spans="1:14" x14ac:dyDescent="0.3">
      <c r="A17" s="128" t="s">
        <v>14</v>
      </c>
      <c r="B17" s="129" t="s">
        <v>66</v>
      </c>
      <c r="C17" s="130">
        <v>0.57999999999999996</v>
      </c>
      <c r="D17" s="130" t="s">
        <v>161</v>
      </c>
      <c r="E17" s="130">
        <v>1.56</v>
      </c>
      <c r="F17" s="131" t="s">
        <v>274</v>
      </c>
      <c r="G17" s="132">
        <v>0.43</v>
      </c>
      <c r="H17" s="130" t="s">
        <v>152</v>
      </c>
      <c r="I17" s="133">
        <v>0.25</v>
      </c>
      <c r="J17" s="97"/>
      <c r="K17" s="97"/>
      <c r="L17" s="97"/>
      <c r="M17" s="97"/>
      <c r="N17" s="97"/>
    </row>
    <row r="18" spans="1:14" x14ac:dyDescent="0.3">
      <c r="A18" s="128" t="s">
        <v>15</v>
      </c>
      <c r="B18" s="129" t="s">
        <v>67</v>
      </c>
      <c r="C18" s="130">
        <v>0.64</v>
      </c>
      <c r="D18" s="130" t="s">
        <v>161</v>
      </c>
      <c r="E18" s="130">
        <v>1.56</v>
      </c>
      <c r="F18" s="131" t="s">
        <v>274</v>
      </c>
      <c r="G18" s="132">
        <v>0.43</v>
      </c>
      <c r="H18" s="130" t="s">
        <v>152</v>
      </c>
      <c r="I18" s="133">
        <v>0.25</v>
      </c>
      <c r="J18" s="97"/>
      <c r="K18" s="97"/>
      <c r="L18" s="97"/>
      <c r="M18" s="97"/>
      <c r="N18" s="97"/>
    </row>
    <row r="19" spans="1:14" x14ac:dyDescent="0.3">
      <c r="A19" s="128" t="s">
        <v>16</v>
      </c>
      <c r="B19" s="129" t="s">
        <v>68</v>
      </c>
      <c r="C19" s="130">
        <v>0.73</v>
      </c>
      <c r="D19" s="130" t="s">
        <v>161</v>
      </c>
      <c r="E19" s="130">
        <v>1.56</v>
      </c>
      <c r="F19" s="131" t="s">
        <v>274</v>
      </c>
      <c r="G19" s="132">
        <v>0.43</v>
      </c>
      <c r="H19" s="130" t="s">
        <v>152</v>
      </c>
      <c r="I19" s="133">
        <v>0.25</v>
      </c>
      <c r="J19" s="97"/>
      <c r="K19" s="97"/>
      <c r="L19" s="97"/>
      <c r="M19" s="97"/>
      <c r="N19" s="97"/>
    </row>
    <row r="20" spans="1:14" x14ac:dyDescent="0.3">
      <c r="A20" s="128" t="s">
        <v>52</v>
      </c>
      <c r="B20" s="129" t="s">
        <v>69</v>
      </c>
      <c r="C20" s="130">
        <v>0.69</v>
      </c>
      <c r="D20" s="130" t="s">
        <v>131</v>
      </c>
      <c r="E20" s="130">
        <v>1.56</v>
      </c>
      <c r="F20" s="131" t="s">
        <v>274</v>
      </c>
      <c r="G20" s="132">
        <v>0.43</v>
      </c>
      <c r="H20" s="130" t="s">
        <v>282</v>
      </c>
      <c r="I20" s="133">
        <v>0.25</v>
      </c>
      <c r="J20" s="97"/>
      <c r="K20" s="97"/>
      <c r="L20" s="97"/>
      <c r="M20" s="97"/>
      <c r="N20" s="97"/>
    </row>
    <row r="21" spans="1:14" x14ac:dyDescent="0.3">
      <c r="A21" s="128" t="s">
        <v>154</v>
      </c>
      <c r="B21" s="129" t="s">
        <v>155</v>
      </c>
      <c r="C21" s="130">
        <v>0.36</v>
      </c>
      <c r="D21" s="130" t="s">
        <v>161</v>
      </c>
      <c r="E21" s="130">
        <v>1.3</v>
      </c>
      <c r="F21" s="131" t="s">
        <v>274</v>
      </c>
      <c r="G21" s="132">
        <v>0.55000000000000004</v>
      </c>
      <c r="H21" s="130" t="s">
        <v>153</v>
      </c>
      <c r="I21" s="133">
        <v>0.43</v>
      </c>
      <c r="J21" s="97"/>
      <c r="K21" s="97"/>
      <c r="L21" s="97"/>
      <c r="M21" s="97"/>
      <c r="N21" s="97"/>
    </row>
    <row r="22" spans="1:14" x14ac:dyDescent="0.3">
      <c r="A22" s="128" t="s">
        <v>17</v>
      </c>
      <c r="B22" s="129" t="s">
        <v>70</v>
      </c>
      <c r="C22" s="130">
        <v>0.4</v>
      </c>
      <c r="D22" s="130" t="s">
        <v>161</v>
      </c>
      <c r="E22" s="130">
        <v>1.3</v>
      </c>
      <c r="F22" s="131" t="s">
        <v>274</v>
      </c>
      <c r="G22" s="132">
        <v>0.55000000000000004</v>
      </c>
      <c r="H22" s="130" t="s">
        <v>153</v>
      </c>
      <c r="I22" s="133">
        <v>0.43</v>
      </c>
      <c r="J22" s="97"/>
      <c r="K22" s="97"/>
      <c r="L22" s="97"/>
      <c r="M22" s="97"/>
      <c r="N22" s="97"/>
    </row>
    <row r="23" spans="1:14" x14ac:dyDescent="0.3">
      <c r="A23" s="128" t="s">
        <v>18</v>
      </c>
      <c r="B23" s="129" t="s">
        <v>71</v>
      </c>
      <c r="C23" s="130">
        <v>0.43</v>
      </c>
      <c r="D23" s="130" t="s">
        <v>161</v>
      </c>
      <c r="E23" s="130">
        <v>1.3</v>
      </c>
      <c r="F23" s="131" t="s">
        <v>274</v>
      </c>
      <c r="G23" s="132">
        <v>0.55000000000000004</v>
      </c>
      <c r="H23" s="130" t="s">
        <v>153</v>
      </c>
      <c r="I23" s="133">
        <v>0.43</v>
      </c>
      <c r="J23" s="97"/>
      <c r="K23" s="97"/>
      <c r="L23" s="97"/>
      <c r="M23" s="97"/>
      <c r="N23" s="97"/>
    </row>
    <row r="24" spans="1:14" x14ac:dyDescent="0.3">
      <c r="A24" s="128" t="s">
        <v>19</v>
      </c>
      <c r="B24" s="129" t="s">
        <v>72</v>
      </c>
      <c r="C24" s="130">
        <v>0.37</v>
      </c>
      <c r="D24" s="130" t="s">
        <v>161</v>
      </c>
      <c r="E24" s="130">
        <v>1.3</v>
      </c>
      <c r="F24" s="131" t="s">
        <v>274</v>
      </c>
      <c r="G24" s="132">
        <v>0.55000000000000004</v>
      </c>
      <c r="H24" s="130" t="s">
        <v>152</v>
      </c>
      <c r="I24" s="133">
        <v>0.43</v>
      </c>
      <c r="J24" s="97"/>
      <c r="K24" s="97"/>
      <c r="L24" s="97"/>
      <c r="M24" s="97"/>
      <c r="N24" s="97"/>
    </row>
    <row r="25" spans="1:14" x14ac:dyDescent="0.3">
      <c r="A25" s="128" t="s">
        <v>20</v>
      </c>
      <c r="B25" s="129" t="s">
        <v>73</v>
      </c>
      <c r="C25" s="130">
        <v>0.36</v>
      </c>
      <c r="D25" s="130" t="s">
        <v>161</v>
      </c>
      <c r="E25" s="130">
        <v>1.3</v>
      </c>
      <c r="F25" s="131" t="s">
        <v>274</v>
      </c>
      <c r="G25" s="132">
        <v>0.55000000000000004</v>
      </c>
      <c r="H25" s="130" t="s">
        <v>152</v>
      </c>
      <c r="I25" s="133">
        <v>0.43</v>
      </c>
      <c r="J25" s="97"/>
      <c r="K25" s="97"/>
      <c r="L25" s="97"/>
      <c r="M25" s="97"/>
      <c r="N25" s="97"/>
    </row>
    <row r="26" spans="1:14" x14ac:dyDescent="0.3">
      <c r="A26" s="128" t="s">
        <v>21</v>
      </c>
      <c r="B26" s="129" t="s">
        <v>74</v>
      </c>
      <c r="C26" s="130">
        <v>0.56000000000000005</v>
      </c>
      <c r="D26" s="130" t="s">
        <v>161</v>
      </c>
      <c r="E26" s="130">
        <v>1.56</v>
      </c>
      <c r="F26" s="131" t="s">
        <v>274</v>
      </c>
      <c r="G26" s="132">
        <v>0.53</v>
      </c>
      <c r="H26" s="130" t="s">
        <v>275</v>
      </c>
      <c r="I26" s="133">
        <v>0.25</v>
      </c>
      <c r="J26" s="97"/>
      <c r="K26" s="97"/>
      <c r="L26" s="97"/>
      <c r="M26" s="97"/>
      <c r="N26" s="97"/>
    </row>
    <row r="27" spans="1:14" x14ac:dyDescent="0.3">
      <c r="A27" s="128" t="s">
        <v>22</v>
      </c>
      <c r="B27" s="129" t="s">
        <v>75</v>
      </c>
      <c r="C27" s="130">
        <v>0.51</v>
      </c>
      <c r="D27" s="130" t="s">
        <v>161</v>
      </c>
      <c r="E27" s="130">
        <v>1.56</v>
      </c>
      <c r="F27" s="131" t="s">
        <v>274</v>
      </c>
      <c r="G27" s="132">
        <v>0.53</v>
      </c>
      <c r="H27" s="130" t="s">
        <v>275</v>
      </c>
      <c r="I27" s="133">
        <v>0.25</v>
      </c>
      <c r="J27" s="97"/>
      <c r="K27" s="97"/>
      <c r="L27" s="97"/>
      <c r="M27" s="97"/>
      <c r="N27" s="97"/>
    </row>
    <row r="28" spans="1:14" x14ac:dyDescent="0.3">
      <c r="A28" s="128" t="s">
        <v>23</v>
      </c>
      <c r="B28" s="129" t="s">
        <v>76</v>
      </c>
      <c r="C28" s="130">
        <v>0.51</v>
      </c>
      <c r="D28" s="130" t="s">
        <v>161</v>
      </c>
      <c r="E28" s="130">
        <v>1.56</v>
      </c>
      <c r="F28" s="131" t="s">
        <v>274</v>
      </c>
      <c r="G28" s="132">
        <v>0.53</v>
      </c>
      <c r="H28" s="130" t="s">
        <v>275</v>
      </c>
      <c r="I28" s="133">
        <v>0.25</v>
      </c>
      <c r="J28" s="97"/>
      <c r="K28" s="97"/>
      <c r="L28" s="97"/>
      <c r="M28" s="97"/>
      <c r="N28" s="97"/>
    </row>
    <row r="29" spans="1:14" x14ac:dyDescent="0.3">
      <c r="A29" s="128" t="s">
        <v>24</v>
      </c>
      <c r="B29" s="129" t="s">
        <v>24</v>
      </c>
      <c r="C29" s="130">
        <v>0.56000000000000005</v>
      </c>
      <c r="D29" s="130" t="s">
        <v>161</v>
      </c>
      <c r="E29" s="130">
        <v>1.56</v>
      </c>
      <c r="F29" s="131" t="s">
        <v>274</v>
      </c>
      <c r="G29" s="132">
        <v>0.53</v>
      </c>
      <c r="H29" s="130" t="s">
        <v>275</v>
      </c>
      <c r="I29" s="133">
        <v>0.25</v>
      </c>
      <c r="J29" s="97"/>
      <c r="K29" s="97"/>
      <c r="L29" s="97"/>
      <c r="M29" s="97"/>
      <c r="N29" s="97"/>
    </row>
    <row r="30" spans="1:14" x14ac:dyDescent="0.3">
      <c r="A30" s="128" t="s">
        <v>25</v>
      </c>
      <c r="B30" s="129" t="s">
        <v>77</v>
      </c>
      <c r="C30" s="130">
        <v>0.55000000000000004</v>
      </c>
      <c r="D30" s="130" t="s">
        <v>161</v>
      </c>
      <c r="E30" s="130">
        <v>1.56</v>
      </c>
      <c r="F30" s="131" t="s">
        <v>274</v>
      </c>
      <c r="G30" s="132">
        <v>0.53</v>
      </c>
      <c r="H30" s="130" t="s">
        <v>152</v>
      </c>
      <c r="I30" s="133">
        <v>0.25</v>
      </c>
      <c r="J30" s="97"/>
      <c r="K30" s="97"/>
      <c r="L30" s="97"/>
      <c r="M30" s="97"/>
      <c r="N30" s="97"/>
    </row>
    <row r="31" spans="1:14" x14ac:dyDescent="0.3">
      <c r="A31" s="128" t="s">
        <v>26</v>
      </c>
      <c r="B31" s="129" t="s">
        <v>78</v>
      </c>
      <c r="C31" s="130">
        <v>0.56000000000000005</v>
      </c>
      <c r="D31" s="130" t="s">
        <v>161</v>
      </c>
      <c r="E31" s="130">
        <v>1.56</v>
      </c>
      <c r="F31" s="131" t="s">
        <v>274</v>
      </c>
      <c r="G31" s="132">
        <v>0.43</v>
      </c>
      <c r="H31" s="130" t="s">
        <v>278</v>
      </c>
      <c r="I31" s="133">
        <v>0.25</v>
      </c>
      <c r="J31" s="97"/>
      <c r="K31" s="97"/>
      <c r="L31" s="97"/>
      <c r="M31" s="97"/>
      <c r="N31" s="97"/>
    </row>
    <row r="32" spans="1:14" x14ac:dyDescent="0.3">
      <c r="A32" s="128" t="s">
        <v>27</v>
      </c>
      <c r="B32" s="129" t="s">
        <v>79</v>
      </c>
      <c r="C32" s="130">
        <v>0.48</v>
      </c>
      <c r="D32" s="130" t="s">
        <v>161</v>
      </c>
      <c r="E32" s="130">
        <v>1.3</v>
      </c>
      <c r="F32" s="131" t="s">
        <v>274</v>
      </c>
      <c r="G32" s="132">
        <v>0.6</v>
      </c>
      <c r="H32" s="130" t="s">
        <v>281</v>
      </c>
      <c r="I32" s="133">
        <v>0.43</v>
      </c>
      <c r="J32" s="97"/>
      <c r="K32" s="97"/>
      <c r="L32" s="97"/>
      <c r="M32" s="97"/>
      <c r="N32" s="97"/>
    </row>
    <row r="33" spans="1:14" x14ac:dyDescent="0.3">
      <c r="A33" s="128" t="s">
        <v>28</v>
      </c>
      <c r="B33" s="129" t="s">
        <v>80</v>
      </c>
      <c r="C33" s="130">
        <v>0.42</v>
      </c>
      <c r="D33" s="130" t="s">
        <v>161</v>
      </c>
      <c r="E33" s="130">
        <v>1.3</v>
      </c>
      <c r="F33" s="131" t="s">
        <v>274</v>
      </c>
      <c r="G33" s="132">
        <v>0.6</v>
      </c>
      <c r="H33" s="130" t="s">
        <v>281</v>
      </c>
      <c r="I33" s="133">
        <v>0.43</v>
      </c>
      <c r="J33" s="97"/>
      <c r="K33" s="97"/>
      <c r="L33" s="97"/>
      <c r="M33" s="97"/>
      <c r="N33" s="97"/>
    </row>
    <row r="34" spans="1:14" x14ac:dyDescent="0.3">
      <c r="A34" s="128" t="s">
        <v>81</v>
      </c>
      <c r="B34" s="129" t="s">
        <v>163</v>
      </c>
      <c r="C34" s="130">
        <v>0.42</v>
      </c>
      <c r="D34" s="130" t="s">
        <v>103</v>
      </c>
      <c r="E34" s="130">
        <v>1.3</v>
      </c>
      <c r="F34" s="131" t="s">
        <v>274</v>
      </c>
      <c r="G34" s="132">
        <v>0.6</v>
      </c>
      <c r="H34" s="129" t="s">
        <v>280</v>
      </c>
      <c r="I34" s="133">
        <v>0.43</v>
      </c>
      <c r="J34" s="97"/>
      <c r="K34" s="97"/>
      <c r="L34" s="97"/>
      <c r="M34" s="97"/>
      <c r="N34" s="97"/>
    </row>
    <row r="35" spans="1:14" x14ac:dyDescent="0.3">
      <c r="A35" s="128" t="s">
        <v>29</v>
      </c>
      <c r="B35" s="129" t="s">
        <v>82</v>
      </c>
      <c r="C35" s="130">
        <v>0.5</v>
      </c>
      <c r="D35" s="130" t="s">
        <v>161</v>
      </c>
      <c r="E35" s="130">
        <v>1.56</v>
      </c>
      <c r="F35" s="131" t="s">
        <v>274</v>
      </c>
      <c r="G35" s="132">
        <v>0.43</v>
      </c>
      <c r="H35" s="130" t="s">
        <v>278</v>
      </c>
      <c r="I35" s="133">
        <v>0.25</v>
      </c>
      <c r="J35" s="97"/>
      <c r="K35" s="97"/>
      <c r="L35" s="97"/>
      <c r="M35" s="97"/>
      <c r="N35" s="97"/>
    </row>
    <row r="36" spans="1:14" x14ac:dyDescent="0.3">
      <c r="A36" s="128" t="s">
        <v>102</v>
      </c>
      <c r="B36" s="129" t="s">
        <v>101</v>
      </c>
      <c r="C36" s="130">
        <v>0.55000000000000004</v>
      </c>
      <c r="D36" s="130" t="s">
        <v>161</v>
      </c>
      <c r="E36" s="130">
        <v>1.56</v>
      </c>
      <c r="F36" s="131" t="s">
        <v>274</v>
      </c>
      <c r="G36" s="132">
        <v>0.53</v>
      </c>
      <c r="H36" s="130" t="s">
        <v>275</v>
      </c>
      <c r="I36" s="133">
        <v>0.25</v>
      </c>
      <c r="J36" s="97"/>
      <c r="K36" s="97"/>
      <c r="L36" s="97"/>
      <c r="M36" s="97"/>
      <c r="N36" s="97"/>
    </row>
    <row r="37" spans="1:14" x14ac:dyDescent="0.3">
      <c r="A37" s="128" t="s">
        <v>30</v>
      </c>
      <c r="B37" s="129" t="s">
        <v>104</v>
      </c>
      <c r="C37" s="130">
        <v>0.52</v>
      </c>
      <c r="D37" s="130" t="s">
        <v>161</v>
      </c>
      <c r="E37" s="130">
        <v>1.56</v>
      </c>
      <c r="F37" s="131" t="s">
        <v>274</v>
      </c>
      <c r="G37" s="132">
        <v>0.53</v>
      </c>
      <c r="H37" s="130" t="s">
        <v>275</v>
      </c>
      <c r="I37" s="133">
        <v>0.25</v>
      </c>
      <c r="J37" s="97"/>
      <c r="K37" s="97"/>
      <c r="L37" s="97"/>
      <c r="M37" s="97"/>
      <c r="N37" s="97"/>
    </row>
    <row r="38" spans="1:14" x14ac:dyDescent="0.3">
      <c r="A38" s="128" t="s">
        <v>31</v>
      </c>
      <c r="B38" s="129" t="s">
        <v>105</v>
      </c>
      <c r="C38" s="130">
        <v>0.52</v>
      </c>
      <c r="D38" s="130" t="s">
        <v>161</v>
      </c>
      <c r="E38" s="130">
        <v>1.56</v>
      </c>
      <c r="F38" s="131" t="s">
        <v>274</v>
      </c>
      <c r="G38" s="132">
        <v>0.43</v>
      </c>
      <c r="H38" s="130" t="s">
        <v>278</v>
      </c>
      <c r="I38" s="133">
        <v>0.25</v>
      </c>
      <c r="J38" s="97"/>
      <c r="K38" s="97"/>
      <c r="L38" s="97"/>
      <c r="M38" s="97"/>
      <c r="N38" s="97"/>
    </row>
    <row r="39" spans="1:14" x14ac:dyDescent="0.3">
      <c r="A39" s="128" t="s">
        <v>107</v>
      </c>
      <c r="B39" s="129" t="s">
        <v>132</v>
      </c>
      <c r="C39" s="130">
        <v>0.313</v>
      </c>
      <c r="D39" s="130" t="s">
        <v>130</v>
      </c>
      <c r="E39" s="130">
        <v>1.56</v>
      </c>
      <c r="F39" s="131" t="s">
        <v>274</v>
      </c>
      <c r="G39" s="132">
        <v>0.6</v>
      </c>
      <c r="H39" s="130" t="s">
        <v>283</v>
      </c>
      <c r="I39" s="133">
        <v>1.03</v>
      </c>
      <c r="J39" s="97"/>
      <c r="K39" s="97"/>
      <c r="L39" s="97"/>
      <c r="M39" s="97"/>
      <c r="N39" s="97"/>
    </row>
    <row r="40" spans="1:14" x14ac:dyDescent="0.3">
      <c r="A40" s="128" t="s">
        <v>108</v>
      </c>
      <c r="B40" s="129" t="s">
        <v>132</v>
      </c>
      <c r="C40" s="130">
        <v>0.35199999999999998</v>
      </c>
      <c r="D40" s="130" t="s">
        <v>130</v>
      </c>
      <c r="E40" s="130">
        <v>1.56</v>
      </c>
      <c r="F40" s="131" t="s">
        <v>274</v>
      </c>
      <c r="G40" s="132">
        <v>0.6</v>
      </c>
      <c r="H40" s="130" t="s">
        <v>283</v>
      </c>
      <c r="I40" s="133">
        <v>1.03</v>
      </c>
      <c r="J40" s="97"/>
      <c r="K40" s="97"/>
      <c r="L40" s="97"/>
      <c r="M40" s="97"/>
      <c r="N40" s="97"/>
    </row>
    <row r="41" spans="1:14" x14ac:dyDescent="0.3">
      <c r="A41" s="128" t="s">
        <v>121</v>
      </c>
      <c r="B41" s="129" t="s">
        <v>132</v>
      </c>
      <c r="C41" s="130">
        <v>0.32200000000000001</v>
      </c>
      <c r="D41" s="130" t="s">
        <v>130</v>
      </c>
      <c r="E41" s="130">
        <v>1.56</v>
      </c>
      <c r="F41" s="131" t="s">
        <v>274</v>
      </c>
      <c r="G41" s="132">
        <v>0.6</v>
      </c>
      <c r="H41" s="130" t="s">
        <v>283</v>
      </c>
      <c r="I41" s="133">
        <v>1.03</v>
      </c>
      <c r="J41" s="97"/>
      <c r="K41" s="97"/>
      <c r="L41" s="97"/>
      <c r="M41" s="97"/>
      <c r="N41" s="97"/>
    </row>
    <row r="42" spans="1:14" x14ac:dyDescent="0.3">
      <c r="A42" s="128" t="s">
        <v>122</v>
      </c>
      <c r="B42" s="129" t="s">
        <v>132</v>
      </c>
      <c r="C42" s="130">
        <v>0.311</v>
      </c>
      <c r="D42" s="130" t="s">
        <v>130</v>
      </c>
      <c r="E42" s="130">
        <v>1.56</v>
      </c>
      <c r="F42" s="131" t="s">
        <v>274</v>
      </c>
      <c r="G42" s="132">
        <v>0.6</v>
      </c>
      <c r="H42" s="130" t="s">
        <v>283</v>
      </c>
      <c r="I42" s="133">
        <v>1.03</v>
      </c>
      <c r="J42" s="97"/>
      <c r="K42" s="97"/>
      <c r="L42" s="97"/>
      <c r="M42" s="97"/>
      <c r="N42" s="97"/>
    </row>
    <row r="43" spans="1:14" x14ac:dyDescent="0.3">
      <c r="A43" s="128" t="s">
        <v>109</v>
      </c>
      <c r="B43" s="129" t="s">
        <v>132</v>
      </c>
      <c r="C43" s="130">
        <v>0.33900000000000002</v>
      </c>
      <c r="D43" s="130" t="s">
        <v>130</v>
      </c>
      <c r="E43" s="130">
        <v>1.56</v>
      </c>
      <c r="F43" s="131" t="s">
        <v>274</v>
      </c>
      <c r="G43" s="132">
        <v>0.6</v>
      </c>
      <c r="H43" s="130" t="s">
        <v>283</v>
      </c>
      <c r="I43" s="133">
        <v>1.03</v>
      </c>
      <c r="J43" s="97"/>
      <c r="K43" s="97"/>
      <c r="L43" s="97"/>
      <c r="M43" s="97"/>
      <c r="N43" s="97"/>
    </row>
    <row r="44" spans="1:14" x14ac:dyDescent="0.3">
      <c r="A44" s="128" t="s">
        <v>123</v>
      </c>
      <c r="B44" s="129" t="s">
        <v>132</v>
      </c>
      <c r="C44" s="130">
        <v>0.33600000000000002</v>
      </c>
      <c r="D44" s="130" t="s">
        <v>130</v>
      </c>
      <c r="E44" s="130">
        <v>1.56</v>
      </c>
      <c r="F44" s="131" t="s">
        <v>274</v>
      </c>
      <c r="G44" s="132">
        <v>0.6</v>
      </c>
      <c r="H44" s="130" t="s">
        <v>283</v>
      </c>
      <c r="I44" s="133">
        <v>1.03</v>
      </c>
      <c r="J44" s="97"/>
      <c r="K44" s="97"/>
      <c r="L44" s="97"/>
      <c r="M44" s="97"/>
      <c r="N44" s="97"/>
    </row>
    <row r="45" spans="1:14" x14ac:dyDescent="0.3">
      <c r="A45" s="128" t="s">
        <v>110</v>
      </c>
      <c r="B45" s="129" t="s">
        <v>132</v>
      </c>
      <c r="C45" s="130">
        <v>0.32900000000000001</v>
      </c>
      <c r="D45" s="130" t="s">
        <v>130</v>
      </c>
      <c r="E45" s="130">
        <v>1.56</v>
      </c>
      <c r="F45" s="131" t="s">
        <v>274</v>
      </c>
      <c r="G45" s="132">
        <v>0.6</v>
      </c>
      <c r="H45" s="130" t="s">
        <v>283</v>
      </c>
      <c r="I45" s="133">
        <v>1.03</v>
      </c>
      <c r="J45" s="97"/>
      <c r="K45" s="97"/>
      <c r="L45" s="97"/>
      <c r="M45" s="97"/>
      <c r="N45" s="97"/>
    </row>
    <row r="46" spans="1:14" x14ac:dyDescent="0.3">
      <c r="A46" s="128" t="s">
        <v>124</v>
      </c>
      <c r="B46" s="129" t="s">
        <v>132</v>
      </c>
      <c r="C46" s="130">
        <v>0.34300000000000003</v>
      </c>
      <c r="D46" s="130" t="s">
        <v>130</v>
      </c>
      <c r="E46" s="130">
        <v>1.56</v>
      </c>
      <c r="F46" s="131" t="s">
        <v>274</v>
      </c>
      <c r="G46" s="132">
        <v>0.6</v>
      </c>
      <c r="H46" s="130" t="s">
        <v>283</v>
      </c>
      <c r="I46" s="133">
        <v>1.03</v>
      </c>
      <c r="J46" s="97"/>
      <c r="K46" s="97"/>
      <c r="L46" s="97"/>
      <c r="M46" s="97"/>
      <c r="N46" s="97"/>
    </row>
    <row r="47" spans="1:14" x14ac:dyDescent="0.3">
      <c r="A47" s="128" t="s">
        <v>125</v>
      </c>
      <c r="B47" s="129" t="s">
        <v>132</v>
      </c>
      <c r="C47" s="130">
        <v>0.32500000000000001</v>
      </c>
      <c r="D47" s="130" t="s">
        <v>130</v>
      </c>
      <c r="E47" s="130">
        <v>1.56</v>
      </c>
      <c r="F47" s="131" t="s">
        <v>274</v>
      </c>
      <c r="G47" s="132">
        <v>0.6</v>
      </c>
      <c r="H47" s="130" t="s">
        <v>283</v>
      </c>
      <c r="I47" s="133">
        <v>1.03</v>
      </c>
      <c r="J47" s="97"/>
      <c r="K47" s="97"/>
      <c r="L47" s="97"/>
      <c r="M47" s="97"/>
      <c r="N47" s="97"/>
    </row>
    <row r="48" spans="1:14" x14ac:dyDescent="0.3">
      <c r="A48" s="128" t="s">
        <v>126</v>
      </c>
      <c r="B48" s="129" t="s">
        <v>132</v>
      </c>
      <c r="C48" s="130">
        <v>0.32</v>
      </c>
      <c r="D48" s="130" t="s">
        <v>130</v>
      </c>
      <c r="E48" s="130">
        <v>1.56</v>
      </c>
      <c r="F48" s="131" t="s">
        <v>274</v>
      </c>
      <c r="G48" s="132">
        <v>0.6</v>
      </c>
      <c r="H48" s="130" t="s">
        <v>283</v>
      </c>
      <c r="I48" s="133">
        <v>1.03</v>
      </c>
      <c r="J48" s="97"/>
      <c r="K48" s="97"/>
      <c r="L48" s="97"/>
      <c r="M48" s="97"/>
      <c r="N48" s="97"/>
    </row>
    <row r="49" spans="1:14" x14ac:dyDescent="0.3">
      <c r="A49" s="128" t="s">
        <v>111</v>
      </c>
      <c r="B49" s="129" t="s">
        <v>132</v>
      </c>
      <c r="C49" s="130">
        <v>0.28199999999999997</v>
      </c>
      <c r="D49" s="130" t="s">
        <v>130</v>
      </c>
      <c r="E49" s="130">
        <v>1.56</v>
      </c>
      <c r="F49" s="131" t="s">
        <v>274</v>
      </c>
      <c r="G49" s="132">
        <v>0.6</v>
      </c>
      <c r="H49" s="130" t="s">
        <v>283</v>
      </c>
      <c r="I49" s="133">
        <v>1.03</v>
      </c>
      <c r="J49" s="97"/>
      <c r="K49" s="97"/>
      <c r="L49" s="97"/>
      <c r="M49" s="97"/>
      <c r="N49" s="97"/>
    </row>
    <row r="50" spans="1:14" x14ac:dyDescent="0.3">
      <c r="A50" s="128" t="s">
        <v>127</v>
      </c>
      <c r="B50" s="129" t="s">
        <v>132</v>
      </c>
      <c r="C50" s="130">
        <v>0.32800000000000001</v>
      </c>
      <c r="D50" s="130" t="s">
        <v>130</v>
      </c>
      <c r="E50" s="130">
        <v>1.56</v>
      </c>
      <c r="F50" s="131" t="s">
        <v>274</v>
      </c>
      <c r="G50" s="132">
        <v>0.6</v>
      </c>
      <c r="H50" s="130" t="s">
        <v>283</v>
      </c>
      <c r="I50" s="133">
        <v>1.03</v>
      </c>
      <c r="J50" s="97"/>
      <c r="K50" s="97"/>
      <c r="L50" s="97"/>
      <c r="M50" s="97"/>
      <c r="N50" s="97"/>
    </row>
    <row r="51" spans="1:14" x14ac:dyDescent="0.3">
      <c r="A51" s="128" t="s">
        <v>112</v>
      </c>
      <c r="B51" s="129" t="s">
        <v>132</v>
      </c>
      <c r="C51" s="130">
        <v>0.32600000000000001</v>
      </c>
      <c r="D51" s="130" t="s">
        <v>130</v>
      </c>
      <c r="E51" s="130">
        <v>1.56</v>
      </c>
      <c r="F51" s="131" t="s">
        <v>274</v>
      </c>
      <c r="G51" s="132">
        <v>0.6</v>
      </c>
      <c r="H51" s="130" t="s">
        <v>283</v>
      </c>
      <c r="I51" s="133">
        <v>1.03</v>
      </c>
      <c r="J51" s="97"/>
      <c r="K51" s="97"/>
      <c r="L51" s="97"/>
      <c r="M51" s="97"/>
      <c r="N51" s="97"/>
    </row>
    <row r="52" spans="1:14" x14ac:dyDescent="0.3">
      <c r="A52" s="128" t="s">
        <v>113</v>
      </c>
      <c r="B52" s="129" t="s">
        <v>132</v>
      </c>
      <c r="C52" s="130">
        <v>0.35899999999999999</v>
      </c>
      <c r="D52" s="130" t="s">
        <v>130</v>
      </c>
      <c r="E52" s="130">
        <v>1.56</v>
      </c>
      <c r="F52" s="131" t="s">
        <v>274</v>
      </c>
      <c r="G52" s="132">
        <v>0.6</v>
      </c>
      <c r="H52" s="130" t="s">
        <v>283</v>
      </c>
      <c r="I52" s="133">
        <v>1.03</v>
      </c>
      <c r="J52" s="97"/>
      <c r="K52" s="97"/>
      <c r="L52" s="97"/>
      <c r="M52" s="97"/>
      <c r="N52" s="97"/>
    </row>
    <row r="53" spans="1:14" x14ac:dyDescent="0.3">
      <c r="A53" s="128" t="s">
        <v>114</v>
      </c>
      <c r="B53" s="129" t="s">
        <v>132</v>
      </c>
      <c r="C53" s="130">
        <v>0.34599999999999997</v>
      </c>
      <c r="D53" s="130" t="s">
        <v>130</v>
      </c>
      <c r="E53" s="130">
        <v>1.56</v>
      </c>
      <c r="F53" s="131" t="s">
        <v>274</v>
      </c>
      <c r="G53" s="132">
        <v>0.6</v>
      </c>
      <c r="H53" s="130" t="s">
        <v>283</v>
      </c>
      <c r="I53" s="133">
        <v>1.03</v>
      </c>
      <c r="J53" s="97"/>
      <c r="K53" s="97"/>
      <c r="L53" s="97"/>
      <c r="M53" s="97"/>
      <c r="N53" s="97"/>
    </row>
    <row r="54" spans="1:14" x14ac:dyDescent="0.3">
      <c r="A54" s="128" t="s">
        <v>115</v>
      </c>
      <c r="B54" s="129" t="s">
        <v>132</v>
      </c>
      <c r="C54" s="130">
        <v>0.32600000000000001</v>
      </c>
      <c r="D54" s="130" t="s">
        <v>130</v>
      </c>
      <c r="E54" s="130">
        <v>1.56</v>
      </c>
      <c r="F54" s="131" t="s">
        <v>274</v>
      </c>
      <c r="G54" s="132">
        <v>0.6</v>
      </c>
      <c r="H54" s="130" t="s">
        <v>283</v>
      </c>
      <c r="I54" s="133">
        <v>1.03</v>
      </c>
      <c r="J54" s="97"/>
      <c r="K54" s="97"/>
      <c r="L54" s="97"/>
      <c r="M54" s="97"/>
      <c r="N54" s="97"/>
    </row>
    <row r="55" spans="1:14" x14ac:dyDescent="0.3">
      <c r="A55" s="128" t="s">
        <v>116</v>
      </c>
      <c r="B55" s="129" t="s">
        <v>132</v>
      </c>
      <c r="C55" s="130">
        <v>0.30499999999999999</v>
      </c>
      <c r="D55" s="130" t="s">
        <v>130</v>
      </c>
      <c r="E55" s="130">
        <v>1.56</v>
      </c>
      <c r="F55" s="131" t="s">
        <v>274</v>
      </c>
      <c r="G55" s="132">
        <v>0.6</v>
      </c>
      <c r="H55" s="130" t="s">
        <v>283</v>
      </c>
      <c r="I55" s="133">
        <v>1.03</v>
      </c>
      <c r="J55" s="97"/>
      <c r="K55" s="97"/>
      <c r="L55" s="97"/>
      <c r="M55" s="97"/>
      <c r="N55" s="97"/>
    </row>
    <row r="56" spans="1:14" x14ac:dyDescent="0.3">
      <c r="A56" s="128" t="s">
        <v>128</v>
      </c>
      <c r="B56" s="129" t="s">
        <v>132</v>
      </c>
      <c r="C56" s="130">
        <v>0.32300000000000001</v>
      </c>
      <c r="D56" s="130" t="s">
        <v>130</v>
      </c>
      <c r="E56" s="130">
        <v>1.56</v>
      </c>
      <c r="F56" s="131" t="s">
        <v>274</v>
      </c>
      <c r="G56" s="132">
        <v>0.6</v>
      </c>
      <c r="H56" s="130" t="s">
        <v>283</v>
      </c>
      <c r="I56" s="133">
        <v>1.03</v>
      </c>
      <c r="J56" s="97"/>
      <c r="K56" s="97"/>
      <c r="L56" s="97"/>
      <c r="M56" s="97"/>
      <c r="N56" s="97"/>
    </row>
    <row r="57" spans="1:14" x14ac:dyDescent="0.3">
      <c r="A57" s="128" t="s">
        <v>129</v>
      </c>
      <c r="B57" s="129" t="s">
        <v>132</v>
      </c>
      <c r="C57" s="130">
        <v>0.36699999999999999</v>
      </c>
      <c r="D57" s="130" t="s">
        <v>130</v>
      </c>
      <c r="E57" s="130">
        <v>1.56</v>
      </c>
      <c r="F57" s="131" t="s">
        <v>274</v>
      </c>
      <c r="G57" s="132">
        <v>0.6</v>
      </c>
      <c r="H57" s="130" t="s">
        <v>283</v>
      </c>
      <c r="I57" s="133">
        <v>1.03</v>
      </c>
      <c r="J57" s="97"/>
      <c r="K57" s="97"/>
      <c r="L57" s="97"/>
      <c r="M57" s="97"/>
      <c r="N57" s="97"/>
    </row>
    <row r="58" spans="1:14" x14ac:dyDescent="0.3">
      <c r="A58" s="128" t="s">
        <v>117</v>
      </c>
      <c r="B58" s="129" t="s">
        <v>132</v>
      </c>
      <c r="C58" s="130">
        <v>0.36</v>
      </c>
      <c r="D58" s="130" t="s">
        <v>130</v>
      </c>
      <c r="E58" s="130">
        <v>1.56</v>
      </c>
      <c r="F58" s="131" t="s">
        <v>274</v>
      </c>
      <c r="G58" s="132">
        <v>0.6</v>
      </c>
      <c r="H58" s="130" t="s">
        <v>283</v>
      </c>
      <c r="I58" s="133">
        <v>1.03</v>
      </c>
      <c r="J58" s="97"/>
      <c r="K58" s="97"/>
      <c r="L58" s="97"/>
      <c r="M58" s="97"/>
      <c r="N58" s="97"/>
    </row>
    <row r="59" spans="1:14" x14ac:dyDescent="0.3">
      <c r="A59" s="128" t="s">
        <v>118</v>
      </c>
      <c r="B59" s="129" t="s">
        <v>132</v>
      </c>
      <c r="C59" s="130">
        <v>0.36799999999999999</v>
      </c>
      <c r="D59" s="130" t="s">
        <v>130</v>
      </c>
      <c r="E59" s="130">
        <v>1.56</v>
      </c>
      <c r="F59" s="131" t="s">
        <v>274</v>
      </c>
      <c r="G59" s="132">
        <v>0.6</v>
      </c>
      <c r="H59" s="130" t="s">
        <v>283</v>
      </c>
      <c r="I59" s="133">
        <v>1.03</v>
      </c>
      <c r="J59" s="97"/>
      <c r="K59" s="97"/>
      <c r="L59" s="97"/>
      <c r="M59" s="97"/>
      <c r="N59" s="97"/>
    </row>
    <row r="60" spans="1:14" x14ac:dyDescent="0.3">
      <c r="A60" s="128" t="s">
        <v>119</v>
      </c>
      <c r="B60" s="129" t="s">
        <v>132</v>
      </c>
      <c r="C60" s="130">
        <v>0.30599999999999999</v>
      </c>
      <c r="D60" s="130" t="s">
        <v>130</v>
      </c>
      <c r="E60" s="130">
        <v>1.56</v>
      </c>
      <c r="F60" s="131" t="s">
        <v>274</v>
      </c>
      <c r="G60" s="132">
        <v>0.6</v>
      </c>
      <c r="H60" s="130" t="s">
        <v>283</v>
      </c>
      <c r="I60" s="133">
        <v>1.03</v>
      </c>
      <c r="J60" s="97"/>
      <c r="K60" s="97"/>
      <c r="L60" s="97"/>
      <c r="M60" s="97"/>
      <c r="N60" s="97"/>
    </row>
    <row r="61" spans="1:14" x14ac:dyDescent="0.3">
      <c r="A61" s="128" t="s">
        <v>120</v>
      </c>
      <c r="B61" s="129" t="s">
        <v>132</v>
      </c>
      <c r="C61" s="130">
        <v>0.313</v>
      </c>
      <c r="D61" s="130" t="s">
        <v>130</v>
      </c>
      <c r="E61" s="130">
        <v>1.56</v>
      </c>
      <c r="F61" s="131" t="s">
        <v>274</v>
      </c>
      <c r="G61" s="132">
        <v>0.6</v>
      </c>
      <c r="H61" s="130" t="s">
        <v>283</v>
      </c>
      <c r="I61" s="133">
        <v>1.03</v>
      </c>
      <c r="J61" s="97"/>
      <c r="K61" s="97"/>
      <c r="L61" s="97"/>
      <c r="M61" s="97"/>
      <c r="N61" s="97"/>
    </row>
    <row r="62" spans="1:14" x14ac:dyDescent="0.3">
      <c r="A62" s="128" t="s">
        <v>32</v>
      </c>
      <c r="B62" s="129" t="s">
        <v>133</v>
      </c>
      <c r="C62" s="130">
        <v>0.37</v>
      </c>
      <c r="D62" s="130" t="s">
        <v>161</v>
      </c>
      <c r="E62" s="130">
        <v>1.56</v>
      </c>
      <c r="F62" s="131" t="s">
        <v>274</v>
      </c>
      <c r="G62" s="132">
        <v>0.6</v>
      </c>
      <c r="H62" s="130" t="s">
        <v>283</v>
      </c>
      <c r="I62" s="133">
        <v>1.03</v>
      </c>
      <c r="J62" s="97"/>
      <c r="K62" s="97"/>
      <c r="L62" s="97"/>
      <c r="M62" s="97"/>
      <c r="N62" s="97"/>
    </row>
    <row r="63" spans="1:14" x14ac:dyDescent="0.3">
      <c r="A63" s="128" t="s">
        <v>90</v>
      </c>
      <c r="B63" s="129" t="s">
        <v>83</v>
      </c>
      <c r="C63" s="130">
        <v>0.45</v>
      </c>
      <c r="D63" s="130" t="s">
        <v>161</v>
      </c>
      <c r="E63" s="130">
        <v>1.3</v>
      </c>
      <c r="F63" s="131" t="s">
        <v>274</v>
      </c>
      <c r="G63" s="132">
        <v>0.45</v>
      </c>
      <c r="H63" s="130" t="s">
        <v>276</v>
      </c>
      <c r="I63" s="133">
        <v>0.43</v>
      </c>
      <c r="J63" s="97"/>
      <c r="K63" s="97"/>
      <c r="L63" s="97"/>
      <c r="M63" s="97"/>
      <c r="N63" s="97"/>
    </row>
    <row r="64" spans="1:14" x14ac:dyDescent="0.3">
      <c r="A64" s="128" t="s">
        <v>33</v>
      </c>
      <c r="B64" s="129" t="s">
        <v>134</v>
      </c>
      <c r="C64" s="130">
        <v>0.39</v>
      </c>
      <c r="D64" s="130" t="s">
        <v>161</v>
      </c>
      <c r="E64" s="130">
        <v>1.3</v>
      </c>
      <c r="F64" s="131" t="s">
        <v>274</v>
      </c>
      <c r="G64" s="132">
        <v>0.45</v>
      </c>
      <c r="H64" s="130" t="s">
        <v>276</v>
      </c>
      <c r="I64" s="133">
        <v>0.43</v>
      </c>
      <c r="J64" s="97"/>
      <c r="K64" s="97"/>
      <c r="L64" s="97"/>
      <c r="M64" s="97"/>
      <c r="N64" s="97"/>
    </row>
    <row r="65" spans="1:14" x14ac:dyDescent="0.3">
      <c r="A65" s="128" t="s">
        <v>34</v>
      </c>
      <c r="B65" s="129" t="s">
        <v>135</v>
      </c>
      <c r="C65" s="130">
        <v>0.44</v>
      </c>
      <c r="D65" s="130" t="s">
        <v>161</v>
      </c>
      <c r="E65" s="130">
        <v>1.3</v>
      </c>
      <c r="F65" s="131" t="s">
        <v>274</v>
      </c>
      <c r="G65" s="132">
        <v>0.45</v>
      </c>
      <c r="H65" s="130" t="s">
        <v>276</v>
      </c>
      <c r="I65" s="133">
        <v>0.43</v>
      </c>
      <c r="J65" s="97"/>
      <c r="K65" s="97"/>
      <c r="L65" s="97"/>
      <c r="M65" s="97"/>
      <c r="N65" s="97"/>
    </row>
    <row r="66" spans="1:14" x14ac:dyDescent="0.3">
      <c r="A66" s="128" t="s">
        <v>35</v>
      </c>
      <c r="B66" s="129" t="s">
        <v>84</v>
      </c>
      <c r="C66" s="130">
        <v>0.46</v>
      </c>
      <c r="D66" s="130" t="s">
        <v>161</v>
      </c>
      <c r="E66" s="130">
        <v>1.3</v>
      </c>
      <c r="F66" s="131" t="s">
        <v>274</v>
      </c>
      <c r="G66" s="132">
        <v>0.45</v>
      </c>
      <c r="H66" s="130" t="s">
        <v>276</v>
      </c>
      <c r="I66" s="133">
        <v>0.43</v>
      </c>
      <c r="J66" s="97"/>
      <c r="K66" s="97"/>
      <c r="L66" s="97"/>
      <c r="M66" s="97"/>
      <c r="N66" s="97"/>
    </row>
    <row r="67" spans="1:14" x14ac:dyDescent="0.3">
      <c r="A67" s="128" t="s">
        <v>36</v>
      </c>
      <c r="B67" s="129" t="s">
        <v>85</v>
      </c>
      <c r="C67" s="130">
        <v>0.46</v>
      </c>
      <c r="D67" s="130" t="s">
        <v>161</v>
      </c>
      <c r="E67" s="130">
        <v>1.3</v>
      </c>
      <c r="F67" s="131" t="s">
        <v>274</v>
      </c>
      <c r="G67" s="132">
        <v>0.45</v>
      </c>
      <c r="H67" s="130" t="s">
        <v>152</v>
      </c>
      <c r="I67" s="133">
        <v>0.59</v>
      </c>
      <c r="J67" s="97"/>
      <c r="K67" s="97"/>
      <c r="L67" s="97"/>
      <c r="M67" s="97"/>
      <c r="N67" s="97"/>
    </row>
    <row r="68" spans="1:14" x14ac:dyDescent="0.3">
      <c r="A68" s="128" t="s">
        <v>37</v>
      </c>
      <c r="B68" s="129" t="s">
        <v>136</v>
      </c>
      <c r="C68" s="130">
        <v>0.44</v>
      </c>
      <c r="D68" s="130" t="s">
        <v>161</v>
      </c>
      <c r="E68" s="130">
        <v>1.3</v>
      </c>
      <c r="F68" s="131" t="s">
        <v>274</v>
      </c>
      <c r="G68" s="132">
        <v>0.45</v>
      </c>
      <c r="H68" s="130" t="s">
        <v>276</v>
      </c>
      <c r="I68" s="133">
        <v>0.43</v>
      </c>
      <c r="J68" s="97"/>
      <c r="K68" s="97"/>
      <c r="L68" s="97"/>
      <c r="M68" s="97"/>
      <c r="N68" s="97"/>
    </row>
    <row r="69" spans="1:14" x14ac:dyDescent="0.3">
      <c r="A69" s="128" t="s">
        <v>38</v>
      </c>
      <c r="B69" s="129" t="s">
        <v>86</v>
      </c>
      <c r="C69" s="130">
        <v>0.46</v>
      </c>
      <c r="D69" s="130" t="s">
        <v>161</v>
      </c>
      <c r="E69" s="130">
        <v>1.3</v>
      </c>
      <c r="F69" s="131" t="s">
        <v>274</v>
      </c>
      <c r="G69" s="132">
        <v>0.45</v>
      </c>
      <c r="H69" s="130" t="s">
        <v>276</v>
      </c>
      <c r="I69" s="133">
        <v>0.43</v>
      </c>
      <c r="J69" s="97"/>
      <c r="K69" s="97"/>
      <c r="L69" s="97"/>
      <c r="M69" s="97"/>
      <c r="N69" s="97"/>
    </row>
    <row r="70" spans="1:14" x14ac:dyDescent="0.3">
      <c r="A70" s="128" t="s">
        <v>39</v>
      </c>
      <c r="B70" s="129" t="s">
        <v>137</v>
      </c>
      <c r="C70" s="130">
        <v>0.48</v>
      </c>
      <c r="D70" s="130" t="s">
        <v>161</v>
      </c>
      <c r="E70" s="130">
        <v>2.4</v>
      </c>
      <c r="F70" s="130" t="s">
        <v>284</v>
      </c>
      <c r="G70" s="132">
        <v>0.45</v>
      </c>
      <c r="H70" s="130" t="s">
        <v>276</v>
      </c>
      <c r="I70" s="133">
        <v>0.43</v>
      </c>
      <c r="J70" s="97"/>
      <c r="K70" s="97"/>
      <c r="L70" s="97"/>
      <c r="M70" s="97"/>
      <c r="N70" s="97"/>
    </row>
    <row r="71" spans="1:14" x14ac:dyDescent="0.3">
      <c r="A71" s="128" t="s">
        <v>40</v>
      </c>
      <c r="B71" s="129" t="s">
        <v>87</v>
      </c>
      <c r="C71" s="130">
        <v>0.46</v>
      </c>
      <c r="D71" s="130" t="s">
        <v>150</v>
      </c>
      <c r="E71" s="130">
        <v>1.3</v>
      </c>
      <c r="F71" s="131" t="s">
        <v>274</v>
      </c>
      <c r="G71" s="132">
        <v>0.45</v>
      </c>
      <c r="H71" s="130" t="s">
        <v>276</v>
      </c>
      <c r="I71" s="133">
        <v>0.43</v>
      </c>
      <c r="J71" s="97"/>
      <c r="K71" s="97"/>
      <c r="L71" s="97"/>
      <c r="M71" s="97"/>
      <c r="N71" s="97"/>
    </row>
    <row r="72" spans="1:14" x14ac:dyDescent="0.3">
      <c r="A72" s="128" t="s">
        <v>41</v>
      </c>
      <c r="B72" s="129" t="s">
        <v>88</v>
      </c>
      <c r="C72" s="130">
        <v>0.44</v>
      </c>
      <c r="D72" s="130" t="s">
        <v>161</v>
      </c>
      <c r="E72" s="130">
        <v>1.3</v>
      </c>
      <c r="F72" s="131" t="s">
        <v>274</v>
      </c>
      <c r="G72" s="132">
        <v>0.45</v>
      </c>
      <c r="H72" s="130" t="s">
        <v>276</v>
      </c>
      <c r="I72" s="133">
        <v>0.43</v>
      </c>
      <c r="J72" s="97"/>
      <c r="K72" s="97"/>
      <c r="L72" s="97"/>
      <c r="M72" s="97"/>
      <c r="N72" s="97"/>
    </row>
    <row r="73" spans="1:14" x14ac:dyDescent="0.3">
      <c r="A73" s="128" t="s">
        <v>138</v>
      </c>
      <c r="B73" s="129" t="s">
        <v>140</v>
      </c>
      <c r="C73" s="130">
        <v>0.46</v>
      </c>
      <c r="D73" s="130" t="s">
        <v>151</v>
      </c>
      <c r="E73" s="130">
        <v>1.3</v>
      </c>
      <c r="F73" s="131" t="s">
        <v>274</v>
      </c>
      <c r="G73" s="132">
        <v>0.45</v>
      </c>
      <c r="H73" s="130" t="s">
        <v>276</v>
      </c>
      <c r="I73" s="133">
        <v>0.43</v>
      </c>
      <c r="J73" s="97"/>
      <c r="K73" s="97"/>
      <c r="L73" s="97"/>
      <c r="M73" s="97"/>
      <c r="N73" s="97"/>
    </row>
    <row r="74" spans="1:14" x14ac:dyDescent="0.3">
      <c r="A74" s="128" t="s">
        <v>42</v>
      </c>
      <c r="B74" s="129" t="s">
        <v>139</v>
      </c>
      <c r="C74" s="130">
        <v>0.34</v>
      </c>
      <c r="D74" s="130" t="s">
        <v>161</v>
      </c>
      <c r="E74" s="130">
        <v>1.3</v>
      </c>
      <c r="F74" s="131" t="s">
        <v>274</v>
      </c>
      <c r="G74" s="132">
        <v>0.45</v>
      </c>
      <c r="H74" s="130" t="s">
        <v>276</v>
      </c>
      <c r="I74" s="133">
        <v>0.43</v>
      </c>
      <c r="J74" s="97"/>
      <c r="K74" s="97"/>
      <c r="L74" s="97"/>
      <c r="M74" s="97"/>
      <c r="N74" s="97"/>
    </row>
    <row r="75" spans="1:14" x14ac:dyDescent="0.3">
      <c r="A75" s="128" t="s">
        <v>43</v>
      </c>
      <c r="B75" s="129" t="s">
        <v>162</v>
      </c>
      <c r="C75" s="130">
        <v>0.5</v>
      </c>
      <c r="D75" s="130" t="s">
        <v>161</v>
      </c>
      <c r="E75" s="130">
        <v>1.56</v>
      </c>
      <c r="F75" s="131" t="s">
        <v>274</v>
      </c>
      <c r="G75" s="132">
        <v>0.53</v>
      </c>
      <c r="H75" s="130" t="s">
        <v>275</v>
      </c>
      <c r="I75" s="133">
        <v>0.25</v>
      </c>
      <c r="J75" s="97"/>
      <c r="K75" s="97"/>
      <c r="L75" s="97"/>
      <c r="M75" s="97"/>
      <c r="N75" s="97"/>
    </row>
    <row r="76" spans="1:14" x14ac:dyDescent="0.3">
      <c r="A76" s="128" t="s">
        <v>44</v>
      </c>
      <c r="B76" s="129" t="s">
        <v>89</v>
      </c>
      <c r="C76" s="130">
        <v>0.57999999999999996</v>
      </c>
      <c r="D76" s="130" t="s">
        <v>161</v>
      </c>
      <c r="E76" s="130">
        <v>1.56</v>
      </c>
      <c r="F76" s="131" t="s">
        <v>274</v>
      </c>
      <c r="G76" s="132">
        <v>0.3</v>
      </c>
      <c r="H76" s="130" t="s">
        <v>277</v>
      </c>
      <c r="I76" s="133">
        <v>0.25</v>
      </c>
      <c r="J76" s="97"/>
      <c r="K76" s="97"/>
      <c r="L76" s="97"/>
      <c r="M76" s="97"/>
      <c r="N76" s="97"/>
    </row>
    <row r="77" spans="1:14" x14ac:dyDescent="0.3">
      <c r="A77" s="128" t="s">
        <v>47</v>
      </c>
      <c r="B77" s="129" t="s">
        <v>141</v>
      </c>
      <c r="C77" s="130">
        <v>0.37</v>
      </c>
      <c r="D77" s="130" t="s">
        <v>161</v>
      </c>
      <c r="E77" s="130">
        <v>1.3</v>
      </c>
      <c r="F77" s="131" t="s">
        <v>274</v>
      </c>
      <c r="G77" s="132">
        <v>0.55000000000000004</v>
      </c>
      <c r="H77" s="130" t="s">
        <v>152</v>
      </c>
      <c r="I77" s="133">
        <v>0.43</v>
      </c>
      <c r="J77" s="97"/>
      <c r="K77" s="97"/>
      <c r="L77" s="97"/>
      <c r="M77" s="97"/>
      <c r="N77" s="97"/>
    </row>
    <row r="78" spans="1:14" x14ac:dyDescent="0.3">
      <c r="A78" s="128" t="s">
        <v>45</v>
      </c>
      <c r="B78" s="129" t="s">
        <v>96</v>
      </c>
      <c r="C78" s="130">
        <v>0.37</v>
      </c>
      <c r="D78" s="130" t="s">
        <v>161</v>
      </c>
      <c r="E78" s="130">
        <v>1.3</v>
      </c>
      <c r="F78" s="131" t="s">
        <v>274</v>
      </c>
      <c r="G78" s="132">
        <v>0.55000000000000004</v>
      </c>
      <c r="H78" s="130" t="s">
        <v>152</v>
      </c>
      <c r="I78" s="133">
        <v>0.43</v>
      </c>
      <c r="J78" s="97"/>
      <c r="K78" s="97"/>
      <c r="L78" s="97"/>
      <c r="M78" s="97"/>
      <c r="N78" s="97"/>
    </row>
    <row r="79" spans="1:14" x14ac:dyDescent="0.3">
      <c r="A79" s="128" t="s">
        <v>46</v>
      </c>
      <c r="B79" s="129" t="s">
        <v>95</v>
      </c>
      <c r="C79" s="130">
        <v>0.38</v>
      </c>
      <c r="D79" s="130" t="s">
        <v>161</v>
      </c>
      <c r="E79" s="130">
        <v>1.3</v>
      </c>
      <c r="F79" s="131" t="s">
        <v>274</v>
      </c>
      <c r="G79" s="132">
        <v>0.55000000000000004</v>
      </c>
      <c r="H79" s="130" t="s">
        <v>153</v>
      </c>
      <c r="I79" s="133">
        <v>0.43</v>
      </c>
      <c r="J79" s="97"/>
      <c r="K79" s="97"/>
      <c r="L79" s="97"/>
      <c r="M79" s="97"/>
      <c r="N79" s="97"/>
    </row>
    <row r="80" spans="1:14" x14ac:dyDescent="0.3">
      <c r="A80" s="128" t="s">
        <v>48</v>
      </c>
      <c r="B80" s="129" t="s">
        <v>94</v>
      </c>
      <c r="C80" s="130">
        <v>0.36</v>
      </c>
      <c r="D80" s="130" t="s">
        <v>161</v>
      </c>
      <c r="E80" s="130">
        <v>1.3</v>
      </c>
      <c r="F80" s="131" t="s">
        <v>274</v>
      </c>
      <c r="G80" s="132">
        <v>0.55000000000000004</v>
      </c>
      <c r="H80" s="130" t="s">
        <v>153</v>
      </c>
      <c r="I80" s="133">
        <v>0.43</v>
      </c>
      <c r="J80" s="97"/>
      <c r="K80" s="97"/>
      <c r="L80" s="97"/>
      <c r="M80" s="97"/>
      <c r="N80" s="97"/>
    </row>
    <row r="81" spans="1:14" x14ac:dyDescent="0.3">
      <c r="A81" s="128" t="s">
        <v>49</v>
      </c>
      <c r="B81" s="129" t="s">
        <v>142</v>
      </c>
      <c r="C81" s="130">
        <v>0.37</v>
      </c>
      <c r="D81" s="130" t="s">
        <v>161</v>
      </c>
      <c r="E81" s="130">
        <v>1.56</v>
      </c>
      <c r="F81" s="131" t="s">
        <v>274</v>
      </c>
      <c r="G81" s="132">
        <v>0.43</v>
      </c>
      <c r="H81" s="130" t="s">
        <v>278</v>
      </c>
      <c r="I81" s="133">
        <v>0.25</v>
      </c>
      <c r="J81" s="97"/>
      <c r="K81" s="97"/>
      <c r="L81" s="97"/>
      <c r="M81" s="97"/>
      <c r="N81" s="97"/>
    </row>
    <row r="82" spans="1:14" x14ac:dyDescent="0.3">
      <c r="A82" s="128" t="s">
        <v>158</v>
      </c>
      <c r="B82" s="129" t="s">
        <v>159</v>
      </c>
      <c r="C82" s="130">
        <v>0.35</v>
      </c>
      <c r="D82" s="130" t="s">
        <v>160</v>
      </c>
      <c r="E82" s="130">
        <v>1.3</v>
      </c>
      <c r="F82" s="131" t="s">
        <v>274</v>
      </c>
      <c r="G82" s="132">
        <v>0.55000000000000004</v>
      </c>
      <c r="H82" s="130" t="s">
        <v>153</v>
      </c>
      <c r="I82" s="133">
        <v>0.43</v>
      </c>
      <c r="J82" s="97"/>
      <c r="K82" s="97"/>
      <c r="L82" s="97"/>
      <c r="M82" s="97"/>
      <c r="N82" s="97"/>
    </row>
    <row r="83" spans="1:14" x14ac:dyDescent="0.3">
      <c r="A83" s="128" t="s">
        <v>156</v>
      </c>
      <c r="B83" s="129" t="s">
        <v>157</v>
      </c>
      <c r="C83" s="130">
        <v>0.34</v>
      </c>
      <c r="D83" s="130" t="s">
        <v>161</v>
      </c>
      <c r="E83" s="130">
        <v>1.3</v>
      </c>
      <c r="F83" s="131" t="s">
        <v>274</v>
      </c>
      <c r="G83" s="132">
        <v>0.55000000000000004</v>
      </c>
      <c r="H83" s="130" t="s">
        <v>153</v>
      </c>
      <c r="I83" s="133">
        <v>0.43</v>
      </c>
      <c r="J83" s="97"/>
      <c r="K83" s="97"/>
      <c r="L83" s="97"/>
      <c r="M83" s="97"/>
      <c r="N83" s="97"/>
    </row>
    <row r="84" spans="1:14" x14ac:dyDescent="0.3">
      <c r="A84" s="128" t="s">
        <v>92</v>
      </c>
      <c r="B84" s="129" t="s">
        <v>93</v>
      </c>
      <c r="C84" s="130">
        <v>0.31</v>
      </c>
      <c r="D84" s="130" t="s">
        <v>161</v>
      </c>
      <c r="E84" s="130">
        <v>1.3</v>
      </c>
      <c r="F84" s="131" t="s">
        <v>274</v>
      </c>
      <c r="G84" s="132">
        <v>0.55000000000000004</v>
      </c>
      <c r="H84" s="130" t="s">
        <v>153</v>
      </c>
      <c r="I84" s="133">
        <v>0.43</v>
      </c>
      <c r="J84" s="97"/>
      <c r="K84" s="97"/>
      <c r="L84" s="97"/>
      <c r="M84" s="97"/>
      <c r="N84" s="97"/>
    </row>
    <row r="85" spans="1:14" x14ac:dyDescent="0.3">
      <c r="A85" s="128" t="s">
        <v>50</v>
      </c>
      <c r="B85" s="129" t="s">
        <v>143</v>
      </c>
      <c r="C85" s="130">
        <v>0.43</v>
      </c>
      <c r="D85" s="130" t="s">
        <v>161</v>
      </c>
      <c r="E85" s="130">
        <v>1.56</v>
      </c>
      <c r="F85" s="131" t="s">
        <v>274</v>
      </c>
      <c r="G85" s="132">
        <v>0.53</v>
      </c>
      <c r="H85" s="130" t="s">
        <v>275</v>
      </c>
      <c r="I85" s="133">
        <v>0.25</v>
      </c>
      <c r="J85" s="97"/>
      <c r="K85" s="97"/>
      <c r="L85" s="97"/>
      <c r="M85" s="97"/>
      <c r="N85" s="97"/>
    </row>
    <row r="86" spans="1:14" x14ac:dyDescent="0.3">
      <c r="A86" s="128" t="s">
        <v>51</v>
      </c>
      <c r="B86" s="129" t="s">
        <v>91</v>
      </c>
      <c r="C86" s="130">
        <v>0.38</v>
      </c>
      <c r="D86" s="130" t="s">
        <v>161</v>
      </c>
      <c r="E86" s="130">
        <v>1.56</v>
      </c>
      <c r="F86" s="131" t="s">
        <v>274</v>
      </c>
      <c r="G86" s="132">
        <v>0.6</v>
      </c>
      <c r="H86" s="130" t="s">
        <v>279</v>
      </c>
      <c r="I86" s="133">
        <v>0.25</v>
      </c>
      <c r="J86" s="97"/>
      <c r="K86" s="97"/>
      <c r="L86" s="97"/>
      <c r="M86" s="97"/>
      <c r="N86" s="97"/>
    </row>
    <row r="87" spans="1:14" x14ac:dyDescent="0.3">
      <c r="A87" s="283" t="s">
        <v>321</v>
      </c>
      <c r="B87" s="284" t="s">
        <v>322</v>
      </c>
      <c r="C87" s="285">
        <v>0.41</v>
      </c>
      <c r="D87" s="285" t="s">
        <v>323</v>
      </c>
      <c r="E87" s="285">
        <v>1.56</v>
      </c>
      <c r="F87" s="286" t="s">
        <v>274</v>
      </c>
      <c r="G87" s="287">
        <v>0.43</v>
      </c>
      <c r="H87" s="285" t="s">
        <v>278</v>
      </c>
      <c r="I87" s="288">
        <v>0.25</v>
      </c>
      <c r="J87" s="97"/>
      <c r="K87" s="97"/>
      <c r="L87" s="97"/>
      <c r="M87" s="97"/>
      <c r="N87" s="97"/>
    </row>
    <row r="88" spans="1:14" x14ac:dyDescent="0.3">
      <c r="A88" s="128" t="s">
        <v>148</v>
      </c>
      <c r="B88" s="136"/>
      <c r="C88" s="130">
        <v>0.42</v>
      </c>
      <c r="D88" s="130" t="s">
        <v>161</v>
      </c>
      <c r="E88" s="130">
        <v>1.3</v>
      </c>
      <c r="F88" s="131" t="s">
        <v>274</v>
      </c>
      <c r="G88" s="137"/>
      <c r="H88" s="136"/>
      <c r="I88" s="138"/>
    </row>
    <row r="89" spans="1:14" ht="15" thickBot="1" x14ac:dyDescent="0.35">
      <c r="A89" s="139" t="s">
        <v>149</v>
      </c>
      <c r="B89" s="140"/>
      <c r="C89" s="141">
        <v>0.56999999999999995</v>
      </c>
      <c r="D89" s="142" t="s">
        <v>161</v>
      </c>
      <c r="E89" s="141">
        <v>1.56</v>
      </c>
      <c r="F89" s="141" t="s">
        <v>274</v>
      </c>
      <c r="G89" s="140"/>
      <c r="H89" s="140"/>
      <c r="I89" s="143"/>
    </row>
    <row r="93" spans="1:14" x14ac:dyDescent="0.3">
      <c r="A93" s="128" t="s">
        <v>208</v>
      </c>
    </row>
    <row r="94" spans="1:14" x14ac:dyDescent="0.3">
      <c r="A94" s="128" t="s">
        <v>209</v>
      </c>
    </row>
    <row r="95" spans="1:14" x14ac:dyDescent="0.3">
      <c r="A95" s="128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Normal="100" workbookViewId="0">
      <selection activeCell="K21" sqref="K21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8"/>
      <c r="J3" s="228"/>
      <c r="K3" s="228"/>
      <c r="L3" s="228"/>
      <c r="M3" s="228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8"/>
      <c r="J4" s="228"/>
      <c r="K4" s="228"/>
      <c r="L4" s="228"/>
      <c r="M4" s="228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4" t="s">
        <v>207</v>
      </c>
      <c r="B5" s="145" t="s">
        <v>250</v>
      </c>
      <c r="C5" s="146" t="str">
        <f>Calculateur!S2</f>
        <v>ΔStock moyen de long terme (tCO₂/ha)</v>
      </c>
      <c r="D5" s="146" t="str">
        <f>Calculateur!T2</f>
        <v>Δstock CO₂ 30 ans (tCO₂/ha)</v>
      </c>
      <c r="E5" s="146" t="s">
        <v>228</v>
      </c>
      <c r="F5" s="146" t="s">
        <v>239</v>
      </c>
      <c r="G5" s="146" t="s">
        <v>240</v>
      </c>
      <c r="H5" s="147" t="s">
        <v>241</v>
      </c>
      <c r="I5" s="148" t="s">
        <v>242</v>
      </c>
      <c r="J5" s="149" t="s">
        <v>243</v>
      </c>
      <c r="K5" s="150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1" t="str">
        <f>IF('Données projet'!$B$9="","",'Données projet'!$B$9)</f>
        <v>Douglas</v>
      </c>
      <c r="B6" s="152">
        <f>'Données projet'!D9</f>
        <v>0.96</v>
      </c>
      <c r="C6" s="153">
        <f ca="1">IF(OR('Données projet'!B9="",'Données projet'!C9="",'Données projet'!C9=0%),0,Calculateur!S3)</f>
        <v>256.47911362806866</v>
      </c>
      <c r="D6" s="153">
        <f>IF(OR('Données projet'!B9="",'Données projet'!C9="",'Données projet'!C9=0%),0,Calculateur!T3)</f>
        <v>230.93438491511529</v>
      </c>
      <c r="E6" s="153">
        <f ca="1">MIN(C6,D6)</f>
        <v>230.93438491511529</v>
      </c>
      <c r="F6" s="153">
        <f ca="1">E6*B6</f>
        <v>221.69700951851067</v>
      </c>
      <c r="G6" s="153">
        <f ca="1">F6*(100%-'Données projet'!$C$24)*(100%-'Données projet'!$C$25)*(100%-'Données projet'!$C$26)*(100%-'Données projet'!$C$27)</f>
        <v>199.5273085666596</v>
      </c>
      <c r="H6" s="154">
        <f>IF(OR('Données projet'!B9="",'Données projet'!C9="",'Données projet'!C9=0%),0,AVERAGE(Calculateur!$AC$3:$AC$33)*B6)</f>
        <v>6.3531222821355371</v>
      </c>
      <c r="I6" s="155">
        <f>H6*(100%-'Données projet'!$C$24)*(100%-'Données projet'!$C$25)*(100%-'Données projet'!$C$26)*(100%-'Données projet'!$C$27)</f>
        <v>5.7178100539219834</v>
      </c>
      <c r="J6" s="156">
        <f>IF(OR('Données projet'!B9="",'Données projet'!C9="",'Données projet'!C9=0%),0,SUM(Calculateur!$V$3:$V$33)*VLOOKUP('Données projet'!$B$9,Paramètres!$A$1:$I$89,9,0)*B6)</f>
        <v>48.745329230769222</v>
      </c>
      <c r="K6" s="157">
        <f>J6*(100%-'Données projet'!$C$24)*(100%-'Données projet'!$C$25)*(100%-'Données projet'!$C$26)*(100%-'Données projet'!$C$27)</f>
        <v>43.870796307692302</v>
      </c>
      <c r="L6" s="158">
        <f ca="1">G6+I6+K6</f>
        <v>249.1159149282739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59" t="str">
        <f>IF('Données projet'!$B$10="","",'Données projet'!$B$10)</f>
        <v>Chêne rouge d'Amérique</v>
      </c>
      <c r="B7" s="160">
        <f>'Données projet'!D10</f>
        <v>0.32000000000000006</v>
      </c>
      <c r="C7" s="153">
        <f ca="1">IF(OR('Données projet'!B10="",'Données projet'!C10="",'Données projet'!C10=0%),0,Calculateur!AN3)</f>
        <v>233.41481265653817</v>
      </c>
      <c r="D7" s="153">
        <f>IF(OR('Données projet'!B10="",'Données projet'!C10="",'Données projet'!C10=0%),0,Calculateur!AO3)</f>
        <v>300.97465452084055</v>
      </c>
      <c r="E7" s="153">
        <f t="shared" ref="E7:E15" ca="1" si="0">MIN(C7,D7)</f>
        <v>233.41481265653817</v>
      </c>
      <c r="F7" s="153">
        <f t="shared" ref="F7:F15" ca="1" si="1">E7*B7</f>
        <v>74.692740050092226</v>
      </c>
      <c r="G7" s="153">
        <f ca="1">F7*(100%-'Données projet'!$C$24)*(100%-'Données projet'!$C$25)*(100%-'Données projet'!$C$26)*(100%-'Données projet'!$C$27)</f>
        <v>67.223466045083001</v>
      </c>
      <c r="H7" s="161">
        <f>IF(OR('Données projet'!B10="",'Données projet'!C10="",'Données projet'!C10=0%),0,AVERAGE(Calculateur!$AX$3:$AX$33)*B7)</f>
        <v>0</v>
      </c>
      <c r="I7" s="155">
        <f>H7*(100%-'Données projet'!$C$24)*(100%-'Données projet'!$C$25)*(100%-'Données projet'!$C$26)*(100%-'Données projet'!$C$27)</f>
        <v>0</v>
      </c>
      <c r="J7" s="156">
        <f>IF(OR('Données projet'!B10="",'Données projet'!C10="",'Données projet'!C10=0%),0,SUM(Calculateur!$AQ$3:$AQ$33)*VLOOKUP('Données projet'!$B$10,Paramètres!$A$1:$I$89,9,0)*B7)</f>
        <v>7.5200000000000014</v>
      </c>
      <c r="K7" s="157">
        <f>J7*(100%-'Données projet'!$C$24)*(100%-'Données projet'!$C$25)*(100%-'Données projet'!$C$26)*(100%-'Données projet'!$C$27)</f>
        <v>6.7680000000000016</v>
      </c>
      <c r="L7" s="158">
        <f t="shared" ref="L7:L15" ca="1" si="2">G7+I7+K7</f>
        <v>73.991466045083001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59" t="str">
        <f>IF('Données projet'!$B$11="","",'Données projet'!$B$11)</f>
        <v>Erable sycomore</v>
      </c>
      <c r="B8" s="160">
        <f>'Données projet'!D11</f>
        <v>0.32000000000000006</v>
      </c>
      <c r="C8" s="153">
        <f ca="1">IF(OR('Données projet'!B11="",'Données projet'!C11="",'Données projet'!C11=0%),0,Calculateur!BI3)</f>
        <v>238.47463071449789</v>
      </c>
      <c r="D8" s="153">
        <f>IF(OR('Données projet'!B11="",'Données projet'!C11="",'Données projet'!C11=0%),0,Calculateur!BJ3)</f>
        <v>270.92950919803718</v>
      </c>
      <c r="E8" s="153">
        <f t="shared" ca="1" si="0"/>
        <v>238.47463071449789</v>
      </c>
      <c r="F8" s="153">
        <f t="shared" ca="1" si="1"/>
        <v>76.311881828639343</v>
      </c>
      <c r="G8" s="153">
        <f ca="1">F8*(100%-'Données projet'!$C$24)*(100%-'Données projet'!$C$25)*(100%-'Données projet'!$C$26)*(100%-'Données projet'!$C$27)</f>
        <v>68.680693645775406</v>
      </c>
      <c r="H8" s="161">
        <f>IF(OR('Données projet'!B11="",'Données projet'!C11="",'Données projet'!C11=0%),0,AVERAGE(Calculateur!$BS$3:$BS$33)*B8)</f>
        <v>0</v>
      </c>
      <c r="I8" s="155">
        <f>H8*(100%-'Données projet'!$C$24)*(100%-'Données projet'!$C$25)*(100%-'Données projet'!$C$26)*(100%-'Données projet'!$C$27)</f>
        <v>0</v>
      </c>
      <c r="J8" s="156">
        <f>IF(OR('Données projet'!B11="",'Données projet'!C11="",'Données projet'!C11=0%),0,SUM(Calculateur!$BL$3:$BL$33)*VLOOKUP('Données projet'!$B$11,Paramètres!$A$1:$I$89,9,0)*B8)</f>
        <v>7.9280000000000008</v>
      </c>
      <c r="K8" s="157">
        <f>J8*(100%-'Données projet'!$C$24)*(100%-'Données projet'!$C$25)*(100%-'Données projet'!$C$26)*(100%-'Données projet'!$C$27)</f>
        <v>7.1352000000000011</v>
      </c>
      <c r="L8" s="158">
        <f t="shared" ca="1" si="2"/>
        <v>75.815893645775404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59" t="str">
        <f>IF('Données projet'!$B$12="","",'Données projet'!$B$12)</f>
        <v/>
      </c>
      <c r="B9" s="160">
        <f>'Données projet'!D12</f>
        <v>0</v>
      </c>
      <c r="C9" s="153">
        <f>IF(OR('Données projet'!B12="",'Données projet'!C12="",'Données projet'!C12=0%),0,Calculateur!CD3)</f>
        <v>0</v>
      </c>
      <c r="D9" s="153">
        <f>IF(OR('Données projet'!B12="",'Données projet'!C12="",'Données projet'!C12=0%),0,Calculateur!CE3)</f>
        <v>0</v>
      </c>
      <c r="E9" s="153">
        <f t="shared" si="0"/>
        <v>0</v>
      </c>
      <c r="F9" s="153">
        <f t="shared" si="1"/>
        <v>0</v>
      </c>
      <c r="G9" s="153">
        <f>F9*(100%-'Données projet'!$C$24)*(100%-'Données projet'!$C$25)*(100%-'Données projet'!$C$26)*(100%-'Données projet'!$C$27)</f>
        <v>0</v>
      </c>
      <c r="H9" s="161">
        <f>IF(OR('Données projet'!B12="",'Données projet'!C12="",'Données projet'!C12=0%),0,AVERAGE(Calculateur!$CN$3:$CN$33)*B9)</f>
        <v>0</v>
      </c>
      <c r="I9" s="155">
        <f>H9*(100%-'Données projet'!$C$24)*(100%-'Données projet'!$C$25)*(100%-'Données projet'!$C$26)*(100%-'Données projet'!$C$27)</f>
        <v>0</v>
      </c>
      <c r="J9" s="156">
        <f>IF(OR('Données projet'!B12="",'Données projet'!C12="",'Données projet'!C12=0%),0,SUM(Calculateur!$CG$3:$CG$33)*VLOOKUP('Données projet'!$B$12,Paramètres!$A$1:$I$89,9,0)*B9)</f>
        <v>0</v>
      </c>
      <c r="K9" s="157">
        <f>J9*(100%-'Données projet'!$C$24)*(100%-'Données projet'!$C$25)*(100%-'Données projet'!$C$26)*(100%-'Données projet'!$C$27)</f>
        <v>0</v>
      </c>
      <c r="L9" s="158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59" t="str">
        <f>IF('Données projet'!$B$13="","",'Données projet'!$B$13)</f>
        <v/>
      </c>
      <c r="B10" s="160">
        <f>'Données projet'!D13</f>
        <v>0</v>
      </c>
      <c r="C10" s="153">
        <f>IF(OR('Données projet'!B13="",'Données projet'!C13="",'Données projet'!C13=0%),0,Calculateur!CY3)</f>
        <v>0</v>
      </c>
      <c r="D10" s="153">
        <f>IF(OR('Données projet'!B13="",'Données projet'!C13="",'Données projet'!C13=0%),0,Calculateur!CZ3)</f>
        <v>0</v>
      </c>
      <c r="E10" s="153">
        <f t="shared" si="0"/>
        <v>0</v>
      </c>
      <c r="F10" s="153">
        <f t="shared" si="1"/>
        <v>0</v>
      </c>
      <c r="G10" s="153">
        <f>F10*(100%-'Données projet'!$C$24)*(100%-'Données projet'!$C$25)*(100%-'Données projet'!$C$26)*(100%-'Données projet'!$C$27)</f>
        <v>0</v>
      </c>
      <c r="H10" s="161">
        <f>IF(OR('Données projet'!B13="",'Données projet'!C13="",'Données projet'!C13=0%),0,AVERAGE(Calculateur!$DI$3:$DI$33)*B10)</f>
        <v>0</v>
      </c>
      <c r="I10" s="155">
        <f>H10*(100%-'Données projet'!$C$24)*(100%-'Données projet'!$C$25)*(100%-'Données projet'!$C$26)*(100%-'Données projet'!$C$27)</f>
        <v>0</v>
      </c>
      <c r="J10" s="156">
        <f>IF(OR('Données projet'!B13="",'Données projet'!C13="",'Données projet'!C13=0%),0,SUM(Calculateur!$DB$3:$DB$33)*VLOOKUP('Données projet'!$B$13,Paramètres!$A$1:$I$89,9,0)*B10)</f>
        <v>0</v>
      </c>
      <c r="K10" s="157">
        <f>J10*(100%-'Données projet'!$C$24)*(100%-'Données projet'!$C$25)*(100%-'Données projet'!$C$26)*(100%-'Données projet'!$C$27)</f>
        <v>0</v>
      </c>
      <c r="L10" s="158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59" t="str">
        <f>IF('Données projet'!$B$14="","",'Données projet'!$B$14)</f>
        <v/>
      </c>
      <c r="B11" s="160">
        <f>'Données projet'!D14</f>
        <v>0</v>
      </c>
      <c r="C11" s="153">
        <f>IF(OR('Données projet'!B14="",'Données projet'!C14="",'Données projet'!C14=0%),0,Calculateur!DT3)</f>
        <v>0</v>
      </c>
      <c r="D11" s="153">
        <f>IF(OR('Données projet'!B14="",'Données projet'!C14="",'Données projet'!C14=0%),0,Calculateur!DU3)</f>
        <v>0</v>
      </c>
      <c r="E11" s="153">
        <f t="shared" si="0"/>
        <v>0</v>
      </c>
      <c r="F11" s="153">
        <f t="shared" si="1"/>
        <v>0</v>
      </c>
      <c r="G11" s="153">
        <f>F11*(100%-'Données projet'!$C$24)*(100%-'Données projet'!$C$25)*(100%-'Données projet'!$C$26)*(100%-'Données projet'!$C$27)</f>
        <v>0</v>
      </c>
      <c r="H11" s="161">
        <f>IF(OR('Données projet'!B14="",'Données projet'!C14="",'Données projet'!C14=0%),0,AVERAGE(Calculateur!$ED$3:$ED$33)*B11)</f>
        <v>0</v>
      </c>
      <c r="I11" s="155">
        <f>H11*(100%-'Données projet'!$C$24)*(100%-'Données projet'!$C$25)*(100%-'Données projet'!$C$26)*(100%-'Données projet'!$C$27)</f>
        <v>0</v>
      </c>
      <c r="J11" s="156">
        <f>IF(OR('Données projet'!B14="",'Données projet'!C14="",'Données projet'!C14=0%),0,SUM(Calculateur!$DW$3:$DW$33)*VLOOKUP('Données projet'!$B$14,Paramètres!$A$1:$I$89,9,0)*B11)</f>
        <v>0</v>
      </c>
      <c r="K11" s="157">
        <f>J11*(100%-'Données projet'!$C$24)*(100%-'Données projet'!$C$25)*(100%-'Données projet'!$C$26)*(100%-'Données projet'!$C$27)</f>
        <v>0</v>
      </c>
      <c r="L11" s="158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59" t="str">
        <f>IF('Données projet'!$B$15="","",'Données projet'!$B$15)</f>
        <v/>
      </c>
      <c r="B12" s="160">
        <f>'Données projet'!D15</f>
        <v>0</v>
      </c>
      <c r="C12" s="153">
        <f>IF(OR('Données projet'!B15="",'Données projet'!C15="",'Données projet'!C15=0%),0,Calculateur!EO3)</f>
        <v>0</v>
      </c>
      <c r="D12" s="153">
        <f>IF(OR('Données projet'!B15="",'Données projet'!C15="",'Données projet'!C15=0%),0,Calculateur!EP3)</f>
        <v>0</v>
      </c>
      <c r="E12" s="153">
        <f t="shared" si="0"/>
        <v>0</v>
      </c>
      <c r="F12" s="153">
        <f t="shared" si="1"/>
        <v>0</v>
      </c>
      <c r="G12" s="153">
        <f>F12*(100%-'Données projet'!$C$24)*(100%-'Données projet'!$C$25)*(100%-'Données projet'!$C$26)*(100%-'Données projet'!$C$27)</f>
        <v>0</v>
      </c>
      <c r="H12" s="161">
        <f>IF(OR('Données projet'!B15="",'Données projet'!C15="",'Données projet'!C15=0%),0,AVERAGE(Calculateur!$EY$3:$EY$33)*B12)</f>
        <v>0</v>
      </c>
      <c r="I12" s="155">
        <f>H12*(100%-'Données projet'!$C$24)*(100%-'Données projet'!$C$25)*(100%-'Données projet'!$C$26)*(100%-'Données projet'!$C$27)</f>
        <v>0</v>
      </c>
      <c r="J12" s="156">
        <f>IF(OR('Données projet'!B15="",'Données projet'!C15="",'Données projet'!C15=0%),0,SUM(Calculateur!$ER$3:$ER$33)*VLOOKUP('Données projet'!$B$15,Paramètres!$A$1:$I$89,9,0)*B12)</f>
        <v>0</v>
      </c>
      <c r="K12" s="157">
        <f>J12*(100%-'Données projet'!$C$24)*(100%-'Données projet'!$C$25)*(100%-'Données projet'!$C$26)*(100%-'Données projet'!$C$27)</f>
        <v>0</v>
      </c>
      <c r="L12" s="158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59" t="str">
        <f>IF('Données projet'!$B$16="","",'Données projet'!$B$16)</f>
        <v/>
      </c>
      <c r="B13" s="160">
        <f>'Données projet'!D16</f>
        <v>0</v>
      </c>
      <c r="C13" s="153">
        <f>IF(OR('Données projet'!B16="",'Données projet'!C16="",'Données projet'!C16=0%),0,Calculateur!FJ3)</f>
        <v>0</v>
      </c>
      <c r="D13" s="153">
        <f>IF(OR('Données projet'!B16="",'Données projet'!C16="",'Données projet'!C16=0%),0,Calculateur!FK3)</f>
        <v>0</v>
      </c>
      <c r="E13" s="153">
        <f t="shared" si="0"/>
        <v>0</v>
      </c>
      <c r="F13" s="153">
        <f t="shared" si="1"/>
        <v>0</v>
      </c>
      <c r="G13" s="153">
        <f>F13*(100%-'Données projet'!$C$24)*(100%-'Données projet'!$C$25)*(100%-'Données projet'!$C$26)*(100%-'Données projet'!$C$27)</f>
        <v>0</v>
      </c>
      <c r="H13" s="161">
        <f>IF(OR('Données projet'!B16="",'Données projet'!C16="",'Données projet'!C16=0%),0,AVERAGE(Calculateur!$FT$3:$FT$33)*B13)</f>
        <v>0</v>
      </c>
      <c r="I13" s="155">
        <f>H13*(100%-'Données projet'!$C$24)*(100%-'Données projet'!$C$25)*(100%-'Données projet'!$C$26)*(100%-'Données projet'!$C$27)</f>
        <v>0</v>
      </c>
      <c r="J13" s="156">
        <f>IF(OR('Données projet'!C16="",'Données projet'!C16=0%),0,SUM(Calculateur!$FM$3:$FM$33)*VLOOKUP('Données projet'!$B$16,Paramètres!$A$1:$I$89,9,0)*B13)</f>
        <v>0</v>
      </c>
      <c r="K13" s="157">
        <f>J13*(100%-'Données projet'!$C$24)*(100%-'Données projet'!$C$25)*(100%-'Données projet'!$C$26)*(100%-'Données projet'!$C$27)</f>
        <v>0</v>
      </c>
      <c r="L13" s="158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59" t="str">
        <f>IF('Données projet'!$B$17="","",'Données projet'!$B$17)</f>
        <v/>
      </c>
      <c r="B14" s="160">
        <f>'Données projet'!D17</f>
        <v>0</v>
      </c>
      <c r="C14" s="153">
        <f>IF(OR('Données projet'!B17="",'Données projet'!C17="",'Données projet'!C17=0%),0,Calculateur!GE3)</f>
        <v>0</v>
      </c>
      <c r="D14" s="153">
        <f>IF(OR('Données projet'!B17="",'Données projet'!C17="",'Données projet'!C17=0%),0,Calculateur!GF3)</f>
        <v>0</v>
      </c>
      <c r="E14" s="153">
        <f t="shared" si="0"/>
        <v>0</v>
      </c>
      <c r="F14" s="153">
        <f t="shared" si="1"/>
        <v>0</v>
      </c>
      <c r="G14" s="153">
        <f>F14*(100%-'Données projet'!$C$24)*(100%-'Données projet'!$C$25)*(100%-'Données projet'!$C$26)*(100%-'Données projet'!$C$27)</f>
        <v>0</v>
      </c>
      <c r="H14" s="161">
        <f>IF(OR('Données projet'!B17="",'Données projet'!C17="",'Données projet'!C17=0%),0,AVERAGE(Calculateur!$GO$3:$GO$33)*B14)</f>
        <v>0</v>
      </c>
      <c r="I14" s="155">
        <f>H14*(100%-'Données projet'!$C$24)*(100%-'Données projet'!$C$25)*(100%-'Données projet'!$C$26)*(100%-'Données projet'!$C$27)</f>
        <v>0</v>
      </c>
      <c r="J14" s="156">
        <f>IF(OR('Données projet'!B17="",'Données projet'!C17="",'Données projet'!C17=0%),0,SUM(Calculateur!$GH$3:$GH$33)*VLOOKUP('Données projet'!$B$17,Paramètres!$A$1:$I$89,9,0)*B14)</f>
        <v>0</v>
      </c>
      <c r="K14" s="157">
        <f>J14*(100%-'Données projet'!$C$24)*(100%-'Données projet'!$C$25)*(100%-'Données projet'!$C$26)*(100%-'Données projet'!$C$27)</f>
        <v>0</v>
      </c>
      <c r="L14" s="158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2" t="str">
        <f>IF('Données projet'!B18="","",'Données projet'!B18)</f>
        <v/>
      </c>
      <c r="B15" s="163">
        <f>'Données projet'!D18</f>
        <v>0</v>
      </c>
      <c r="C15" s="164">
        <f>IF(OR('Données projet'!B18="",'Données projet'!C18="",'Données projet'!C18=0%),0,Calculateur!GZ3)</f>
        <v>0</v>
      </c>
      <c r="D15" s="164">
        <f>IF(OR('Données projet'!B18="",'Données projet'!C18="",'Données projet'!C18=0%),0,Calculateur!HA3)</f>
        <v>0</v>
      </c>
      <c r="E15" s="164">
        <f t="shared" si="0"/>
        <v>0</v>
      </c>
      <c r="F15" s="165">
        <f t="shared" si="1"/>
        <v>0</v>
      </c>
      <c r="G15" s="165">
        <f>F15*(100%-'Données projet'!$C$24)*(100%-'Données projet'!$C$25)*(100%-'Données projet'!$C$26)*(100%-'Données projet'!$C$27)</f>
        <v>0</v>
      </c>
      <c r="H15" s="166">
        <f>IF(OR('Données projet'!B18="",'Données projet'!C18="",'Données projet'!C18=0%),0,AVERAGE(Calculateur!$HJ$3:$HJ$33)*B15)</f>
        <v>0</v>
      </c>
      <c r="I15" s="167">
        <f>H15*(100%-'Données projet'!$C$24)*(100%-'Données projet'!$C$25)*(100%-'Données projet'!$C$26)*(100%-'Données projet'!$C$27)</f>
        <v>0</v>
      </c>
      <c r="J15" s="168">
        <f>IF(OR('Données projet'!B18="",'Données projet'!C18="",'Données projet'!C18=0%),0,SUM(Calculateur!$HC$3:$HC$33)*VLOOKUP('Données projet'!$B$18,Paramètres!$A$1:$I$89,9,0)*B15)</f>
        <v>0</v>
      </c>
      <c r="K15" s="169">
        <f>J15*(100%-'Données projet'!$C$24)*(100%-'Données projet'!$C$25)*(100%-'Données projet'!$C$26)*(100%-'Données projet'!$C$27)</f>
        <v>0</v>
      </c>
      <c r="L15" s="170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3"/>
      <c r="B16" s="230"/>
      <c r="C16" s="231"/>
      <c r="D16" s="25"/>
      <c r="E16" s="25"/>
      <c r="F16" s="171">
        <f t="shared" ref="F16:L16" ca="1" si="3">SUM(F6:F15)</f>
        <v>372.70163139724224</v>
      </c>
      <c r="G16" s="172">
        <f t="shared" ca="1" si="3"/>
        <v>335.43146825751802</v>
      </c>
      <c r="H16" s="173">
        <f t="shared" si="3"/>
        <v>6.3531222821355371</v>
      </c>
      <c r="I16" s="173">
        <f t="shared" si="3"/>
        <v>5.7178100539219834</v>
      </c>
      <c r="J16" s="174">
        <f t="shared" si="3"/>
        <v>64.193329230769223</v>
      </c>
      <c r="K16" s="174">
        <f t="shared" si="3"/>
        <v>57.7739963076923</v>
      </c>
      <c r="L16" s="175">
        <f t="shared" ca="1" si="3"/>
        <v>398.92327461913231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3"/>
      <c r="B17" s="230"/>
      <c r="C17" s="231"/>
      <c r="D17" s="228"/>
      <c r="E17" s="228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3"/>
      <c r="B18" s="230"/>
      <c r="C18" s="231"/>
      <c r="D18" s="228"/>
      <c r="E18" s="228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8"/>
      <c r="J19" s="228"/>
      <c r="K19" s="228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8"/>
      <c r="J20" s="228"/>
      <c r="K20" s="228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6" t="str">
        <f>A6</f>
        <v>Douglas</v>
      </c>
      <c r="B21" s="5"/>
      <c r="C21" s="5"/>
      <c r="D21" s="5"/>
      <c r="E21" s="5"/>
      <c r="F21" s="5"/>
      <c r="G21" s="5"/>
      <c r="H21" s="5"/>
      <c r="I21" s="228"/>
      <c r="J21" s="228"/>
      <c r="K21" s="228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8"/>
      <c r="J22" s="228"/>
      <c r="K22" s="228"/>
      <c r="L22" s="228"/>
      <c r="M22" s="228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8"/>
      <c r="J23" s="228"/>
      <c r="K23" s="228"/>
      <c r="L23" s="228"/>
      <c r="M23" s="228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8"/>
      <c r="J24" s="228"/>
      <c r="K24" s="228"/>
      <c r="L24" s="228"/>
      <c r="M24" s="228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8"/>
      <c r="J25" s="228"/>
      <c r="K25" s="228"/>
      <c r="L25" s="228"/>
      <c r="M25" s="228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8"/>
      <c r="J26" s="228"/>
      <c r="K26" s="228"/>
      <c r="L26" s="228"/>
      <c r="M26" s="228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8"/>
      <c r="J27" s="228"/>
      <c r="K27" s="228"/>
      <c r="L27" s="228"/>
      <c r="M27" s="228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8"/>
      <c r="J28" s="228"/>
      <c r="K28" s="228"/>
      <c r="L28" s="228"/>
      <c r="M28" s="228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8"/>
      <c r="J29" s="228"/>
      <c r="K29" s="228"/>
      <c r="L29" s="228"/>
      <c r="M29" s="228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8"/>
      <c r="J30" s="228"/>
      <c r="K30" s="228"/>
      <c r="L30" s="228"/>
      <c r="M30" s="228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8"/>
      <c r="J31" s="228"/>
      <c r="K31" s="228"/>
      <c r="L31" s="228"/>
      <c r="M31" s="228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8"/>
      <c r="J32" s="228"/>
      <c r="K32" s="228"/>
      <c r="L32" s="228"/>
      <c r="M32" s="228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8"/>
      <c r="J33" s="228"/>
      <c r="K33" s="228"/>
      <c r="L33" s="228"/>
      <c r="M33" s="228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8"/>
      <c r="J34" s="228"/>
      <c r="K34" s="228"/>
      <c r="L34" s="228"/>
      <c r="M34" s="228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8"/>
      <c r="J35" s="228"/>
      <c r="K35" s="228"/>
      <c r="L35" s="228"/>
      <c r="M35" s="228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8"/>
      <c r="J36" s="228"/>
      <c r="K36" s="228"/>
      <c r="L36" s="228"/>
      <c r="M36" s="228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8"/>
      <c r="J37" s="228"/>
      <c r="K37" s="228"/>
      <c r="L37" s="228"/>
      <c r="M37" s="228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8"/>
      <c r="J38" s="228"/>
      <c r="K38" s="228"/>
      <c r="L38" s="228"/>
      <c r="M38" s="228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6" t="str">
        <f>A7</f>
        <v>Chêne rouge d'Amérique</v>
      </c>
      <c r="B39" s="5"/>
      <c r="C39" s="5"/>
      <c r="D39" s="5"/>
      <c r="E39" s="5"/>
      <c r="F39" s="5"/>
      <c r="G39" s="5"/>
      <c r="H39" s="5"/>
      <c r="I39" s="228"/>
      <c r="J39" s="228"/>
      <c r="K39" s="228"/>
      <c r="L39" s="228"/>
      <c r="M39" s="228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8"/>
      <c r="J40" s="228"/>
      <c r="K40" s="228"/>
      <c r="L40" s="228"/>
      <c r="M40" s="228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8"/>
      <c r="J41" s="228"/>
      <c r="K41" s="228"/>
      <c r="L41" s="228"/>
      <c r="M41" s="228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8"/>
      <c r="J42" s="228"/>
      <c r="K42" s="228"/>
      <c r="L42" s="228"/>
      <c r="M42" s="228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8"/>
      <c r="J43" s="228"/>
      <c r="K43" s="228"/>
      <c r="L43" s="228"/>
      <c r="M43" s="228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8"/>
      <c r="J44" s="228"/>
      <c r="K44" s="228"/>
      <c r="L44" s="228"/>
      <c r="M44" s="228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8"/>
      <c r="J45" s="228"/>
      <c r="K45" s="228"/>
      <c r="L45" s="228"/>
      <c r="M45" s="228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8"/>
      <c r="J46" s="228"/>
      <c r="K46" s="228"/>
      <c r="L46" s="228"/>
      <c r="M46" s="228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8"/>
      <c r="J47" s="228"/>
      <c r="K47" s="228"/>
      <c r="L47" s="228"/>
      <c r="M47" s="228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8"/>
      <c r="J48" s="228"/>
      <c r="K48" s="228"/>
      <c r="L48" s="228"/>
      <c r="M48" s="228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8"/>
      <c r="J49" s="228"/>
      <c r="K49" s="228"/>
      <c r="L49" s="228"/>
      <c r="M49" s="228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8"/>
      <c r="J50" s="228"/>
      <c r="K50" s="228"/>
      <c r="L50" s="228"/>
      <c r="M50" s="228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8"/>
      <c r="J51" s="228"/>
      <c r="K51" s="228"/>
      <c r="L51" s="228"/>
      <c r="M51" s="228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8"/>
      <c r="J52" s="228"/>
      <c r="K52" s="228"/>
      <c r="L52" s="228"/>
      <c r="M52" s="228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8"/>
      <c r="J53" s="228"/>
      <c r="K53" s="228"/>
      <c r="L53" s="228"/>
      <c r="M53" s="228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8"/>
      <c r="J54" s="228"/>
      <c r="K54" s="228"/>
      <c r="L54" s="228"/>
      <c r="M54" s="228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8"/>
      <c r="J55" s="228"/>
      <c r="K55" s="228"/>
      <c r="L55" s="228"/>
      <c r="M55" s="228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8"/>
      <c r="J56" s="228"/>
      <c r="K56" s="228"/>
      <c r="L56" s="228"/>
      <c r="M56" s="228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6" t="str">
        <f>A8</f>
        <v>Erable sycomore</v>
      </c>
      <c r="B57" s="5"/>
      <c r="C57" s="5"/>
      <c r="D57" s="5"/>
      <c r="E57" s="5"/>
      <c r="F57" s="5"/>
      <c r="G57" s="5"/>
      <c r="H57" s="5"/>
      <c r="I57" s="228"/>
      <c r="J57" s="228"/>
      <c r="K57" s="228"/>
      <c r="L57" s="228"/>
      <c r="M57" s="228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8"/>
      <c r="J58" s="228"/>
      <c r="K58" s="228"/>
      <c r="L58" s="228"/>
      <c r="M58" s="228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8"/>
      <c r="J59" s="228"/>
      <c r="K59" s="228"/>
      <c r="L59" s="228"/>
      <c r="M59" s="228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8"/>
      <c r="J60" s="228"/>
      <c r="K60" s="228"/>
      <c r="L60" s="228"/>
      <c r="M60" s="228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8"/>
      <c r="J61" s="228"/>
      <c r="K61" s="228"/>
      <c r="L61" s="228"/>
      <c r="M61" s="228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8"/>
      <c r="J62" s="228"/>
      <c r="K62" s="228"/>
      <c r="L62" s="228"/>
      <c r="M62" s="228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8"/>
      <c r="J63" s="228"/>
      <c r="K63" s="228"/>
      <c r="L63" s="228"/>
      <c r="M63" s="228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8"/>
      <c r="J64" s="228"/>
      <c r="K64" s="228"/>
      <c r="L64" s="228"/>
      <c r="M64" s="228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8"/>
      <c r="J65" s="228"/>
      <c r="K65" s="228"/>
      <c r="L65" s="228"/>
      <c r="M65" s="228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8"/>
      <c r="J66" s="228"/>
      <c r="K66" s="228"/>
      <c r="L66" s="228"/>
      <c r="M66" s="228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8"/>
      <c r="J67" s="228"/>
      <c r="K67" s="228"/>
      <c r="L67" s="228"/>
      <c r="M67" s="228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8"/>
      <c r="J68" s="228"/>
      <c r="K68" s="228"/>
      <c r="L68" s="228"/>
      <c r="M68" s="228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8"/>
      <c r="J69" s="228"/>
      <c r="K69" s="228"/>
      <c r="L69" s="228"/>
      <c r="M69" s="228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8"/>
      <c r="J70" s="228"/>
      <c r="K70" s="228"/>
      <c r="L70" s="228"/>
      <c r="M70" s="228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8"/>
      <c r="J71" s="228"/>
      <c r="K71" s="228"/>
      <c r="L71" s="228"/>
      <c r="M71" s="228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8"/>
      <c r="J72" s="228"/>
      <c r="K72" s="228"/>
      <c r="L72" s="228"/>
      <c r="M72" s="228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8"/>
      <c r="J73" s="228"/>
      <c r="K73" s="228"/>
      <c r="L73" s="228"/>
      <c r="M73" s="228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8"/>
      <c r="J74" s="228"/>
      <c r="K74" s="228"/>
      <c r="L74" s="228"/>
      <c r="M74" s="228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8"/>
      <c r="J75" s="228"/>
      <c r="K75" s="228"/>
      <c r="L75" s="228"/>
      <c r="M75" s="228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6" t="str">
        <f>A9</f>
        <v/>
      </c>
      <c r="B76" s="5"/>
      <c r="C76" s="5"/>
      <c r="D76" s="5"/>
      <c r="E76" s="5"/>
      <c r="F76" s="5"/>
      <c r="G76" s="5"/>
      <c r="H76" s="5"/>
      <c r="I76" s="228"/>
      <c r="J76" s="228"/>
      <c r="K76" s="228"/>
      <c r="L76" s="228"/>
      <c r="M76" s="228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8"/>
      <c r="J77" s="228"/>
      <c r="K77" s="228"/>
      <c r="L77" s="228"/>
      <c r="M77" s="228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8"/>
      <c r="J78" s="228"/>
      <c r="K78" s="228"/>
      <c r="L78" s="228"/>
      <c r="M78" s="228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8"/>
      <c r="J79" s="228"/>
      <c r="K79" s="228"/>
      <c r="L79" s="228"/>
      <c r="M79" s="228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8"/>
      <c r="J80" s="228"/>
      <c r="K80" s="228"/>
      <c r="L80" s="228"/>
      <c r="M80" s="228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8"/>
      <c r="J81" s="228"/>
      <c r="K81" s="228"/>
      <c r="L81" s="228"/>
      <c r="M81" s="228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8"/>
      <c r="J82" s="228"/>
      <c r="K82" s="228"/>
      <c r="L82" s="228"/>
      <c r="M82" s="228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8"/>
      <c r="J83" s="228"/>
      <c r="K83" s="228"/>
      <c r="L83" s="228"/>
      <c r="M83" s="228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8"/>
      <c r="J84" s="228"/>
      <c r="K84" s="228"/>
      <c r="L84" s="228"/>
      <c r="M84" s="228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8"/>
      <c r="J85" s="228"/>
      <c r="K85" s="228"/>
      <c r="L85" s="228"/>
      <c r="M85" s="228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8"/>
      <c r="J86" s="228"/>
      <c r="K86" s="228"/>
      <c r="L86" s="228"/>
      <c r="M86" s="228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8"/>
      <c r="J87" s="228"/>
      <c r="K87" s="228"/>
      <c r="L87" s="228"/>
      <c r="M87" s="228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8"/>
      <c r="J88" s="228"/>
      <c r="K88" s="228"/>
      <c r="L88" s="228"/>
      <c r="M88" s="228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8"/>
      <c r="J89" s="228"/>
      <c r="K89" s="228"/>
      <c r="L89" s="228"/>
      <c r="M89" s="228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8"/>
      <c r="J90" s="228"/>
      <c r="K90" s="228"/>
      <c r="L90" s="228"/>
      <c r="M90" s="228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8"/>
      <c r="J91" s="228"/>
      <c r="K91" s="228"/>
      <c r="L91" s="228"/>
      <c r="M91" s="228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8"/>
      <c r="J92" s="228"/>
      <c r="K92" s="228"/>
      <c r="L92" s="228"/>
      <c r="M92" s="228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8"/>
      <c r="J93" s="228"/>
      <c r="K93" s="228"/>
      <c r="L93" s="228"/>
      <c r="M93" s="228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6" t="str">
        <f>A10</f>
        <v/>
      </c>
      <c r="B94" s="5"/>
      <c r="C94" s="5"/>
      <c r="D94" s="5"/>
      <c r="E94" s="5"/>
      <c r="F94" s="5"/>
      <c r="G94" s="5"/>
      <c r="H94" s="5"/>
      <c r="I94" s="228"/>
      <c r="J94" s="228"/>
      <c r="K94" s="228"/>
      <c r="L94" s="228"/>
      <c r="M94" s="228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8"/>
      <c r="J95" s="228"/>
      <c r="K95" s="228"/>
      <c r="L95" s="228"/>
      <c r="M95" s="228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8"/>
      <c r="J96" s="228"/>
      <c r="K96" s="228"/>
      <c r="L96" s="228"/>
      <c r="M96" s="228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8"/>
      <c r="J97" s="228"/>
      <c r="K97" s="228"/>
      <c r="L97" s="228"/>
      <c r="M97" s="228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8"/>
      <c r="J98" s="228"/>
      <c r="K98" s="228"/>
      <c r="L98" s="228"/>
      <c r="M98" s="228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8"/>
      <c r="J99" s="228"/>
      <c r="K99" s="228"/>
      <c r="L99" s="228"/>
      <c r="M99" s="228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8"/>
      <c r="J100" s="228"/>
      <c r="K100" s="228"/>
      <c r="L100" s="228"/>
      <c r="M100" s="228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8"/>
      <c r="J101" s="228"/>
      <c r="K101" s="228"/>
      <c r="L101" s="228"/>
      <c r="M101" s="228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8"/>
      <c r="J102" s="228"/>
      <c r="K102" s="228"/>
      <c r="L102" s="228"/>
      <c r="M102" s="228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8"/>
      <c r="J103" s="228"/>
      <c r="K103" s="228"/>
      <c r="L103" s="228"/>
      <c r="M103" s="228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8"/>
      <c r="J104" s="228"/>
      <c r="K104" s="228"/>
      <c r="L104" s="228"/>
      <c r="M104" s="228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8"/>
      <c r="J105" s="228"/>
      <c r="K105" s="228"/>
      <c r="L105" s="228"/>
      <c r="M105" s="228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8"/>
      <c r="J106" s="228"/>
      <c r="K106" s="228"/>
      <c r="L106" s="228"/>
      <c r="M106" s="228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8"/>
      <c r="J107" s="228"/>
      <c r="K107" s="228"/>
      <c r="L107" s="228"/>
      <c r="M107" s="228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8"/>
      <c r="J108" s="228"/>
      <c r="K108" s="228"/>
      <c r="L108" s="228"/>
      <c r="M108" s="228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8"/>
      <c r="J109" s="228"/>
      <c r="K109" s="228"/>
      <c r="L109" s="228"/>
      <c r="M109" s="228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8"/>
      <c r="J110" s="228"/>
      <c r="K110" s="228"/>
      <c r="L110" s="228"/>
      <c r="M110" s="228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8"/>
      <c r="J111" s="228"/>
      <c r="K111" s="228"/>
      <c r="L111" s="228"/>
      <c r="M111" s="228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6" t="str">
        <f>A11</f>
        <v/>
      </c>
      <c r="B112" s="5"/>
      <c r="C112" s="5"/>
      <c r="D112" s="5"/>
      <c r="E112" s="5"/>
      <c r="F112" s="5"/>
      <c r="G112" s="5"/>
      <c r="H112" s="5"/>
      <c r="I112" s="228"/>
      <c r="J112" s="228"/>
      <c r="K112" s="228"/>
      <c r="L112" s="228"/>
      <c r="M112" s="228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8"/>
      <c r="J113" s="228"/>
      <c r="K113" s="228"/>
      <c r="L113" s="228"/>
      <c r="M113" s="228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8"/>
      <c r="J114" s="228"/>
      <c r="K114" s="228"/>
      <c r="L114" s="228"/>
      <c r="M114" s="228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8"/>
      <c r="J115" s="228"/>
      <c r="K115" s="228"/>
      <c r="L115" s="228"/>
      <c r="M115" s="228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8"/>
      <c r="J116" s="228"/>
      <c r="K116" s="228"/>
      <c r="L116" s="228"/>
      <c r="M116" s="228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8"/>
      <c r="J117" s="228"/>
      <c r="K117" s="228"/>
      <c r="L117" s="228"/>
      <c r="M117" s="228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8"/>
      <c r="J118" s="228"/>
      <c r="K118" s="228"/>
      <c r="L118" s="228"/>
      <c r="M118" s="228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8"/>
      <c r="J119" s="228"/>
      <c r="K119" s="228"/>
      <c r="L119" s="228"/>
      <c r="M119" s="228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8"/>
      <c r="J120" s="228"/>
      <c r="K120" s="228"/>
      <c r="L120" s="228"/>
      <c r="M120" s="228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8"/>
      <c r="J121" s="228"/>
      <c r="K121" s="228"/>
      <c r="L121" s="228"/>
      <c r="M121" s="228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8"/>
      <c r="J122" s="228"/>
      <c r="K122" s="228"/>
      <c r="L122" s="228"/>
      <c r="M122" s="228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8"/>
      <c r="J123" s="228"/>
      <c r="K123" s="228"/>
      <c r="L123" s="228"/>
      <c r="M123" s="228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8"/>
      <c r="J124" s="228"/>
      <c r="K124" s="228"/>
      <c r="L124" s="228"/>
      <c r="M124" s="228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8"/>
      <c r="J125" s="228"/>
      <c r="K125" s="228"/>
      <c r="L125" s="228"/>
      <c r="M125" s="228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8"/>
      <c r="J126" s="228"/>
      <c r="K126" s="228"/>
      <c r="L126" s="228"/>
      <c r="M126" s="228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8"/>
      <c r="J127" s="228"/>
      <c r="K127" s="228"/>
      <c r="L127" s="228"/>
      <c r="M127" s="228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8"/>
      <c r="J128" s="228"/>
      <c r="K128" s="228"/>
      <c r="L128" s="228"/>
      <c r="M128" s="228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8"/>
      <c r="J129" s="228"/>
      <c r="K129" s="228"/>
      <c r="L129" s="228"/>
      <c r="M129" s="228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6" t="str">
        <f>A12</f>
        <v/>
      </c>
      <c r="B130" s="5"/>
      <c r="C130" s="5"/>
      <c r="D130" s="5"/>
      <c r="E130" s="5"/>
      <c r="F130" s="5"/>
      <c r="G130" s="5"/>
      <c r="H130" s="5"/>
      <c r="I130" s="228"/>
      <c r="J130" s="228"/>
      <c r="K130" s="228"/>
      <c r="L130" s="228"/>
      <c r="M130" s="228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8"/>
      <c r="J131" s="228"/>
      <c r="K131" s="228"/>
      <c r="L131" s="228"/>
      <c r="M131" s="228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8"/>
      <c r="J132" s="228"/>
      <c r="K132" s="228"/>
      <c r="L132" s="228"/>
      <c r="M132" s="228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8"/>
      <c r="J133" s="228"/>
      <c r="K133" s="228"/>
      <c r="L133" s="228"/>
      <c r="M133" s="228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8"/>
      <c r="J134" s="228"/>
      <c r="K134" s="228"/>
      <c r="L134" s="228"/>
      <c r="M134" s="228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8"/>
      <c r="J135" s="228"/>
      <c r="K135" s="228"/>
      <c r="L135" s="228"/>
      <c r="M135" s="228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8"/>
      <c r="J136" s="228"/>
      <c r="K136" s="228"/>
      <c r="L136" s="228"/>
      <c r="M136" s="228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8"/>
      <c r="J137" s="228"/>
      <c r="K137" s="228"/>
      <c r="L137" s="228"/>
      <c r="M137" s="228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8"/>
      <c r="J138" s="228"/>
      <c r="K138" s="228"/>
      <c r="L138" s="228"/>
      <c r="M138" s="228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8"/>
      <c r="J139" s="228"/>
      <c r="K139" s="228"/>
      <c r="L139" s="228"/>
      <c r="M139" s="228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8"/>
      <c r="J140" s="228"/>
      <c r="K140" s="228"/>
      <c r="L140" s="228"/>
      <c r="M140" s="228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8"/>
      <c r="J141" s="228"/>
      <c r="K141" s="228"/>
      <c r="L141" s="228"/>
      <c r="M141" s="228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8"/>
      <c r="J142" s="228"/>
      <c r="K142" s="228"/>
      <c r="L142" s="228"/>
      <c r="M142" s="228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8"/>
      <c r="J143" s="228"/>
      <c r="K143" s="228"/>
      <c r="L143" s="228"/>
      <c r="M143" s="228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8"/>
      <c r="J144" s="228"/>
      <c r="K144" s="228"/>
      <c r="L144" s="228"/>
      <c r="M144" s="228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8"/>
      <c r="J145" s="228"/>
      <c r="K145" s="228"/>
      <c r="L145" s="228"/>
      <c r="M145" s="228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8"/>
      <c r="J146" s="228"/>
      <c r="K146" s="228"/>
      <c r="L146" s="228"/>
      <c r="M146" s="228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8"/>
      <c r="J147" s="228"/>
      <c r="K147" s="228"/>
      <c r="L147" s="228"/>
      <c r="M147" s="228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6" t="str">
        <f>A13</f>
        <v/>
      </c>
      <c r="B148" s="5"/>
      <c r="C148" s="5"/>
      <c r="D148" s="5"/>
      <c r="E148" s="5"/>
      <c r="F148" s="5"/>
      <c r="G148" s="5"/>
      <c r="H148" s="5"/>
      <c r="I148" s="228"/>
      <c r="J148" s="228"/>
      <c r="K148" s="228"/>
      <c r="L148" s="228"/>
      <c r="M148" s="228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8"/>
      <c r="J149" s="228"/>
      <c r="K149" s="228"/>
      <c r="L149" s="228"/>
      <c r="M149" s="228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8"/>
      <c r="J150" s="228"/>
      <c r="K150" s="228"/>
      <c r="L150" s="228"/>
      <c r="M150" s="228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8"/>
      <c r="J151" s="228"/>
      <c r="K151" s="228"/>
      <c r="L151" s="228"/>
      <c r="M151" s="228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8"/>
      <c r="J152" s="228"/>
      <c r="K152" s="228"/>
      <c r="L152" s="228"/>
      <c r="M152" s="228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8"/>
      <c r="J153" s="228"/>
      <c r="K153" s="228"/>
      <c r="L153" s="228"/>
      <c r="M153" s="228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8"/>
      <c r="J154" s="228"/>
      <c r="K154" s="228"/>
      <c r="L154" s="228"/>
      <c r="M154" s="228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8"/>
      <c r="J155" s="228"/>
      <c r="K155" s="228"/>
      <c r="L155" s="228"/>
      <c r="M155" s="228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8"/>
      <c r="J156" s="228"/>
      <c r="K156" s="228"/>
      <c r="L156" s="228"/>
      <c r="M156" s="228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8"/>
      <c r="J157" s="228"/>
      <c r="K157" s="228"/>
      <c r="L157" s="228"/>
      <c r="M157" s="228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8"/>
      <c r="J158" s="228"/>
      <c r="K158" s="228"/>
      <c r="L158" s="228"/>
      <c r="M158" s="228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8"/>
      <c r="J159" s="228"/>
      <c r="K159" s="228"/>
      <c r="L159" s="228"/>
      <c r="M159" s="228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8"/>
      <c r="J160" s="228"/>
      <c r="K160" s="228"/>
      <c r="L160" s="228"/>
      <c r="M160" s="228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8"/>
      <c r="J161" s="228"/>
      <c r="K161" s="228"/>
      <c r="L161" s="228"/>
      <c r="M161" s="228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8"/>
      <c r="J162" s="228"/>
      <c r="K162" s="228"/>
      <c r="L162" s="228"/>
      <c r="M162" s="228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8"/>
      <c r="J163" s="228"/>
      <c r="K163" s="228"/>
      <c r="L163" s="228"/>
      <c r="M163" s="228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8"/>
      <c r="J164" s="228"/>
      <c r="K164" s="228"/>
      <c r="L164" s="228"/>
      <c r="M164" s="228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8"/>
      <c r="J165" s="228"/>
      <c r="K165" s="228"/>
      <c r="L165" s="228"/>
      <c r="M165" s="228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6" t="str">
        <f>A14</f>
        <v/>
      </c>
      <c r="B166" s="5"/>
      <c r="C166" s="5"/>
      <c r="D166" s="5"/>
      <c r="E166" s="5"/>
      <c r="F166" s="5"/>
      <c r="G166" s="5"/>
      <c r="H166" s="5"/>
      <c r="I166" s="228"/>
      <c r="J166" s="228"/>
      <c r="K166" s="228"/>
      <c r="L166" s="228"/>
      <c r="M166" s="228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8"/>
      <c r="J167" s="228"/>
      <c r="K167" s="228"/>
      <c r="L167" s="228"/>
      <c r="M167" s="228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8"/>
      <c r="J168" s="228"/>
      <c r="K168" s="228"/>
      <c r="L168" s="228"/>
      <c r="M168" s="228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8"/>
      <c r="J169" s="228"/>
      <c r="K169" s="228"/>
      <c r="L169" s="228"/>
      <c r="M169" s="228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8"/>
      <c r="J170" s="228"/>
      <c r="K170" s="228"/>
      <c r="L170" s="228"/>
      <c r="M170" s="228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8"/>
      <c r="J171" s="228"/>
      <c r="K171" s="228"/>
      <c r="L171" s="228"/>
      <c r="M171" s="228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8"/>
      <c r="J172" s="228"/>
      <c r="K172" s="228"/>
      <c r="L172" s="228"/>
      <c r="M172" s="228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8"/>
      <c r="J173" s="228"/>
      <c r="K173" s="228"/>
      <c r="L173" s="228"/>
      <c r="M173" s="228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8"/>
      <c r="J174" s="228"/>
      <c r="K174" s="228"/>
      <c r="L174" s="228"/>
      <c r="M174" s="228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8"/>
      <c r="J175" s="228"/>
      <c r="K175" s="228"/>
      <c r="L175" s="228"/>
      <c r="M175" s="228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8"/>
      <c r="J176" s="228"/>
      <c r="K176" s="228"/>
      <c r="L176" s="228"/>
      <c r="M176" s="228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8"/>
      <c r="J177" s="228"/>
      <c r="K177" s="228"/>
      <c r="L177" s="228"/>
      <c r="M177" s="228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8"/>
      <c r="J178" s="228"/>
      <c r="K178" s="228"/>
      <c r="L178" s="228"/>
      <c r="M178" s="228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8"/>
      <c r="J179" s="228"/>
      <c r="K179" s="228"/>
      <c r="L179" s="228"/>
      <c r="M179" s="228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8"/>
      <c r="J180" s="228"/>
      <c r="K180" s="228"/>
      <c r="L180" s="228"/>
      <c r="M180" s="228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8"/>
      <c r="J181" s="228"/>
      <c r="K181" s="228"/>
      <c r="L181" s="228"/>
      <c r="M181" s="228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8"/>
      <c r="J182" s="228"/>
      <c r="K182" s="228"/>
      <c r="L182" s="228"/>
      <c r="M182" s="228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8"/>
      <c r="J183" s="228"/>
      <c r="K183" s="228"/>
      <c r="L183" s="228"/>
      <c r="M183" s="228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6" t="str">
        <f>A15</f>
        <v/>
      </c>
      <c r="B184" s="5"/>
      <c r="C184" s="5"/>
      <c r="D184" s="5"/>
      <c r="E184" s="5"/>
      <c r="F184" s="5"/>
      <c r="G184" s="5"/>
      <c r="H184" s="5"/>
      <c r="I184" s="228"/>
      <c r="J184" s="228"/>
      <c r="K184" s="228"/>
      <c r="L184" s="228"/>
      <c r="M184" s="228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8"/>
      <c r="J185" s="228"/>
      <c r="K185" s="228"/>
      <c r="L185" s="228"/>
      <c r="M185" s="228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8"/>
      <c r="J186" s="228"/>
      <c r="K186" s="228"/>
      <c r="L186" s="228"/>
      <c r="M186" s="228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8"/>
      <c r="J187" s="228"/>
      <c r="K187" s="228"/>
      <c r="L187" s="228"/>
      <c r="M187" s="228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8"/>
      <c r="J188" s="228"/>
      <c r="K188" s="228"/>
      <c r="L188" s="228"/>
      <c r="M188" s="228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8"/>
      <c r="J189" s="228"/>
      <c r="K189" s="228"/>
      <c r="L189" s="228"/>
      <c r="M189" s="228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8"/>
      <c r="J190" s="228"/>
      <c r="K190" s="228"/>
      <c r="L190" s="228"/>
      <c r="M190" s="228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8"/>
      <c r="J191" s="228"/>
      <c r="K191" s="228"/>
      <c r="L191" s="228"/>
      <c r="M191" s="228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8"/>
      <c r="J192" s="228"/>
      <c r="K192" s="228"/>
      <c r="L192" s="228"/>
      <c r="M192" s="228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8"/>
      <c r="J193" s="228"/>
      <c r="K193" s="228"/>
      <c r="L193" s="228"/>
      <c r="M193" s="228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8"/>
      <c r="J194" s="228"/>
      <c r="K194" s="228"/>
      <c r="L194" s="228"/>
      <c r="M194" s="228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8"/>
      <c r="J195" s="228"/>
      <c r="K195" s="228"/>
      <c r="L195" s="228"/>
      <c r="M195" s="228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8"/>
      <c r="J196" s="228"/>
      <c r="K196" s="228"/>
      <c r="L196" s="228"/>
      <c r="M196" s="228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8"/>
      <c r="J197" s="228"/>
      <c r="K197" s="228"/>
      <c r="L197" s="228"/>
      <c r="M197" s="228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8"/>
      <c r="J198" s="228"/>
      <c r="K198" s="228"/>
      <c r="L198" s="228"/>
      <c r="M198" s="228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8"/>
      <c r="J199" s="228"/>
      <c r="K199" s="228"/>
      <c r="L199" s="228"/>
      <c r="M199" s="228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8"/>
      <c r="J200" s="228"/>
      <c r="K200" s="228"/>
      <c r="L200" s="228"/>
      <c r="M200" s="228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8"/>
      <c r="J201" s="228"/>
      <c r="K201" s="228"/>
      <c r="L201" s="228"/>
      <c r="M201" s="228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8"/>
      <c r="J202" s="228"/>
      <c r="K202" s="228"/>
      <c r="L202" s="228"/>
      <c r="M202" s="228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8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zoomScale="80" zoomScaleNormal="80" workbookViewId="0">
      <selection activeCell="L12" sqref="L1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9" customFormat="1" x14ac:dyDescent="0.3">
      <c r="A3" s="96"/>
      <c r="B3" s="96"/>
      <c r="C3" s="96"/>
      <c r="D3" s="96"/>
      <c r="E3" s="96"/>
      <c r="F3" s="177"/>
      <c r="G3" s="177"/>
      <c r="H3" s="178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</row>
    <row r="4" spans="1:42" s="199" customFormat="1" x14ac:dyDescent="0.3">
      <c r="A4" s="96"/>
      <c r="B4" s="96"/>
      <c r="C4" s="96"/>
      <c r="D4" s="96"/>
      <c r="E4" s="96"/>
      <c r="G4" s="177"/>
      <c r="H4" s="338" t="s">
        <v>315</v>
      </c>
      <c r="I4" s="338"/>
      <c r="K4" s="335" t="s">
        <v>253</v>
      </c>
      <c r="L4" s="336"/>
      <c r="M4" s="265">
        <v>4.4999999999999998E-2</v>
      </c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</row>
    <row r="5" spans="1:42" s="199" customFormat="1" x14ac:dyDescent="0.3">
      <c r="A5" s="96"/>
      <c r="B5" s="96"/>
      <c r="C5" s="96"/>
      <c r="D5" s="96"/>
      <c r="E5" s="96"/>
      <c r="G5" s="177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</row>
    <row r="6" spans="1:42" s="199" customFormat="1" ht="15" thickBot="1" x14ac:dyDescent="0.35">
      <c r="A6" s="96"/>
      <c r="B6" s="96"/>
      <c r="C6" s="96"/>
      <c r="D6" s="96"/>
      <c r="E6" s="96"/>
      <c r="F6" s="226"/>
      <c r="G6" s="177"/>
      <c r="H6" s="179"/>
      <c r="I6" s="179"/>
      <c r="J6" s="179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</row>
    <row r="7" spans="1:42" s="199" customFormat="1" ht="27.75" customHeight="1" thickBot="1" x14ac:dyDescent="0.55000000000000004">
      <c r="A7" s="272"/>
      <c r="B7" s="273"/>
      <c r="C7" s="273"/>
      <c r="D7" s="273"/>
      <c r="E7" s="274"/>
      <c r="F7" s="274" t="s">
        <v>192</v>
      </c>
      <c r="G7" s="275"/>
      <c r="H7" s="273"/>
      <c r="I7" s="273"/>
      <c r="J7" s="276"/>
      <c r="K7" s="270"/>
      <c r="L7" s="271"/>
      <c r="M7" s="271"/>
      <c r="N7" s="277" t="s">
        <v>191</v>
      </c>
      <c r="O7" s="277"/>
      <c r="P7" s="278"/>
      <c r="Q7" s="279"/>
      <c r="R7" s="327" t="s">
        <v>310</v>
      </c>
      <c r="S7" s="328"/>
      <c r="T7" s="328"/>
      <c r="U7" s="328"/>
      <c r="V7" s="329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</row>
    <row r="8" spans="1:42" x14ac:dyDescent="0.3">
      <c r="A8" s="25"/>
      <c r="C8" s="25"/>
      <c r="D8" s="25"/>
      <c r="E8" s="25"/>
      <c r="F8" s="218"/>
      <c r="G8" s="218"/>
      <c r="H8" s="5"/>
      <c r="I8" s="5"/>
      <c r="J8" s="211"/>
      <c r="K8" s="222"/>
      <c r="L8" s="25"/>
      <c r="M8" s="25"/>
      <c r="N8" s="25"/>
      <c r="O8" s="25"/>
      <c r="P8" s="25"/>
      <c r="Q8" s="262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7" t="s">
        <v>311</v>
      </c>
      <c r="C9" s="25"/>
      <c r="D9" s="25"/>
      <c r="E9" s="25"/>
      <c r="F9" s="258"/>
      <c r="G9" s="257" t="s">
        <v>314</v>
      </c>
      <c r="J9" s="211"/>
      <c r="K9" s="222"/>
      <c r="O9" s="25"/>
      <c r="P9" s="25"/>
      <c r="Q9" s="262"/>
      <c r="R9" s="25"/>
      <c r="S9" s="5"/>
      <c r="T9" s="182" t="s">
        <v>262</v>
      </c>
      <c r="U9" s="185" t="s">
        <v>249</v>
      </c>
      <c r="V9" s="182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7" t="s">
        <v>317</v>
      </c>
      <c r="C10" s="25"/>
      <c r="D10" s="25"/>
      <c r="E10" s="25"/>
      <c r="F10" s="258"/>
      <c r="G10" s="257" t="s">
        <v>316</v>
      </c>
      <c r="J10" s="211"/>
      <c r="K10" s="222"/>
      <c r="O10" s="25"/>
      <c r="P10" s="25"/>
      <c r="Q10" s="262"/>
      <c r="R10" s="25"/>
      <c r="S10" s="182" t="str">
        <f>B14</f>
        <v>Douglas</v>
      </c>
      <c r="T10" s="186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5216.7548625222053</v>
      </c>
      <c r="U10" s="187">
        <f>'Données projet'!D9</f>
        <v>0.96</v>
      </c>
      <c r="V10" s="186">
        <f>U10*T10</f>
        <v>5008.0846680213172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7" t="s">
        <v>312</v>
      </c>
      <c r="B11" s="25"/>
      <c r="C11" s="25"/>
      <c r="D11" s="25"/>
      <c r="E11" s="25"/>
      <c r="F11" s="258"/>
      <c r="G11" s="257" t="s">
        <v>313</v>
      </c>
      <c r="J11" s="211"/>
      <c r="K11" s="222"/>
      <c r="M11" s="5"/>
      <c r="N11" s="5"/>
      <c r="O11" s="25"/>
      <c r="P11" s="25"/>
      <c r="Q11" s="262"/>
      <c r="R11" s="25"/>
      <c r="S11" s="182" t="str">
        <f>B45</f>
        <v>Chêne rouge d'Amérique</v>
      </c>
      <c r="T11" s="26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2807.1925188080832</v>
      </c>
      <c r="U11" s="187">
        <f>'Données projet'!D10</f>
        <v>0.32000000000000006</v>
      </c>
      <c r="V11" s="186">
        <f t="shared" ref="V11" si="0">U11*T11</f>
        <v>898.30160601858677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8"/>
      <c r="G12" s="1"/>
      <c r="J12" s="211"/>
      <c r="K12" s="222"/>
      <c r="L12" s="214"/>
      <c r="M12" s="25"/>
      <c r="N12" s="25"/>
      <c r="O12" s="25"/>
      <c r="P12" s="25"/>
      <c r="Q12" s="262"/>
      <c r="R12" s="25"/>
      <c r="S12" s="182" t="str">
        <f>B76</f>
        <v>Erable sycomore</v>
      </c>
      <c r="T12" s="26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1322.7360246804406</v>
      </c>
      <c r="U12" s="187">
        <f>'Données projet'!D11</f>
        <v>0.32000000000000006</v>
      </c>
      <c r="V12" s="186">
        <f t="shared" ref="V12:V19" si="1">U12*T12</f>
        <v>423.27552789774109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8"/>
      <c r="J13" s="25"/>
      <c r="K13" s="222"/>
      <c r="L13" s="181" t="s">
        <v>257</v>
      </c>
      <c r="M13" s="25"/>
      <c r="N13" s="25"/>
      <c r="O13" s="25"/>
      <c r="P13" s="25"/>
      <c r="Q13" s="262"/>
      <c r="R13" s="25"/>
      <c r="S13" s="182" t="str">
        <f>B107</f>
        <v/>
      </c>
      <c r="T13" s="26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87">
        <f>'Données projet'!D12</f>
        <v>0</v>
      </c>
      <c r="V13" s="186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3" t="str">
        <f>IF('Données projet'!$B$9="","",'Données projet'!$B$9)</f>
        <v>Douglas</v>
      </c>
      <c r="C14" s="5"/>
      <c r="D14" s="5"/>
      <c r="E14" s="5"/>
      <c r="F14" s="258"/>
      <c r="G14" s="218"/>
      <c r="H14" s="182" t="s">
        <v>178</v>
      </c>
      <c r="I14" s="182" t="s">
        <v>290</v>
      </c>
      <c r="J14" s="212"/>
      <c r="K14" s="180"/>
      <c r="L14" s="214"/>
      <c r="M14" s="25"/>
      <c r="N14" s="25"/>
      <c r="O14" s="5"/>
      <c r="P14" s="5"/>
      <c r="Q14" s="263"/>
      <c r="R14" s="5"/>
      <c r="S14" s="182" t="str">
        <f>B138</f>
        <v/>
      </c>
      <c r="T14" s="26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7">
        <f>'Données projet'!D13</f>
        <v>0</v>
      </c>
      <c r="V14" s="186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8"/>
      <c r="G15" s="339" t="s">
        <v>318</v>
      </c>
      <c r="H15" s="200">
        <v>0</v>
      </c>
      <c r="I15" s="201">
        <v>0</v>
      </c>
      <c r="J15" s="213"/>
      <c r="K15" s="222"/>
      <c r="L15" s="214"/>
      <c r="M15" s="25"/>
      <c r="N15" s="25"/>
      <c r="O15" s="25"/>
      <c r="P15" s="25"/>
      <c r="Q15" s="262"/>
      <c r="R15" s="25"/>
      <c r="S15" s="182" t="str">
        <f>B169</f>
        <v/>
      </c>
      <c r="T15" s="26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7">
        <f>'Données projet'!D14</f>
        <v>0</v>
      </c>
      <c r="V15" s="186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4" t="s">
        <v>180</v>
      </c>
      <c r="B16" s="51" t="s">
        <v>256</v>
      </c>
      <c r="C16" s="51" t="s">
        <v>255</v>
      </c>
      <c r="D16" s="254" t="s">
        <v>252</v>
      </c>
      <c r="E16" s="254" t="s">
        <v>320</v>
      </c>
      <c r="F16" s="258"/>
      <c r="G16" s="339"/>
      <c r="H16" s="200"/>
      <c r="I16" s="201"/>
      <c r="J16" s="213"/>
      <c r="K16" s="222"/>
      <c r="L16" s="335" t="s">
        <v>254</v>
      </c>
      <c r="M16" s="336"/>
      <c r="N16" s="2">
        <v>70</v>
      </c>
      <c r="O16" s="25"/>
      <c r="P16" s="25"/>
      <c r="Q16" s="262"/>
      <c r="R16" s="25"/>
      <c r="S16" s="182" t="str">
        <f>B200</f>
        <v/>
      </c>
      <c r="T16" s="26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7">
        <f>'Données projet'!D15</f>
        <v>0</v>
      </c>
      <c r="V16" s="186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7">
        <v>0</v>
      </c>
      <c r="B17" s="210" t="s">
        <v>132</v>
      </c>
      <c r="C17" s="209" t="s">
        <v>132</v>
      </c>
      <c r="D17" s="208" t="s">
        <v>132</v>
      </c>
      <c r="E17" s="203"/>
      <c r="F17" s="258"/>
      <c r="G17" s="339"/>
      <c r="J17" s="213"/>
      <c r="K17" s="222"/>
      <c r="L17" s="293" t="s">
        <v>289</v>
      </c>
      <c r="M17" s="295"/>
      <c r="N17" s="184">
        <f>VLOOKUP(N16,Calculateur!$A$2:$H$153,3,0)/VLOOKUP('Scénario référence'!$G$15,Paramètres!A1:I89,3,0)/VLOOKUP('Scénario référence'!$G$15,Paramètres!A1:I89,5,0)</f>
        <v>70.000000000000114</v>
      </c>
      <c r="O17" s="25"/>
      <c r="P17" s="25"/>
      <c r="Q17" s="262"/>
      <c r="R17" s="25"/>
      <c r="S17" s="182" t="str">
        <f>B231</f>
        <v/>
      </c>
      <c r="T17" s="26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7">
        <f>'Données projet'!D16</f>
        <v>0</v>
      </c>
      <c r="V17" s="186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7">
        <v>1</v>
      </c>
      <c r="B18" s="210" t="s">
        <v>132</v>
      </c>
      <c r="C18" s="209" t="s">
        <v>132</v>
      </c>
      <c r="D18" s="208" t="s">
        <v>132</v>
      </c>
      <c r="E18" s="203"/>
      <c r="F18" s="289"/>
      <c r="G18" s="339"/>
      <c r="J18" s="213"/>
      <c r="K18" s="222"/>
      <c r="L18" s="293" t="s">
        <v>255</v>
      </c>
      <c r="M18" s="295"/>
      <c r="N18" s="202">
        <v>30</v>
      </c>
      <c r="O18" s="25"/>
      <c r="P18" s="25"/>
      <c r="Q18" s="262"/>
      <c r="R18" s="25"/>
      <c r="S18" s="182" t="str">
        <f>B262</f>
        <v/>
      </c>
      <c r="T18" s="26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7">
        <f>'Données projet'!D17</f>
        <v>0</v>
      </c>
      <c r="V18" s="186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7">
        <v>2</v>
      </c>
      <c r="B19" s="210" t="s">
        <v>132</v>
      </c>
      <c r="C19" s="209" t="s">
        <v>132</v>
      </c>
      <c r="D19" s="208" t="s">
        <v>132</v>
      </c>
      <c r="E19" s="203"/>
      <c r="F19" s="258"/>
      <c r="G19" s="339"/>
      <c r="H19" s="229" t="s">
        <v>178</v>
      </c>
      <c r="I19" s="229" t="s">
        <v>287</v>
      </c>
      <c r="J19" s="257"/>
      <c r="K19" s="180"/>
      <c r="L19" s="335" t="s">
        <v>288</v>
      </c>
      <c r="M19" s="336"/>
      <c r="N19" s="188">
        <f>N17*N18</f>
        <v>2100.0000000000036</v>
      </c>
      <c r="O19" s="25"/>
      <c r="P19" s="5"/>
      <c r="Q19" s="263"/>
      <c r="R19" s="5"/>
      <c r="S19" s="182" t="str">
        <f>B293</f>
        <v/>
      </c>
      <c r="T19" s="26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7">
        <f>'Données projet'!D18</f>
        <v>0</v>
      </c>
      <c r="V19" s="186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7">
        <v>3</v>
      </c>
      <c r="B20" s="210" t="s">
        <v>132</v>
      </c>
      <c r="C20" s="209" t="s">
        <v>132</v>
      </c>
      <c r="D20" s="208" t="s">
        <v>132</v>
      </c>
      <c r="E20" s="203"/>
      <c r="F20" s="258"/>
      <c r="G20" s="339"/>
      <c r="H20" s="200">
        <v>0</v>
      </c>
      <c r="I20" s="201">
        <v>8500</v>
      </c>
      <c r="J20" s="5"/>
      <c r="K20" s="180"/>
      <c r="O20" s="25"/>
      <c r="P20" s="5"/>
      <c r="Q20" s="263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7">
        <v>4</v>
      </c>
      <c r="B21" s="210" t="s">
        <v>132</v>
      </c>
      <c r="C21" s="209" t="s">
        <v>132</v>
      </c>
      <c r="D21" s="208" t="s">
        <v>132</v>
      </c>
      <c r="E21" s="203"/>
      <c r="F21" s="258"/>
      <c r="H21" s="200"/>
      <c r="I21" s="201"/>
      <c r="K21" s="180"/>
      <c r="O21" s="25"/>
      <c r="P21" s="5"/>
      <c r="Q21" s="263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7">
        <v>5</v>
      </c>
      <c r="B22" s="210" t="s">
        <v>132</v>
      </c>
      <c r="C22" s="209" t="s">
        <v>132</v>
      </c>
      <c r="D22" s="208" t="s">
        <v>132</v>
      </c>
      <c r="E22" s="203"/>
      <c r="F22" s="258"/>
      <c r="H22" s="200"/>
      <c r="I22" s="201"/>
      <c r="K22" s="180"/>
      <c r="O22" s="25"/>
      <c r="P22" s="5"/>
      <c r="Q22" s="263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89">
        <f>'Données projet'!A36</f>
        <v>19</v>
      </c>
      <c r="B23" s="190">
        <f>'Données projet'!D36</f>
        <v>0</v>
      </c>
      <c r="C23" s="203"/>
      <c r="D23" s="191">
        <f>B23*C23</f>
        <v>0</v>
      </c>
      <c r="E23" s="203"/>
      <c r="F23" s="258"/>
      <c r="H23" s="200"/>
      <c r="I23" s="201"/>
      <c r="K23" s="222"/>
      <c r="L23" s="337" t="s">
        <v>260</v>
      </c>
      <c r="M23" s="337"/>
      <c r="N23" s="337"/>
      <c r="O23" s="25"/>
      <c r="P23" s="25"/>
      <c r="Q23" s="262"/>
      <c r="R23" s="25"/>
      <c r="S23" s="182" t="s">
        <v>264</v>
      </c>
      <c r="T23" s="33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-7270.3381980623553</v>
      </c>
      <c r="U23" s="332"/>
      <c r="V23" s="332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89">
        <f>'Données projet'!A37</f>
        <v>21</v>
      </c>
      <c r="B24" s="190">
        <f>'Données projet'!D37</f>
        <v>61.169230769230765</v>
      </c>
      <c r="C24" s="203">
        <v>20</v>
      </c>
      <c r="D24" s="191">
        <f t="shared" ref="D24:D42" si="2">B24*C24</f>
        <v>1223.3846153846152</v>
      </c>
      <c r="E24" s="203"/>
      <c r="F24" s="261"/>
      <c r="H24" s="200"/>
      <c r="I24" s="201"/>
      <c r="K24" s="222"/>
      <c r="O24" s="25"/>
      <c r="P24" s="25"/>
      <c r="Q24" s="262"/>
      <c r="R24" s="25"/>
      <c r="S24" s="182" t="s">
        <v>261</v>
      </c>
      <c r="T24" s="333">
        <f ca="1">'Scénario référence'!$B$8*$M$30*'Données projet'!$C$5+('Scénario référence'!B9+'Scénario référence'!B10+'Scénario référence'!F8+'Scénario référence'!F9)*$N$19/(1+M4)^N16*'Données projet'!$C$5</f>
        <v>154.24068527762986</v>
      </c>
      <c r="U24" s="333"/>
      <c r="V24" s="333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89">
        <f>'Données projet'!A38</f>
        <v>28</v>
      </c>
      <c r="B25" s="190">
        <f>'Données projet'!D38</f>
        <v>56.91538461538461</v>
      </c>
      <c r="C25" s="203">
        <v>30</v>
      </c>
      <c r="D25" s="191">
        <f t="shared" si="2"/>
        <v>1707.4615384615383</v>
      </c>
      <c r="E25" s="203"/>
      <c r="F25" s="261"/>
      <c r="G25" s="1"/>
      <c r="H25" s="200"/>
      <c r="I25" s="201"/>
      <c r="K25" s="222"/>
      <c r="L25" s="268" t="s">
        <v>285</v>
      </c>
      <c r="M25" s="268"/>
      <c r="N25" s="268"/>
      <c r="O25" s="268"/>
      <c r="P25" s="202">
        <v>16512</v>
      </c>
      <c r="Q25" s="262"/>
      <c r="R25" s="25"/>
      <c r="S25" s="195" t="s">
        <v>266</v>
      </c>
      <c r="T25" s="334">
        <f ca="1">T23-T24</f>
        <v>-7424.5788833399856</v>
      </c>
      <c r="U25" s="334"/>
      <c r="V25" s="33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89">
        <f>'Données projet'!A39</f>
        <v>30</v>
      </c>
      <c r="B26" s="190">
        <f>'Données projet'!D39</f>
        <v>0</v>
      </c>
      <c r="C26" s="203"/>
      <c r="D26" s="191">
        <f t="shared" si="2"/>
        <v>0</v>
      </c>
      <c r="E26" s="203"/>
      <c r="F26" s="261"/>
      <c r="G26" s="256"/>
      <c r="H26" s="200"/>
      <c r="I26" s="201"/>
      <c r="K26" s="222"/>
      <c r="L26" s="321" t="s">
        <v>258</v>
      </c>
      <c r="M26" s="322"/>
      <c r="N26" s="322"/>
      <c r="O26" s="322"/>
      <c r="P26" s="323"/>
      <c r="Q26" s="262"/>
      <c r="R26" s="25"/>
      <c r="S26" s="195" t="s">
        <v>265</v>
      </c>
      <c r="T26" s="331" t="str">
        <f ca="1">IF(T25&lt;0,"Votre projet est additionnel","Votre projet n'est pas additionnel")</f>
        <v>Votre projet est additionnel</v>
      </c>
      <c r="U26" s="331"/>
      <c r="V26" s="331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89">
        <f>'Données projet'!A40</f>
        <v>35</v>
      </c>
      <c r="B27" s="190">
        <f>'Données projet'!D40</f>
        <v>70.5</v>
      </c>
      <c r="C27" s="203">
        <v>35</v>
      </c>
      <c r="D27" s="191">
        <f t="shared" si="2"/>
        <v>2467.5</v>
      </c>
      <c r="E27" s="203"/>
      <c r="F27" s="261"/>
      <c r="G27" s="256"/>
      <c r="H27" s="200"/>
      <c r="I27" s="201"/>
      <c r="K27" s="222"/>
      <c r="L27" s="324"/>
      <c r="M27" s="325"/>
      <c r="N27" s="325"/>
      <c r="O27" s="325"/>
      <c r="P27" s="326"/>
      <c r="Q27" s="262"/>
      <c r="R27" s="25"/>
      <c r="S27" s="330" t="s">
        <v>267</v>
      </c>
      <c r="T27" s="330"/>
      <c r="U27" s="330"/>
      <c r="V27" s="330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89">
        <f>'Données projet'!A41</f>
        <v>42</v>
      </c>
      <c r="B28" s="190">
        <f>'Données projet'!D41</f>
        <v>80.669230769230765</v>
      </c>
      <c r="C28" s="203">
        <v>40</v>
      </c>
      <c r="D28" s="191">
        <f t="shared" si="2"/>
        <v>3226.7692307692305</v>
      </c>
      <c r="E28" s="203"/>
      <c r="F28" s="261"/>
      <c r="G28" s="219"/>
      <c r="H28" s="200"/>
      <c r="I28" s="201"/>
      <c r="K28" s="222"/>
      <c r="Q28" s="262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89">
        <f>'Données projet'!A42</f>
        <v>49</v>
      </c>
      <c r="B29" s="190">
        <f>'Données projet'!D42</f>
        <v>90.453846153846158</v>
      </c>
      <c r="C29" s="203">
        <v>50</v>
      </c>
      <c r="D29" s="191">
        <f t="shared" si="2"/>
        <v>4522.6923076923076</v>
      </c>
      <c r="E29" s="203"/>
      <c r="F29" s="261"/>
      <c r="G29" s="215"/>
      <c r="H29" s="200"/>
      <c r="I29" s="201"/>
      <c r="K29" s="222"/>
      <c r="O29" s="25"/>
      <c r="P29" s="25"/>
      <c r="Q29" s="262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89">
        <f>'Données projet'!A43</f>
        <v>56</v>
      </c>
      <c r="B30" s="190">
        <f>'Données projet'!D43</f>
        <v>75.869230769230768</v>
      </c>
      <c r="C30" s="203">
        <v>60</v>
      </c>
      <c r="D30" s="191">
        <f t="shared" si="2"/>
        <v>4552.1538461538457</v>
      </c>
      <c r="E30" s="203"/>
      <c r="F30" s="261"/>
      <c r="G30" s="215"/>
      <c r="H30" s="200"/>
      <c r="I30" s="201"/>
      <c r="K30" s="192"/>
      <c r="L30" s="182" t="s">
        <v>259</v>
      </c>
      <c r="M30" s="193">
        <f ca="1">SUM(OFFSET($P$33,0,0,MIN('Données projet'!$E$9:$E$18)+1,1))</f>
        <v>366601.27119507891</v>
      </c>
      <c r="O30" s="5"/>
      <c r="P30" s="5"/>
      <c r="Q30" s="263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89">
        <f>'Données projet'!A44</f>
        <v>63</v>
      </c>
      <c r="B31" s="190">
        <f>'Données projet'!D44</f>
        <v>79.723076923076917</v>
      </c>
      <c r="C31" s="203">
        <v>70</v>
      </c>
      <c r="D31" s="191">
        <f t="shared" si="2"/>
        <v>5580.6153846153838</v>
      </c>
      <c r="E31" s="203"/>
      <c r="F31" s="261"/>
      <c r="G31" s="215"/>
      <c r="H31" s="200"/>
      <c r="I31" s="201"/>
      <c r="K31" s="180"/>
      <c r="Q31" s="262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89">
        <f>'Données projet'!A45</f>
        <v>69</v>
      </c>
      <c r="B32" s="190">
        <f>'Données projet'!D45</f>
        <v>0</v>
      </c>
      <c r="C32" s="203">
        <v>80</v>
      </c>
      <c r="D32" s="191">
        <f t="shared" si="2"/>
        <v>0</v>
      </c>
      <c r="E32" s="203"/>
      <c r="F32" s="261"/>
      <c r="G32" s="215"/>
      <c r="H32" s="200"/>
      <c r="I32" s="201"/>
      <c r="K32" s="180"/>
      <c r="N32" s="5"/>
      <c r="O32" s="267" t="s">
        <v>178</v>
      </c>
      <c r="P32" s="267" t="s">
        <v>252</v>
      </c>
      <c r="Q32" s="262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89">
        <f>'Données projet'!A46</f>
        <v>70</v>
      </c>
      <c r="B33" s="190">
        <f>'Données projet'!D46</f>
        <v>469.06923076923073</v>
      </c>
      <c r="C33" s="203">
        <v>90</v>
      </c>
      <c r="D33" s="191">
        <f t="shared" si="2"/>
        <v>42216.230769230766</v>
      </c>
      <c r="E33" s="203"/>
      <c r="F33" s="261"/>
      <c r="G33" s="215"/>
      <c r="H33" s="200"/>
      <c r="I33" s="201"/>
      <c r="K33" s="180"/>
      <c r="L33" s="5"/>
      <c r="M33" s="5"/>
      <c r="N33" s="5"/>
      <c r="O33" s="204">
        <v>0</v>
      </c>
      <c r="P33" s="194">
        <f t="shared" ref="P33:P64" si="3">$P$25/(1+$M$4)^O33</f>
        <v>16512</v>
      </c>
      <c r="Q33" s="262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89">
        <f>'Données projet'!A47</f>
        <v>0</v>
      </c>
      <c r="B34" s="190">
        <f>'Données projet'!D47</f>
        <v>0</v>
      </c>
      <c r="C34" s="203"/>
      <c r="D34" s="191">
        <f t="shared" si="2"/>
        <v>0</v>
      </c>
      <c r="E34" s="203"/>
      <c r="F34" s="261"/>
      <c r="G34" s="215"/>
      <c r="H34" s="200"/>
      <c r="I34" s="201"/>
      <c r="K34" s="180"/>
      <c r="L34" s="281"/>
      <c r="M34" s="281"/>
      <c r="N34" s="282"/>
      <c r="O34" s="204">
        <f>IF(O33+1&lt;=MIN('Données projet'!$E$9:$E$18),O33+1,"STOP")</f>
        <v>1</v>
      </c>
      <c r="P34" s="194">
        <f t="shared" si="3"/>
        <v>15800.956937799045</v>
      </c>
      <c r="Q34" s="262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89">
        <f>'Données projet'!A48</f>
        <v>0</v>
      </c>
      <c r="B35" s="190">
        <f>'Données projet'!D48</f>
        <v>0</v>
      </c>
      <c r="C35" s="203"/>
      <c r="D35" s="191">
        <f t="shared" si="2"/>
        <v>0</v>
      </c>
      <c r="E35" s="203"/>
      <c r="F35" s="261"/>
      <c r="G35" s="215"/>
      <c r="H35" s="200"/>
      <c r="I35" s="201"/>
      <c r="K35" s="180"/>
      <c r="L35" s="281"/>
      <c r="M35" s="281"/>
      <c r="N35" s="282"/>
      <c r="O35" s="204">
        <f>IF(O34+1&lt;=MIN('Données projet'!$E$9:$E$18),O34+1,"STOP")</f>
        <v>2</v>
      </c>
      <c r="P35" s="194">
        <f t="shared" si="3"/>
        <v>15120.532954831622</v>
      </c>
      <c r="Q35" s="262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89">
        <f>'Données projet'!A49</f>
        <v>0</v>
      </c>
      <c r="B36" s="190">
        <f>'Données projet'!D49</f>
        <v>0</v>
      </c>
      <c r="C36" s="203"/>
      <c r="D36" s="191">
        <f t="shared" si="2"/>
        <v>0</v>
      </c>
      <c r="E36" s="203"/>
      <c r="F36" s="261"/>
      <c r="G36" s="215"/>
      <c r="H36" s="200"/>
      <c r="I36" s="201"/>
      <c r="K36" s="180"/>
      <c r="L36" s="25"/>
      <c r="M36" s="25"/>
      <c r="N36" s="25"/>
      <c r="O36" s="204">
        <f>IF(O35+1&lt;=MIN('Données projet'!$E$9:$E$18),O35+1,"STOP")</f>
        <v>3</v>
      </c>
      <c r="P36" s="194">
        <f t="shared" si="3"/>
        <v>14469.409526154663</v>
      </c>
      <c r="Q36" s="262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89">
        <f>'Données projet'!A50</f>
        <v>0</v>
      </c>
      <c r="B37" s="190">
        <f>'Données projet'!D50</f>
        <v>0</v>
      </c>
      <c r="C37" s="203"/>
      <c r="D37" s="191">
        <f t="shared" si="2"/>
        <v>0</v>
      </c>
      <c r="E37" s="203"/>
      <c r="F37" s="261"/>
      <c r="G37" s="215"/>
      <c r="H37" s="200"/>
      <c r="I37" s="201"/>
      <c r="K37" s="180"/>
      <c r="L37" s="25"/>
      <c r="M37" s="25"/>
      <c r="N37" s="25"/>
      <c r="O37" s="204">
        <f>IF(O36+1&lt;=MIN('Données projet'!$E$9:$E$18),O36+1,"STOP")</f>
        <v>4</v>
      </c>
      <c r="P37" s="194">
        <f t="shared" si="3"/>
        <v>13846.324905411164</v>
      </c>
      <c r="Q37" s="262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89">
        <f>'Données projet'!A51</f>
        <v>0</v>
      </c>
      <c r="B38" s="190">
        <f>'Données projet'!D51</f>
        <v>0</v>
      </c>
      <c r="C38" s="203"/>
      <c r="D38" s="191">
        <f t="shared" si="2"/>
        <v>0</v>
      </c>
      <c r="E38" s="203"/>
      <c r="F38" s="261"/>
      <c r="G38" s="215"/>
      <c r="H38" s="200"/>
      <c r="I38" s="201"/>
      <c r="K38" s="180"/>
      <c r="L38" s="25"/>
      <c r="M38" s="25"/>
      <c r="N38" s="25"/>
      <c r="O38" s="204">
        <f>IF(O37+1&lt;=MIN('Données projet'!$E$9:$E$18),O37+1,"STOP")</f>
        <v>5</v>
      </c>
      <c r="P38" s="194">
        <f t="shared" si="3"/>
        <v>13250.071679819295</v>
      </c>
      <c r="Q38" s="262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89">
        <f>'Données projet'!A52</f>
        <v>0</v>
      </c>
      <c r="B39" s="190">
        <f>'Données projet'!D52</f>
        <v>0</v>
      </c>
      <c r="C39" s="203"/>
      <c r="D39" s="191">
        <f t="shared" si="2"/>
        <v>0</v>
      </c>
      <c r="E39" s="203"/>
      <c r="F39" s="261"/>
      <c r="G39" s="215"/>
      <c r="H39" s="200"/>
      <c r="I39" s="201"/>
      <c r="K39" s="222"/>
      <c r="L39" s="25"/>
      <c r="M39" s="25"/>
      <c r="N39" s="25"/>
      <c r="O39" s="204">
        <f>IF(O38+1&lt;=MIN('Données projet'!$E$9:$E$18),O38+1,"STOP")</f>
        <v>6</v>
      </c>
      <c r="P39" s="194">
        <f t="shared" si="3"/>
        <v>12679.494430449091</v>
      </c>
      <c r="Q39" s="262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89">
        <f>'Données projet'!A53</f>
        <v>0</v>
      </c>
      <c r="B40" s="190">
        <f>'Données projet'!D53</f>
        <v>0</v>
      </c>
      <c r="C40" s="203"/>
      <c r="D40" s="191">
        <f t="shared" si="2"/>
        <v>0</v>
      </c>
      <c r="E40" s="203"/>
      <c r="F40" s="261"/>
      <c r="G40" s="215"/>
      <c r="H40" s="200"/>
      <c r="I40" s="201"/>
      <c r="K40" s="222"/>
      <c r="L40" s="25"/>
      <c r="M40" s="25"/>
      <c r="N40" s="25"/>
      <c r="O40" s="204">
        <f>IF(O39+1&lt;=MIN('Données projet'!$E$9:$E$18),O39+1,"STOP")</f>
        <v>7</v>
      </c>
      <c r="P40" s="194">
        <f t="shared" si="3"/>
        <v>12133.487493252716</v>
      </c>
      <c r="Q40" s="262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89">
        <f>'Données projet'!A54</f>
        <v>0</v>
      </c>
      <c r="B41" s="190">
        <f>'Données projet'!D54</f>
        <v>0</v>
      </c>
      <c r="C41" s="203"/>
      <c r="D41" s="191">
        <f t="shared" si="2"/>
        <v>0</v>
      </c>
      <c r="E41" s="203"/>
      <c r="F41" s="261"/>
      <c r="G41" s="215"/>
      <c r="H41" s="200"/>
      <c r="I41" s="201"/>
      <c r="K41" s="222"/>
      <c r="L41" s="25"/>
      <c r="M41" s="25"/>
      <c r="N41" s="25"/>
      <c r="O41" s="204">
        <f>IF(O40+1&lt;=MIN('Données projet'!$E$9:$E$18),O40+1,"STOP")</f>
        <v>8</v>
      </c>
      <c r="P41" s="194">
        <f t="shared" si="3"/>
        <v>11610.992816509781</v>
      </c>
      <c r="Q41" s="262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89">
        <f>'Données projet'!A55</f>
        <v>0</v>
      </c>
      <c r="B42" s="190">
        <f>'Données projet'!D55</f>
        <v>0</v>
      </c>
      <c r="C42" s="203"/>
      <c r="D42" s="191">
        <f t="shared" si="2"/>
        <v>0</v>
      </c>
      <c r="E42" s="203"/>
      <c r="F42" s="261"/>
      <c r="G42" s="215"/>
      <c r="H42" s="200"/>
      <c r="I42" s="201"/>
      <c r="K42" s="222"/>
      <c r="L42" s="25"/>
      <c r="M42" s="25"/>
      <c r="N42" s="25"/>
      <c r="O42" s="204">
        <f>IF(O41+1&lt;=MIN('Données projet'!$E$9:$E$18),O41+1,"STOP")</f>
        <v>9</v>
      </c>
      <c r="P42" s="194">
        <f t="shared" si="3"/>
        <v>11110.997910535676</v>
      </c>
      <c r="Q42" s="262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6"/>
      <c r="B43" s="196"/>
      <c r="C43" s="196"/>
      <c r="D43" s="253"/>
      <c r="E43" s="253"/>
      <c r="F43" s="266"/>
      <c r="G43" s="215"/>
      <c r="H43" s="200"/>
      <c r="I43" s="201"/>
      <c r="K43" s="222"/>
      <c r="L43" s="25"/>
      <c r="M43" s="25"/>
      <c r="N43" s="25"/>
      <c r="O43" s="204">
        <f>IF(O42+1&lt;=MIN('Données projet'!$E$9:$E$18),O42+1,"STOP")</f>
        <v>10</v>
      </c>
      <c r="P43" s="194">
        <f t="shared" si="3"/>
        <v>10632.533885680075</v>
      </c>
      <c r="Q43" s="26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8"/>
      <c r="G44" s="215"/>
      <c r="H44" s="200"/>
      <c r="I44" s="201"/>
      <c r="K44" s="222"/>
      <c r="L44" s="25"/>
      <c r="M44" s="25"/>
      <c r="N44" s="25"/>
      <c r="O44" s="204">
        <f>IF(O43+1&lt;=MIN('Données projet'!$E$9:$E$18),O43+1,"STOP")</f>
        <v>11</v>
      </c>
      <c r="P44" s="194">
        <f t="shared" si="3"/>
        <v>10174.673574813469</v>
      </c>
      <c r="Q44" s="26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3" t="str">
        <f>IF('Données projet'!$B$10="","",'Données projet'!$B$10)</f>
        <v>Chêne rouge d'Amérique</v>
      </c>
      <c r="C45" s="5"/>
      <c r="D45" s="5"/>
      <c r="E45" s="5"/>
      <c r="F45" s="258"/>
      <c r="G45" s="215"/>
      <c r="H45" s="200"/>
      <c r="I45" s="201"/>
      <c r="J45" s="25"/>
      <c r="K45" s="222"/>
      <c r="L45" s="25"/>
      <c r="M45" s="25"/>
      <c r="N45" s="25"/>
      <c r="O45" s="204">
        <f>IF(O44+1&lt;=MIN('Données projet'!$E$9:$E$18),O44+1,"STOP")</f>
        <v>12</v>
      </c>
      <c r="P45" s="194">
        <f t="shared" si="3"/>
        <v>9736.5297366636078</v>
      </c>
      <c r="Q45" s="26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8"/>
      <c r="G46" s="215"/>
      <c r="H46" s="200"/>
      <c r="I46" s="201"/>
      <c r="J46" s="25"/>
      <c r="K46" s="222"/>
      <c r="L46" s="217"/>
      <c r="M46" s="217"/>
      <c r="N46" s="217"/>
      <c r="O46" s="204">
        <f>IF(O45+1&lt;=MIN('Données projet'!$E$9:$E$18),O45+1,"STOP")</f>
        <v>13</v>
      </c>
      <c r="P46" s="197">
        <f t="shared" si="3"/>
        <v>9317.253336520198</v>
      </c>
      <c r="Q46" s="26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4" t="s">
        <v>180</v>
      </c>
      <c r="B47" s="51" t="s">
        <v>256</v>
      </c>
      <c r="C47" s="51" t="s">
        <v>255</v>
      </c>
      <c r="D47" s="254" t="s">
        <v>252</v>
      </c>
      <c r="E47" s="254" t="s">
        <v>320</v>
      </c>
      <c r="F47" s="259"/>
      <c r="G47" s="215"/>
      <c r="H47" s="200"/>
      <c r="I47" s="201"/>
      <c r="J47" s="25"/>
      <c r="K47" s="222"/>
      <c r="L47" s="5"/>
      <c r="M47" s="5"/>
      <c r="N47" s="5"/>
      <c r="O47" s="204">
        <f>IF(O46+1&lt;=MIN('Données projet'!$E$9:$E$18),O46+1,"STOP")</f>
        <v>14</v>
      </c>
      <c r="P47" s="194">
        <f t="shared" si="3"/>
        <v>8916.0319009762698</v>
      </c>
      <c r="Q47" s="26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7">
        <v>0</v>
      </c>
      <c r="B48" s="210" t="s">
        <v>132</v>
      </c>
      <c r="C48" s="209"/>
      <c r="D48" s="208" t="s">
        <v>132</v>
      </c>
      <c r="E48" s="203"/>
      <c r="F48" s="259"/>
      <c r="G48" s="215"/>
      <c r="H48" s="200"/>
      <c r="I48" s="201"/>
      <c r="J48" s="25"/>
      <c r="K48" s="222"/>
      <c r="L48" s="5"/>
      <c r="M48" s="5"/>
      <c r="N48" s="5"/>
      <c r="O48" s="204">
        <f>IF(O47+1&lt;=MIN('Données projet'!$E$9:$E$18),O47+1,"STOP")</f>
        <v>15</v>
      </c>
      <c r="P48" s="194">
        <f t="shared" si="3"/>
        <v>8532.0879435179595</v>
      </c>
      <c r="Q48" s="26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5" customFormat="1" ht="17.25" customHeight="1" x14ac:dyDescent="0.3">
      <c r="A49" s="207">
        <v>1</v>
      </c>
      <c r="B49" s="210" t="s">
        <v>132</v>
      </c>
      <c r="C49" s="209"/>
      <c r="D49" s="208" t="s">
        <v>132</v>
      </c>
      <c r="E49" s="203"/>
      <c r="F49" s="259"/>
      <c r="G49" s="216"/>
      <c r="H49" s="200"/>
      <c r="I49" s="201"/>
      <c r="J49" s="217"/>
      <c r="K49" s="224"/>
      <c r="L49" s="5"/>
      <c r="M49" s="5"/>
      <c r="N49" s="5"/>
      <c r="O49" s="204">
        <f>IF(O48+1&lt;=MIN('Données projet'!$E$9:$E$18),O48+1,"STOP")</f>
        <v>16</v>
      </c>
      <c r="P49" s="194">
        <f t="shared" si="3"/>
        <v>8164.6774579119265</v>
      </c>
      <c r="Q49" s="264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6"/>
    </row>
    <row r="50" spans="1:56" x14ac:dyDescent="0.3">
      <c r="A50" s="207">
        <v>2</v>
      </c>
      <c r="B50" s="210" t="s">
        <v>132</v>
      </c>
      <c r="C50" s="209"/>
      <c r="D50" s="208" t="s">
        <v>132</v>
      </c>
      <c r="E50" s="203"/>
      <c r="F50" s="259"/>
      <c r="G50" s="218"/>
      <c r="H50" s="200"/>
      <c r="I50" s="201"/>
      <c r="J50" s="25"/>
      <c r="K50" s="180"/>
      <c r="L50" s="5"/>
      <c r="M50" s="5"/>
      <c r="N50" s="5"/>
      <c r="O50" s="204">
        <f>IF(O49+1&lt;=MIN('Données projet'!$E$9:$E$18),O49+1,"STOP")</f>
        <v>17</v>
      </c>
      <c r="P50" s="194">
        <f t="shared" si="3"/>
        <v>7813.0884764707434</v>
      </c>
      <c r="Q50" s="26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7">
        <v>3</v>
      </c>
      <c r="B51" s="210" t="s">
        <v>132</v>
      </c>
      <c r="C51" s="209"/>
      <c r="D51" s="208" t="s">
        <v>132</v>
      </c>
      <c r="E51" s="203"/>
      <c r="F51" s="259"/>
      <c r="G51" s="218"/>
      <c r="H51" s="200"/>
      <c r="I51" s="201"/>
      <c r="J51" s="25"/>
      <c r="K51" s="180"/>
      <c r="L51" s="5"/>
      <c r="M51" s="5"/>
      <c r="N51" s="5"/>
      <c r="O51" s="204">
        <f>IF(O50+1&lt;=MIN('Données projet'!$E$9:$E$18),O50+1,"STOP")</f>
        <v>18</v>
      </c>
      <c r="P51" s="194">
        <f t="shared" si="3"/>
        <v>7476.6396904026269</v>
      </c>
      <c r="Q51" s="26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7">
        <v>4</v>
      </c>
      <c r="B52" s="210" t="s">
        <v>132</v>
      </c>
      <c r="C52" s="209"/>
      <c r="D52" s="208" t="s">
        <v>132</v>
      </c>
      <c r="E52" s="203"/>
      <c r="F52" s="259"/>
      <c r="G52" s="218"/>
      <c r="H52" s="200"/>
      <c r="I52" s="201"/>
      <c r="J52" s="25"/>
      <c r="K52" s="180"/>
      <c r="L52" s="5"/>
      <c r="M52" s="5"/>
      <c r="N52" s="5"/>
      <c r="O52" s="204">
        <f>IF(O51+1&lt;=MIN('Données projet'!$E$9:$E$18),O51+1,"STOP")</f>
        <v>19</v>
      </c>
      <c r="P52" s="194">
        <f t="shared" si="3"/>
        <v>7154.6791295718922</v>
      </c>
      <c r="Q52" s="26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7">
        <v>5</v>
      </c>
      <c r="B53" s="210" t="s">
        <v>132</v>
      </c>
      <c r="C53" s="209"/>
      <c r="D53" s="208" t="s">
        <v>132</v>
      </c>
      <c r="E53" s="203"/>
      <c r="F53" s="259"/>
      <c r="G53" s="219"/>
      <c r="H53" s="200"/>
      <c r="I53" s="201"/>
      <c r="J53" s="25"/>
      <c r="K53" s="180"/>
      <c r="L53" s="5"/>
      <c r="M53" s="5"/>
      <c r="N53" s="5"/>
      <c r="O53" s="204">
        <f>IF(O52+1&lt;=MIN('Données projet'!$E$9:$E$18),O52+1,"STOP")</f>
        <v>20</v>
      </c>
      <c r="P53" s="194">
        <f t="shared" si="3"/>
        <v>6846.5828991118597</v>
      </c>
      <c r="Q53" s="26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89">
        <f>'Données projet'!A62</f>
        <v>20</v>
      </c>
      <c r="B54" s="190">
        <f>'Données projet'!D62</f>
        <v>32</v>
      </c>
      <c r="C54" s="201">
        <v>20</v>
      </c>
      <c r="D54" s="188">
        <f>B54*C54</f>
        <v>640</v>
      </c>
      <c r="E54" s="203"/>
      <c r="F54" s="260"/>
      <c r="G54" s="219"/>
      <c r="H54" s="200"/>
      <c r="I54" s="201"/>
      <c r="J54" s="25"/>
      <c r="K54" s="180"/>
      <c r="L54" s="5"/>
      <c r="M54" s="5"/>
      <c r="N54" s="5"/>
      <c r="O54" s="204">
        <f>IF(O53+1&lt;=MIN('Données projet'!$E$9:$E$18),O53+1,"STOP")</f>
        <v>21</v>
      </c>
      <c r="P54" s="194">
        <f t="shared" si="3"/>
        <v>6551.7539704419705</v>
      </c>
      <c r="Q54" s="26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89">
        <f>'Données projet'!A63</f>
        <v>25</v>
      </c>
      <c r="B55" s="190">
        <f>'Données projet'!D63</f>
        <v>0</v>
      </c>
      <c r="C55" s="203"/>
      <c r="D55" s="188">
        <f t="shared" ref="D55:D73" si="4">B55*C55</f>
        <v>0</v>
      </c>
      <c r="E55" s="203"/>
      <c r="F55" s="260"/>
      <c r="G55" s="219"/>
      <c r="H55" s="200"/>
      <c r="I55" s="201"/>
      <c r="J55" s="25"/>
      <c r="K55" s="180"/>
      <c r="L55" s="5"/>
      <c r="M55" s="5"/>
      <c r="N55" s="5"/>
      <c r="O55" s="204">
        <f>IF(O54+1&lt;=MIN('Données projet'!$E$9:$E$18),O54+1,"STOP")</f>
        <v>22</v>
      </c>
      <c r="P55" s="194">
        <f t="shared" si="3"/>
        <v>6269.6210243463856</v>
      </c>
      <c r="Q55" s="26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89">
        <f>'Données projet'!A64</f>
        <v>30</v>
      </c>
      <c r="B56" s="190">
        <f>'Données projet'!D64</f>
        <v>62</v>
      </c>
      <c r="C56" s="203">
        <v>20</v>
      </c>
      <c r="D56" s="188">
        <f t="shared" si="4"/>
        <v>1240</v>
      </c>
      <c r="E56" s="203"/>
      <c r="F56" s="260"/>
      <c r="G56" s="219"/>
      <c r="H56" s="200"/>
      <c r="I56" s="201"/>
      <c r="J56" s="25"/>
      <c r="K56" s="180"/>
      <c r="L56" s="5"/>
      <c r="M56" s="5"/>
      <c r="N56" s="5"/>
      <c r="O56" s="204">
        <f>IF(O55+1&lt;=MIN('Données projet'!$E$9:$E$18),O55+1,"STOP")</f>
        <v>23</v>
      </c>
      <c r="P56" s="194">
        <f t="shared" si="3"/>
        <v>5999.6373438721394</v>
      </c>
      <c r="Q56" s="26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89">
        <f>'Données projet'!A65</f>
        <v>35</v>
      </c>
      <c r="B57" s="190">
        <f>'Données projet'!D65</f>
        <v>0</v>
      </c>
      <c r="C57" s="203"/>
      <c r="D57" s="188">
        <f t="shared" si="4"/>
        <v>0</v>
      </c>
      <c r="E57" s="203"/>
      <c r="F57" s="260"/>
      <c r="G57" s="219"/>
      <c r="H57" s="200"/>
      <c r="I57" s="201"/>
      <c r="J57" s="25"/>
      <c r="K57" s="180"/>
      <c r="L57" s="5"/>
      <c r="M57" s="5"/>
      <c r="N57" s="5"/>
      <c r="O57" s="204">
        <f>IF(O56+1&lt;=MIN('Données projet'!$E$9:$E$18),O56+1,"STOP")</f>
        <v>24</v>
      </c>
      <c r="P57" s="194">
        <f t="shared" si="3"/>
        <v>5741.2797549015695</v>
      </c>
      <c r="Q57" s="26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89">
        <f>'Données projet'!A66</f>
        <v>40</v>
      </c>
      <c r="B58" s="190">
        <f>'Données projet'!D66</f>
        <v>58</v>
      </c>
      <c r="C58" s="203">
        <v>40</v>
      </c>
      <c r="D58" s="188">
        <f t="shared" si="4"/>
        <v>2320</v>
      </c>
      <c r="E58" s="203"/>
      <c r="F58" s="260"/>
      <c r="G58" s="219"/>
      <c r="H58" s="200"/>
      <c r="I58" s="201"/>
      <c r="J58" s="25"/>
      <c r="K58" s="180"/>
      <c r="L58" s="5"/>
      <c r="M58" s="5"/>
      <c r="N58" s="5"/>
      <c r="O58" s="204">
        <f>IF(O57+1&lt;=MIN('Données projet'!$E$9:$E$18),O57+1,"STOP")</f>
        <v>25</v>
      </c>
      <c r="P58" s="194">
        <f t="shared" si="3"/>
        <v>5494.0476123460003</v>
      </c>
      <c r="Q58" s="263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89">
        <f>'Données projet'!A67</f>
        <v>45</v>
      </c>
      <c r="B59" s="190">
        <f>'Données projet'!D67</f>
        <v>0</v>
      </c>
      <c r="C59" s="203"/>
      <c r="D59" s="188">
        <f t="shared" si="4"/>
        <v>0</v>
      </c>
      <c r="E59" s="203"/>
      <c r="F59" s="260"/>
      <c r="G59" s="219"/>
      <c r="H59" s="200"/>
      <c r="I59" s="201"/>
      <c r="J59" s="25"/>
      <c r="K59" s="180"/>
      <c r="L59" s="5"/>
      <c r="M59" s="5"/>
      <c r="N59" s="5"/>
      <c r="O59" s="204">
        <f>IF(O58+1&lt;=MIN('Données projet'!$E$9:$E$18),O58+1,"STOP")</f>
        <v>26</v>
      </c>
      <c r="P59" s="194">
        <f t="shared" si="3"/>
        <v>5257.4618299961739</v>
      </c>
      <c r="Q59" s="263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89">
        <f>'Données projet'!A68</f>
        <v>50</v>
      </c>
      <c r="B60" s="190">
        <f>'Données projet'!D68</f>
        <v>50</v>
      </c>
      <c r="C60" s="203">
        <v>70</v>
      </c>
      <c r="D60" s="188">
        <f t="shared" si="4"/>
        <v>3500</v>
      </c>
      <c r="E60" s="203"/>
      <c r="F60" s="260"/>
      <c r="G60" s="220"/>
      <c r="H60" s="200"/>
      <c r="I60" s="201"/>
      <c r="J60" s="25"/>
      <c r="K60" s="180"/>
      <c r="L60" s="5"/>
      <c r="M60" s="5"/>
      <c r="N60" s="5"/>
      <c r="O60" s="204">
        <f>IF(O59+1&lt;=MIN('Données projet'!$E$9:$E$18),O59+1,"STOP")</f>
        <v>27</v>
      </c>
      <c r="P60" s="194">
        <f t="shared" si="3"/>
        <v>5031.0639521494486</v>
      </c>
      <c r="Q60" s="263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89">
        <f>'Données projet'!A69</f>
        <v>55</v>
      </c>
      <c r="B61" s="190">
        <f>'Données projet'!D69</f>
        <v>0</v>
      </c>
      <c r="C61" s="203"/>
      <c r="D61" s="188">
        <f t="shared" si="4"/>
        <v>0</v>
      </c>
      <c r="E61" s="203"/>
      <c r="F61" s="260"/>
      <c r="G61" s="220"/>
      <c r="H61" s="200"/>
      <c r="I61" s="201"/>
      <c r="J61" s="25"/>
      <c r="K61" s="180"/>
      <c r="L61" s="5"/>
      <c r="M61" s="5"/>
      <c r="N61" s="5"/>
      <c r="O61" s="204">
        <f>IF(O60+1&lt;=MIN('Données projet'!$E$9:$E$18),O60+1,"STOP")</f>
        <v>28</v>
      </c>
      <c r="P61" s="194">
        <f t="shared" si="3"/>
        <v>4814.4152652147841</v>
      </c>
      <c r="Q61" s="263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89">
        <f>'Données projet'!A70</f>
        <v>60</v>
      </c>
      <c r="B62" s="190">
        <f>'Données projet'!D70</f>
        <v>40</v>
      </c>
      <c r="C62" s="203">
        <v>100</v>
      </c>
      <c r="D62" s="188">
        <f t="shared" si="4"/>
        <v>4000</v>
      </c>
      <c r="E62" s="203"/>
      <c r="F62" s="260"/>
      <c r="G62" s="220"/>
      <c r="H62" s="200"/>
      <c r="I62" s="201"/>
      <c r="J62" s="25"/>
      <c r="K62" s="180"/>
      <c r="L62" s="5"/>
      <c r="M62" s="5"/>
      <c r="N62" s="5"/>
      <c r="O62" s="204">
        <f>IF(O61+1&lt;=MIN('Données projet'!$E$9:$E$18),O61+1,"STOP")</f>
        <v>29</v>
      </c>
      <c r="P62" s="194">
        <f t="shared" si="3"/>
        <v>4607.0959475739555</v>
      </c>
      <c r="Q62" s="263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89">
        <f>'Données projet'!A71</f>
        <v>65</v>
      </c>
      <c r="B63" s="190">
        <f>'Données projet'!D71</f>
        <v>0</v>
      </c>
      <c r="C63" s="203"/>
      <c r="D63" s="188">
        <f t="shared" si="4"/>
        <v>0</v>
      </c>
      <c r="E63" s="203"/>
      <c r="F63" s="260"/>
      <c r="G63" s="220"/>
      <c r="H63" s="200"/>
      <c r="I63" s="201"/>
      <c r="J63" s="25"/>
      <c r="K63" s="180"/>
      <c r="L63" s="5"/>
      <c r="M63" s="5"/>
      <c r="N63" s="5"/>
      <c r="O63" s="204">
        <f>IF(O62+1&lt;=MIN('Données projet'!$E$9:$E$18),O62+1,"STOP")</f>
        <v>30</v>
      </c>
      <c r="P63" s="194">
        <f t="shared" si="3"/>
        <v>4408.7042560516338</v>
      </c>
      <c r="Q63" s="263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89">
        <f>'Données projet'!A72</f>
        <v>70</v>
      </c>
      <c r="B64" s="190">
        <f>'Données projet'!D72</f>
        <v>32</v>
      </c>
      <c r="C64" s="203">
        <v>120</v>
      </c>
      <c r="D64" s="188">
        <f t="shared" si="4"/>
        <v>3840</v>
      </c>
      <c r="E64" s="203"/>
      <c r="F64" s="260"/>
      <c r="G64" s="220"/>
      <c r="H64" s="200"/>
      <c r="I64" s="201"/>
      <c r="J64" s="221"/>
      <c r="K64" s="180"/>
      <c r="L64" s="5"/>
      <c r="M64" s="5"/>
      <c r="N64" s="5"/>
      <c r="O64" s="204">
        <f>IF(O63+1&lt;=MIN('Données projet'!$E$9:$E$18),O63+1,"STOP")</f>
        <v>31</v>
      </c>
      <c r="P64" s="194">
        <f t="shared" si="3"/>
        <v>4218.8557474178306</v>
      </c>
      <c r="Q64" s="263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89">
        <f>'Données projet'!A73</f>
        <v>75</v>
      </c>
      <c r="B65" s="190">
        <f>'Données projet'!D73</f>
        <v>0</v>
      </c>
      <c r="C65" s="203"/>
      <c r="D65" s="188">
        <f t="shared" si="4"/>
        <v>0</v>
      </c>
      <c r="E65" s="203"/>
      <c r="F65" s="260"/>
      <c r="G65" s="220"/>
      <c r="H65" s="200"/>
      <c r="I65" s="201"/>
      <c r="J65" s="198"/>
      <c r="K65" s="180"/>
      <c r="L65" s="5"/>
      <c r="M65" s="5"/>
      <c r="N65" s="5"/>
      <c r="O65" s="204">
        <f>IF(O64+1&lt;=MIN('Données projet'!$E$9:$E$18),O64+1,"STOP")</f>
        <v>32</v>
      </c>
      <c r="P65" s="194">
        <f t="shared" ref="P65:P96" si="5">$P$25/(1+$M$4)^O65</f>
        <v>4037.182533414194</v>
      </c>
      <c r="Q65" s="263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89">
        <f>'Données projet'!A74</f>
        <v>80</v>
      </c>
      <c r="B66" s="190">
        <f>'Données projet'!D74</f>
        <v>24</v>
      </c>
      <c r="C66" s="203">
        <v>150</v>
      </c>
      <c r="D66" s="188">
        <f t="shared" si="4"/>
        <v>3600</v>
      </c>
      <c r="E66" s="203"/>
      <c r="F66" s="260"/>
      <c r="G66" s="220"/>
      <c r="H66" s="200"/>
      <c r="I66" s="201"/>
      <c r="J66" s="198"/>
      <c r="K66" s="180"/>
      <c r="L66" s="5"/>
      <c r="M66" s="5"/>
      <c r="N66" s="5"/>
      <c r="O66" s="204">
        <f>IF(O65+1&lt;=MIN('Données projet'!$E$9:$E$18),O65+1,"STOP")</f>
        <v>33</v>
      </c>
      <c r="P66" s="194">
        <f t="shared" si="5"/>
        <v>3863.3325678604733</v>
      </c>
      <c r="Q66" s="263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89">
        <f>'Données projet'!A75</f>
        <v>85</v>
      </c>
      <c r="B67" s="190">
        <f>'Données projet'!D75</f>
        <v>0</v>
      </c>
      <c r="C67" s="203"/>
      <c r="D67" s="188">
        <f t="shared" si="4"/>
        <v>0</v>
      </c>
      <c r="E67" s="203"/>
      <c r="F67" s="260"/>
      <c r="G67" s="220"/>
      <c r="H67" s="200"/>
      <c r="I67" s="201"/>
      <c r="J67" s="198"/>
      <c r="K67" s="180"/>
      <c r="L67" s="5"/>
      <c r="M67" s="5"/>
      <c r="N67" s="5"/>
      <c r="O67" s="204">
        <f>IF(O66+1&lt;=MIN('Données projet'!$E$9:$E$18),O66+1,"STOP")</f>
        <v>34</v>
      </c>
      <c r="P67" s="194">
        <f t="shared" si="5"/>
        <v>3696.9689644597834</v>
      </c>
      <c r="Q67" s="263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89">
        <f>'Données projet'!A76</f>
        <v>90</v>
      </c>
      <c r="B68" s="190">
        <f>'Données projet'!D76</f>
        <v>225</v>
      </c>
      <c r="C68" s="203">
        <v>200</v>
      </c>
      <c r="D68" s="188">
        <f t="shared" si="4"/>
        <v>45000</v>
      </c>
      <c r="E68" s="203"/>
      <c r="F68" s="260"/>
      <c r="G68" s="220"/>
      <c r="H68" s="200"/>
      <c r="I68" s="201"/>
      <c r="J68" s="198"/>
      <c r="K68" s="180"/>
      <c r="L68" s="5"/>
      <c r="M68" s="5"/>
      <c r="N68" s="5"/>
      <c r="O68" s="204">
        <f>IF(O67+1&lt;=MIN('Données projet'!$E$9:$E$18),O67+1,"STOP")</f>
        <v>35</v>
      </c>
      <c r="P68" s="194">
        <f t="shared" si="5"/>
        <v>3537.769343980654</v>
      </c>
      <c r="Q68" s="263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89">
        <f>'Données projet'!A77</f>
        <v>0</v>
      </c>
      <c r="B69" s="190">
        <f>'Données projet'!D77</f>
        <v>0</v>
      </c>
      <c r="C69" s="201"/>
      <c r="D69" s="188">
        <f t="shared" si="4"/>
        <v>0</v>
      </c>
      <c r="E69" s="203"/>
      <c r="F69" s="260"/>
      <c r="G69" s="220"/>
      <c r="H69" s="200"/>
      <c r="I69" s="201"/>
      <c r="J69" s="198"/>
      <c r="K69" s="180"/>
      <c r="L69" s="5"/>
      <c r="M69" s="5"/>
      <c r="N69" s="5"/>
      <c r="O69" s="204">
        <f>IF(O68+1&lt;=MIN('Données projet'!$E$9:$E$18),O68+1,"STOP")</f>
        <v>36</v>
      </c>
      <c r="P69" s="194">
        <f t="shared" si="5"/>
        <v>3385.4252095508659</v>
      </c>
      <c r="Q69" s="263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89">
        <f>'Données projet'!A78</f>
        <v>0</v>
      </c>
      <c r="B70" s="190">
        <f>'Données projet'!D78</f>
        <v>0</v>
      </c>
      <c r="C70" s="201"/>
      <c r="D70" s="188">
        <f t="shared" si="4"/>
        <v>0</v>
      </c>
      <c r="E70" s="203"/>
      <c r="F70" s="260"/>
      <c r="G70" s="220"/>
      <c r="H70" s="200"/>
      <c r="I70" s="201"/>
      <c r="J70" s="198"/>
      <c r="K70" s="180"/>
      <c r="L70" s="5"/>
      <c r="M70" s="5"/>
      <c r="N70" s="5"/>
      <c r="O70" s="204">
        <f>IF(O69+1&lt;=MIN('Données projet'!$E$9:$E$18),O69+1,"STOP")</f>
        <v>37</v>
      </c>
      <c r="P70" s="194">
        <f t="shared" si="5"/>
        <v>3239.6413488525031</v>
      </c>
      <c r="Q70" s="263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89">
        <f>'Données projet'!A79</f>
        <v>0</v>
      </c>
      <c r="B71" s="190">
        <f>'Données projet'!D79</f>
        <v>0</v>
      </c>
      <c r="C71" s="201"/>
      <c r="D71" s="188">
        <f t="shared" si="4"/>
        <v>0</v>
      </c>
      <c r="E71" s="203"/>
      <c r="F71" s="260"/>
      <c r="G71" s="220"/>
      <c r="H71" s="200"/>
      <c r="I71" s="201"/>
      <c r="J71" s="198"/>
      <c r="K71" s="180"/>
      <c r="L71" s="5"/>
      <c r="M71" s="5"/>
      <c r="N71" s="5"/>
      <c r="O71" s="204">
        <f>IF(O70+1&lt;=MIN('Données projet'!$E$9:$E$18),O70+1,"STOP")</f>
        <v>38</v>
      </c>
      <c r="P71" s="194">
        <f t="shared" si="5"/>
        <v>3100.1352620598122</v>
      </c>
      <c r="Q71" s="263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89">
        <f>'Données projet'!A80</f>
        <v>0</v>
      </c>
      <c r="B72" s="190">
        <f>'Données projet'!D80</f>
        <v>0</v>
      </c>
      <c r="C72" s="201"/>
      <c r="D72" s="188">
        <f t="shared" si="4"/>
        <v>0</v>
      </c>
      <c r="E72" s="203"/>
      <c r="F72" s="260"/>
      <c r="G72" s="220"/>
      <c r="H72" s="200"/>
      <c r="I72" s="201"/>
      <c r="J72" s="5"/>
      <c r="K72" s="180"/>
      <c r="L72" s="5"/>
      <c r="M72" s="5"/>
      <c r="N72" s="5"/>
      <c r="O72" s="204">
        <f>IF(O71+1&lt;=MIN('Données projet'!$E$9:$E$18),O71+1,"STOP")</f>
        <v>39</v>
      </c>
      <c r="P72" s="194">
        <f t="shared" si="5"/>
        <v>2966.6366144113035</v>
      </c>
      <c r="Q72" s="263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89">
        <f>'Données projet'!A81</f>
        <v>0</v>
      </c>
      <c r="B73" s="190">
        <f>'Données projet'!D81</f>
        <v>0</v>
      </c>
      <c r="C73" s="201"/>
      <c r="D73" s="188">
        <f t="shared" si="4"/>
        <v>0</v>
      </c>
      <c r="E73" s="203"/>
      <c r="F73" s="260"/>
      <c r="G73" s="220"/>
      <c r="H73" s="200"/>
      <c r="I73" s="201"/>
      <c r="J73" s="5"/>
      <c r="K73" s="180"/>
      <c r="L73" s="5"/>
      <c r="M73" s="5"/>
      <c r="N73" s="5"/>
      <c r="O73" s="204">
        <f>IF(O72+1&lt;=MIN('Données projet'!$E$9:$E$18),O72+1,"STOP")</f>
        <v>40</v>
      </c>
      <c r="P73" s="194">
        <f t="shared" si="5"/>
        <v>2838.886712355315</v>
      </c>
      <c r="Q73" s="263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8"/>
      <c r="G74" s="220"/>
      <c r="H74" s="200"/>
      <c r="I74" s="201"/>
      <c r="J74" s="5"/>
      <c r="K74" s="180"/>
      <c r="L74" s="5"/>
      <c r="M74" s="5"/>
      <c r="N74" s="5"/>
      <c r="O74" s="204">
        <f>IF(O73+1&lt;=MIN('Données projet'!$E$9:$E$18),O73+1,"STOP")</f>
        <v>41</v>
      </c>
      <c r="P74" s="194">
        <f t="shared" si="5"/>
        <v>2716.6380022538906</v>
      </c>
      <c r="Q74" s="263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8"/>
      <c r="G75" s="220"/>
      <c r="H75" s="200"/>
      <c r="I75" s="201"/>
      <c r="J75" s="5"/>
      <c r="K75" s="180"/>
      <c r="L75" s="5"/>
      <c r="M75" s="5"/>
      <c r="N75" s="5"/>
      <c r="O75" s="204">
        <f>IF(O74+1&lt;=MIN('Données projet'!$E$9:$E$18),O74+1,"STOP")</f>
        <v>42</v>
      </c>
      <c r="P75" s="194">
        <f t="shared" si="5"/>
        <v>2599.6535906735799</v>
      </c>
      <c r="Q75" s="263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3" t="str">
        <f>IF('Données projet'!B11="","",'Données projet'!B11)</f>
        <v>Erable sycomore</v>
      </c>
      <c r="C76" s="5"/>
      <c r="D76" s="5"/>
      <c r="E76" s="5"/>
      <c r="F76" s="258"/>
      <c r="G76" s="220"/>
      <c r="H76" s="200"/>
      <c r="I76" s="201"/>
      <c r="J76" s="5"/>
      <c r="K76" s="180"/>
      <c r="L76" s="5"/>
      <c r="M76" s="5"/>
      <c r="N76" s="5"/>
      <c r="O76" s="204">
        <f>IF(O75+1&lt;=MIN('Données projet'!$E$9:$E$18),O75+1,"STOP")</f>
        <v>43</v>
      </c>
      <c r="P76" s="194">
        <f t="shared" si="5"/>
        <v>2487.7067853335693</v>
      </c>
      <c r="Q76" s="263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8"/>
      <c r="G77" s="220"/>
      <c r="H77" s="200"/>
      <c r="I77" s="201"/>
      <c r="J77" s="5"/>
      <c r="K77" s="180"/>
      <c r="L77" s="5"/>
      <c r="M77" s="5"/>
      <c r="N77" s="5"/>
      <c r="O77" s="204">
        <f>IF(O76+1&lt;=MIN('Données projet'!$E$9:$E$18),O76+1,"STOP")</f>
        <v>44</v>
      </c>
      <c r="P77" s="194">
        <f t="shared" si="5"/>
        <v>2380.5806558215977</v>
      </c>
      <c r="Q77" s="263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4" t="s">
        <v>180</v>
      </c>
      <c r="B78" s="51" t="s">
        <v>256</v>
      </c>
      <c r="C78" s="51" t="s">
        <v>255</v>
      </c>
      <c r="D78" s="254" t="s">
        <v>252</v>
      </c>
      <c r="E78" s="254" t="s">
        <v>320</v>
      </c>
      <c r="F78" s="259"/>
      <c r="G78" s="220"/>
      <c r="H78" s="200"/>
      <c r="I78" s="201"/>
      <c r="J78" s="5"/>
      <c r="K78" s="180"/>
      <c r="L78" s="5"/>
      <c r="M78" s="5"/>
      <c r="N78" s="5"/>
      <c r="O78" s="204">
        <f>IF(O77+1&lt;=MIN('Données projet'!$E$9:$E$18),O77+1,"STOP")</f>
        <v>45</v>
      </c>
      <c r="P78" s="194">
        <f t="shared" si="5"/>
        <v>2278.0676132264093</v>
      </c>
      <c r="Q78" s="263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7">
        <v>0</v>
      </c>
      <c r="B79" s="210" t="s">
        <v>132</v>
      </c>
      <c r="C79" s="209" t="s">
        <v>132</v>
      </c>
      <c r="D79" s="208" t="s">
        <v>132</v>
      </c>
      <c r="E79" s="203"/>
      <c r="F79" s="259"/>
      <c r="G79" s="220"/>
      <c r="H79" s="200"/>
      <c r="I79" s="201"/>
      <c r="J79" s="5"/>
      <c r="K79" s="180"/>
      <c r="L79" s="5"/>
      <c r="M79" s="5"/>
      <c r="N79" s="5"/>
      <c r="O79" s="204">
        <f>IF(O78+1&lt;=MIN('Données projet'!$E$9:$E$18),O78+1,"STOP")</f>
        <v>46</v>
      </c>
      <c r="P79" s="194">
        <f t="shared" si="5"/>
        <v>2179.9690078721624</v>
      </c>
      <c r="Q79" s="263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7">
        <v>1</v>
      </c>
      <c r="B80" s="210" t="s">
        <v>132</v>
      </c>
      <c r="C80" s="209" t="s">
        <v>132</v>
      </c>
      <c r="D80" s="208" t="s">
        <v>132</v>
      </c>
      <c r="E80" s="203"/>
      <c r="F80" s="259"/>
      <c r="G80" s="218"/>
      <c r="H80" s="200"/>
      <c r="I80" s="201"/>
      <c r="J80" s="5"/>
      <c r="K80" s="180"/>
      <c r="L80" s="5"/>
      <c r="M80" s="5"/>
      <c r="N80" s="5"/>
      <c r="O80" s="204">
        <f>IF(O79+1&lt;=MIN('Données projet'!$E$9:$E$18),O79+1,"STOP")</f>
        <v>47</v>
      </c>
      <c r="P80" s="194">
        <f t="shared" si="5"/>
        <v>2086.0947443752748</v>
      </c>
      <c r="Q80" s="263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7">
        <v>2</v>
      </c>
      <c r="B81" s="210" t="s">
        <v>132</v>
      </c>
      <c r="C81" s="209" t="s">
        <v>132</v>
      </c>
      <c r="D81" s="208" t="s">
        <v>132</v>
      </c>
      <c r="E81" s="203"/>
      <c r="F81" s="259"/>
      <c r="G81" s="218"/>
      <c r="H81" s="200"/>
      <c r="I81" s="201"/>
      <c r="J81" s="5"/>
      <c r="K81" s="180"/>
      <c r="L81" s="5"/>
      <c r="M81" s="5"/>
      <c r="N81" s="5"/>
      <c r="O81" s="204">
        <f>IF(O80+1&lt;=MIN('Données projet'!$E$9:$E$18),O80+1,"STOP")</f>
        <v>48</v>
      </c>
      <c r="P81" s="194">
        <f t="shared" si="5"/>
        <v>1996.2629132777759</v>
      </c>
      <c r="Q81" s="263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7">
        <v>3</v>
      </c>
      <c r="B82" s="210" t="s">
        <v>132</v>
      </c>
      <c r="C82" s="209" t="s">
        <v>132</v>
      </c>
      <c r="D82" s="208" t="s">
        <v>132</v>
      </c>
      <c r="E82" s="203"/>
      <c r="F82" s="259"/>
      <c r="G82" s="218"/>
      <c r="H82" s="200"/>
      <c r="I82" s="201"/>
      <c r="J82" s="5"/>
      <c r="K82" s="180"/>
      <c r="L82" s="5"/>
      <c r="M82" s="5"/>
      <c r="N82" s="5"/>
      <c r="O82" s="204">
        <f>IF(O81+1&lt;=MIN('Données projet'!$E$9:$E$18),O81+1,"STOP")</f>
        <v>49</v>
      </c>
      <c r="P82" s="194">
        <f t="shared" si="5"/>
        <v>1910.299438543326</v>
      </c>
      <c r="Q82" s="263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7">
        <v>4</v>
      </c>
      <c r="B83" s="210" t="s">
        <v>132</v>
      </c>
      <c r="C83" s="209" t="s">
        <v>132</v>
      </c>
      <c r="D83" s="208" t="s">
        <v>132</v>
      </c>
      <c r="E83" s="203"/>
      <c r="F83" s="259"/>
      <c r="G83" s="218"/>
      <c r="H83" s="200"/>
      <c r="I83" s="201"/>
      <c r="J83" s="5"/>
      <c r="K83" s="180"/>
      <c r="L83" s="5"/>
      <c r="M83" s="5"/>
      <c r="N83" s="5"/>
      <c r="O83" s="204">
        <f>IF(O82+1&lt;=MIN('Données projet'!$E$9:$E$18),O82+1,"STOP")</f>
        <v>50</v>
      </c>
      <c r="P83" s="194">
        <f t="shared" si="5"/>
        <v>1828.0377402328484</v>
      </c>
      <c r="Q83" s="263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7">
        <v>5</v>
      </c>
      <c r="B84" s="210" t="s">
        <v>132</v>
      </c>
      <c r="C84" s="209" t="s">
        <v>132</v>
      </c>
      <c r="D84" s="208" t="s">
        <v>132</v>
      </c>
      <c r="E84" s="203"/>
      <c r="F84" s="259"/>
      <c r="G84" s="219"/>
      <c r="H84" s="200"/>
      <c r="I84" s="201"/>
      <c r="J84" s="5"/>
      <c r="K84" s="180"/>
      <c r="L84" s="5"/>
      <c r="M84" s="5"/>
      <c r="N84" s="5"/>
      <c r="O84" s="204">
        <f>IF(O83+1&lt;=MIN('Données projet'!$E$9:$E$18),O83+1,"STOP")</f>
        <v>51</v>
      </c>
      <c r="P84" s="194">
        <f t="shared" si="5"/>
        <v>1749.318411706075</v>
      </c>
      <c r="Q84" s="263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89">
        <f>'Données projet'!A88</f>
        <v>15</v>
      </c>
      <c r="B85" s="190">
        <f>'Données projet'!D88</f>
        <v>0</v>
      </c>
      <c r="C85" s="203"/>
      <c r="D85" s="188">
        <f>B85*C85</f>
        <v>0</v>
      </c>
      <c r="E85" s="203"/>
      <c r="F85" s="260"/>
      <c r="G85" s="219"/>
      <c r="H85" s="200"/>
      <c r="I85" s="201"/>
      <c r="J85" s="5"/>
      <c r="K85" s="180"/>
      <c r="L85" s="5"/>
      <c r="M85" s="5"/>
      <c r="N85" s="5"/>
      <c r="O85" s="204">
        <f>IF(O84+1&lt;=MIN('Données projet'!$E$9:$E$18),O84+1,"STOP")</f>
        <v>52</v>
      </c>
      <c r="P85" s="194">
        <f t="shared" si="5"/>
        <v>1673.9889107235169</v>
      </c>
      <c r="Q85" s="263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89">
        <f>'Données projet'!A89</f>
        <v>20</v>
      </c>
      <c r="B86" s="190">
        <f>'Données projet'!D89</f>
        <v>43.1</v>
      </c>
      <c r="C86" s="203">
        <v>10</v>
      </c>
      <c r="D86" s="188">
        <f t="shared" ref="D86:D104" si="6">B86*C86</f>
        <v>431</v>
      </c>
      <c r="E86" s="203"/>
      <c r="F86" s="260"/>
      <c r="G86" s="219"/>
      <c r="H86" s="200"/>
      <c r="I86" s="201"/>
      <c r="J86" s="5"/>
      <c r="K86" s="180"/>
      <c r="L86" s="5"/>
      <c r="M86" s="5"/>
      <c r="N86" s="5"/>
      <c r="O86" s="204">
        <f>IF(O85+1&lt;=MIN('Données projet'!$E$9:$E$18),O85+1,"STOP")</f>
        <v>53</v>
      </c>
      <c r="P86" s="194">
        <f t="shared" si="5"/>
        <v>1601.9032638502556</v>
      </c>
      <c r="Q86" s="263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89">
        <f>'Données projet'!A90</f>
        <v>25</v>
      </c>
      <c r="B87" s="190">
        <f>'Données projet'!D90</f>
        <v>0</v>
      </c>
      <c r="C87" s="203"/>
      <c r="D87" s="188">
        <f t="shared" si="6"/>
        <v>0</v>
      </c>
      <c r="E87" s="203"/>
      <c r="F87" s="260"/>
      <c r="G87" s="219"/>
      <c r="H87" s="200"/>
      <c r="I87" s="201"/>
      <c r="J87" s="5"/>
      <c r="K87" s="180"/>
      <c r="L87" s="5"/>
      <c r="M87" s="5"/>
      <c r="N87" s="5"/>
      <c r="O87" s="204">
        <f>IF(O86+1&lt;=MIN('Données projet'!$E$9:$E$18),O86+1,"STOP")</f>
        <v>54</v>
      </c>
      <c r="P87" s="194">
        <f t="shared" si="5"/>
        <v>1532.9217835887619</v>
      </c>
      <c r="Q87" s="263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89">
        <f>'Données projet'!A91</f>
        <v>30</v>
      </c>
      <c r="B88" s="190">
        <f>'Données projet'!D91</f>
        <v>56</v>
      </c>
      <c r="C88" s="203">
        <v>10</v>
      </c>
      <c r="D88" s="188">
        <f t="shared" si="6"/>
        <v>560</v>
      </c>
      <c r="E88" s="203"/>
      <c r="F88" s="260"/>
      <c r="G88" s="219"/>
      <c r="H88" s="200"/>
      <c r="I88" s="201"/>
      <c r="J88" s="5"/>
      <c r="K88" s="180"/>
      <c r="L88" s="5"/>
      <c r="M88" s="5"/>
      <c r="N88" s="5"/>
      <c r="O88" s="204">
        <f>IF(O87+1&lt;=MIN('Données projet'!$E$9:$E$18),O87+1,"STOP")</f>
        <v>55</v>
      </c>
      <c r="P88" s="194">
        <f t="shared" si="5"/>
        <v>1466.9107976925948</v>
      </c>
      <c r="Q88" s="263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89">
        <f>'Données projet'!A92</f>
        <v>35</v>
      </c>
      <c r="B89" s="190">
        <f>'Données projet'!D92</f>
        <v>0</v>
      </c>
      <c r="C89" s="203"/>
      <c r="D89" s="188">
        <f t="shared" si="6"/>
        <v>0</v>
      </c>
      <c r="E89" s="203"/>
      <c r="F89" s="260"/>
      <c r="G89" s="219"/>
      <c r="H89" s="200"/>
      <c r="I89" s="201"/>
      <c r="J89" s="5"/>
      <c r="K89" s="180"/>
      <c r="L89" s="5"/>
      <c r="M89" s="5"/>
      <c r="N89" s="5"/>
      <c r="O89" s="204">
        <f>IF(O88+1&lt;=MIN('Données projet'!$E$9:$E$18),O88+1,"STOP")</f>
        <v>56</v>
      </c>
      <c r="P89" s="194">
        <f t="shared" si="5"/>
        <v>1403.7423901364548</v>
      </c>
      <c r="Q89" s="263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89">
        <f>'Données projet'!A93</f>
        <v>40</v>
      </c>
      <c r="B90" s="190">
        <f>'Données projet'!D93</f>
        <v>56</v>
      </c>
      <c r="C90" s="203">
        <v>15</v>
      </c>
      <c r="D90" s="188">
        <f t="shared" si="6"/>
        <v>840</v>
      </c>
      <c r="E90" s="203"/>
      <c r="F90" s="260"/>
      <c r="G90" s="219"/>
      <c r="H90" s="200"/>
      <c r="I90" s="201"/>
      <c r="J90" s="5"/>
      <c r="K90" s="180"/>
      <c r="L90" s="5"/>
      <c r="M90" s="5"/>
      <c r="N90" s="5"/>
      <c r="O90" s="204">
        <f>IF(O89+1&lt;=MIN('Données projet'!$E$9:$E$18),O89+1,"STOP")</f>
        <v>57</v>
      </c>
      <c r="P90" s="194">
        <f t="shared" si="5"/>
        <v>1343.2941532406267</v>
      </c>
      <c r="Q90" s="263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89">
        <f>'Données projet'!A94</f>
        <v>45</v>
      </c>
      <c r="B91" s="190">
        <f>'Données projet'!D94</f>
        <v>0</v>
      </c>
      <c r="C91" s="203"/>
      <c r="D91" s="188">
        <f t="shared" si="6"/>
        <v>0</v>
      </c>
      <c r="E91" s="203"/>
      <c r="F91" s="260"/>
      <c r="G91" s="220"/>
      <c r="H91" s="200"/>
      <c r="I91" s="201"/>
      <c r="J91" s="5"/>
      <c r="K91" s="180"/>
      <c r="L91" s="5"/>
      <c r="M91" s="5"/>
      <c r="N91" s="5"/>
      <c r="O91" s="204">
        <f>IF(O90+1&lt;=MIN('Données projet'!$E$9:$E$18),O90+1,"STOP")</f>
        <v>58</v>
      </c>
      <c r="P91" s="194">
        <f t="shared" si="5"/>
        <v>1285.4489504694996</v>
      </c>
      <c r="Q91" s="263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89">
        <f>'Données projet'!A95</f>
        <v>50</v>
      </c>
      <c r="B92" s="190">
        <f>'Données projet'!D95</f>
        <v>38.299999999999997</v>
      </c>
      <c r="C92" s="203">
        <v>20</v>
      </c>
      <c r="D92" s="188">
        <f t="shared" si="6"/>
        <v>766</v>
      </c>
      <c r="E92" s="203"/>
      <c r="F92" s="260"/>
      <c r="G92" s="220"/>
      <c r="H92" s="200"/>
      <c r="I92" s="201"/>
      <c r="J92" s="5"/>
      <c r="K92" s="180"/>
      <c r="L92" s="5"/>
      <c r="M92" s="5"/>
      <c r="N92" s="5"/>
      <c r="O92" s="204">
        <f>IF(O91+1&lt;=MIN('Données projet'!$E$9:$E$18),O91+1,"STOP")</f>
        <v>59</v>
      </c>
      <c r="P92" s="194">
        <f t="shared" si="5"/>
        <v>1230.0946894444971</v>
      </c>
      <c r="Q92" s="263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89">
        <f>'Données projet'!A96</f>
        <v>55</v>
      </c>
      <c r="B93" s="190">
        <f>'Données projet'!D96</f>
        <v>0</v>
      </c>
      <c r="C93" s="203"/>
      <c r="D93" s="188">
        <f t="shared" si="6"/>
        <v>0</v>
      </c>
      <c r="E93" s="203"/>
      <c r="F93" s="260"/>
      <c r="G93" s="220"/>
      <c r="H93" s="200"/>
      <c r="I93" s="201"/>
      <c r="J93" s="5"/>
      <c r="K93" s="180"/>
      <c r="L93" s="5"/>
      <c r="M93" s="5"/>
      <c r="N93" s="5"/>
      <c r="O93" s="204">
        <f>IF(O92+1&lt;=MIN('Données projet'!$E$9:$E$18),O92+1,"STOP")</f>
        <v>60</v>
      </c>
      <c r="P93" s="194">
        <f t="shared" si="5"/>
        <v>1177.1241047315764</v>
      </c>
      <c r="Q93" s="263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89">
        <f>'Données projet'!A97</f>
        <v>60</v>
      </c>
      <c r="B94" s="190">
        <f>'Données projet'!D97</f>
        <v>25.200000000000003</v>
      </c>
      <c r="C94" s="203">
        <v>30</v>
      </c>
      <c r="D94" s="188">
        <f t="shared" si="6"/>
        <v>756.00000000000011</v>
      </c>
      <c r="E94" s="203"/>
      <c r="F94" s="260"/>
      <c r="G94" s="220"/>
      <c r="H94" s="200"/>
      <c r="I94" s="201"/>
      <c r="J94" s="5"/>
      <c r="K94" s="180"/>
      <c r="L94" s="5"/>
      <c r="M94" s="5"/>
      <c r="N94" s="5"/>
      <c r="O94" s="204">
        <f>IF(O93+1&lt;=MIN('Données projet'!$E$9:$E$18),O93+1,"STOP")</f>
        <v>61</v>
      </c>
      <c r="P94" s="194">
        <f t="shared" si="5"/>
        <v>1126.4345499823696</v>
      </c>
      <c r="Q94" s="263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89">
        <f>'Données projet'!A98</f>
        <v>65</v>
      </c>
      <c r="B95" s="190">
        <f>'Données projet'!D98</f>
        <v>0</v>
      </c>
      <c r="C95" s="203"/>
      <c r="D95" s="188">
        <f t="shared" si="6"/>
        <v>0</v>
      </c>
      <c r="E95" s="203"/>
      <c r="F95" s="260"/>
      <c r="G95" s="220"/>
      <c r="H95" s="200"/>
      <c r="I95" s="201"/>
      <c r="J95" s="5"/>
      <c r="K95" s="180"/>
      <c r="L95" s="5"/>
      <c r="M95" s="5"/>
      <c r="N95" s="5"/>
      <c r="O95" s="204">
        <f>IF(O94+1&lt;=MIN('Données projet'!$E$9:$E$18),O94+1,"STOP")</f>
        <v>62</v>
      </c>
      <c r="P95" s="194">
        <f t="shared" si="5"/>
        <v>1077.9277990261915</v>
      </c>
      <c r="Q95" s="263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89">
        <f>'Données projet'!A99</f>
        <v>70</v>
      </c>
      <c r="B96" s="190">
        <f>'Données projet'!D99</f>
        <v>20.9</v>
      </c>
      <c r="C96" s="203">
        <v>40</v>
      </c>
      <c r="D96" s="188">
        <f t="shared" si="6"/>
        <v>836</v>
      </c>
      <c r="E96" s="203"/>
      <c r="F96" s="260"/>
      <c r="G96" s="220"/>
      <c r="H96" s="200"/>
      <c r="I96" s="201"/>
      <c r="J96" s="5"/>
      <c r="K96" s="180"/>
      <c r="L96" s="5"/>
      <c r="M96" s="5"/>
      <c r="N96" s="5"/>
      <c r="O96" s="204">
        <f>IF(O95+1&lt;=MIN('Données projet'!$E$9:$E$18),O95+1,"STOP")</f>
        <v>63</v>
      </c>
      <c r="P96" s="194">
        <f t="shared" si="5"/>
        <v>1031.5098555274558</v>
      </c>
      <c r="Q96" s="263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89">
        <f>'Données projet'!A100</f>
        <v>75</v>
      </c>
      <c r="B97" s="190">
        <f>'Données projet'!D100</f>
        <v>0</v>
      </c>
      <c r="C97" s="203"/>
      <c r="D97" s="188">
        <f t="shared" si="6"/>
        <v>0</v>
      </c>
      <c r="E97" s="203"/>
      <c r="F97" s="260"/>
      <c r="G97" s="220"/>
      <c r="H97" s="200"/>
      <c r="I97" s="201"/>
      <c r="J97" s="5"/>
      <c r="K97" s="180"/>
      <c r="L97" s="5"/>
      <c r="M97" s="5"/>
      <c r="N97" s="5"/>
      <c r="O97" s="204">
        <f>IF(O96+1&lt;=MIN('Données projet'!$E$9:$E$18),O96+1,"STOP")</f>
        <v>64</v>
      </c>
      <c r="P97" s="194">
        <f t="shared" ref="P97:P128" si="7">$P$25/(1+$M$4)^O97</f>
        <v>987.09077083967111</v>
      </c>
      <c r="Q97" s="263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89">
        <f>'Données projet'!A101</f>
        <v>80</v>
      </c>
      <c r="B98" s="190">
        <f>'Données projet'!D101</f>
        <v>284.60000000000002</v>
      </c>
      <c r="C98" s="203">
        <v>80</v>
      </c>
      <c r="D98" s="188">
        <f t="shared" si="6"/>
        <v>22768</v>
      </c>
      <c r="E98" s="203"/>
      <c r="F98" s="260"/>
      <c r="G98" s="220"/>
      <c r="H98" s="200"/>
      <c r="I98" s="201"/>
      <c r="J98" s="5"/>
      <c r="K98" s="180"/>
      <c r="L98" s="5"/>
      <c r="M98" s="5"/>
      <c r="N98" s="5"/>
      <c r="O98" s="204">
        <f>IF(O97+1&lt;=MIN('Données projet'!$E$9:$E$18),O97+1,"STOP")</f>
        <v>65</v>
      </c>
      <c r="P98" s="194">
        <f t="shared" si="7"/>
        <v>944.58446970303453</v>
      </c>
      <c r="Q98" s="263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89">
        <f>'Données projet'!A102</f>
        <v>0</v>
      </c>
      <c r="B99" s="190">
        <f>'Données projet'!D102</f>
        <v>0</v>
      </c>
      <c r="C99" s="203"/>
      <c r="D99" s="188">
        <f t="shared" si="6"/>
        <v>0</v>
      </c>
      <c r="E99" s="203"/>
      <c r="F99" s="260"/>
      <c r="G99" s="220"/>
      <c r="H99" s="200"/>
      <c r="I99" s="201"/>
      <c r="J99" s="5"/>
      <c r="K99" s="180"/>
      <c r="L99" s="5"/>
      <c r="M99" s="5"/>
      <c r="N99" s="5"/>
      <c r="O99" s="204">
        <f>IF(O98+1&lt;=MIN('Données projet'!$E$9:$E$18),O98+1,"STOP")</f>
        <v>66</v>
      </c>
      <c r="P99" s="194">
        <f t="shared" si="7"/>
        <v>903.90858344788023</v>
      </c>
      <c r="Q99" s="263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89">
        <f>'Données projet'!A103</f>
        <v>0</v>
      </c>
      <c r="B100" s="190">
        <f>'Données projet'!D103</f>
        <v>0</v>
      </c>
      <c r="C100" s="203"/>
      <c r="D100" s="188">
        <f t="shared" si="6"/>
        <v>0</v>
      </c>
      <c r="E100" s="203"/>
      <c r="F100" s="260"/>
      <c r="G100" s="220"/>
      <c r="H100" s="200"/>
      <c r="I100" s="201"/>
      <c r="J100" s="5"/>
      <c r="K100" s="180"/>
      <c r="L100" s="5"/>
      <c r="M100" s="5"/>
      <c r="N100" s="5"/>
      <c r="O100" s="204">
        <f>IF(O99+1&lt;=MIN('Données projet'!$E$9:$E$18),O99+1,"STOP")</f>
        <v>67</v>
      </c>
      <c r="P100" s="194">
        <f t="shared" si="7"/>
        <v>864.98429038074653</v>
      </c>
      <c r="Q100" s="263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89">
        <f>'Données projet'!A104</f>
        <v>0</v>
      </c>
      <c r="B101" s="190">
        <f>'Données projet'!D104</f>
        <v>0</v>
      </c>
      <c r="C101" s="203"/>
      <c r="D101" s="188">
        <f t="shared" si="6"/>
        <v>0</v>
      </c>
      <c r="E101" s="203"/>
      <c r="F101" s="260"/>
      <c r="G101" s="220"/>
      <c r="H101" s="200"/>
      <c r="I101" s="201"/>
      <c r="J101" s="5"/>
      <c r="K101" s="180"/>
      <c r="L101" s="5"/>
      <c r="M101" s="5"/>
      <c r="N101" s="5"/>
      <c r="O101" s="204">
        <f>IF(O100+1&lt;=MIN('Données projet'!$E$9:$E$18),O100+1,"STOP")</f>
        <v>68</v>
      </c>
      <c r="P101" s="194">
        <f t="shared" si="7"/>
        <v>827.73616304377674</v>
      </c>
      <c r="Q101" s="263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89">
        <f>'Données projet'!A105</f>
        <v>0</v>
      </c>
      <c r="B102" s="190">
        <f>'Données projet'!D105</f>
        <v>0</v>
      </c>
      <c r="C102" s="203"/>
      <c r="D102" s="188">
        <f t="shared" si="6"/>
        <v>0</v>
      </c>
      <c r="E102" s="203"/>
      <c r="F102" s="260"/>
      <c r="G102" s="220"/>
      <c r="H102" s="200"/>
      <c r="I102" s="201"/>
      <c r="J102" s="5"/>
      <c r="K102" s="180"/>
      <c r="L102" s="5"/>
      <c r="M102" s="5"/>
      <c r="N102" s="5"/>
      <c r="O102" s="204">
        <f>IF(O101+1&lt;=MIN('Données projet'!$E$9:$E$18),O101+1,"STOP")</f>
        <v>69</v>
      </c>
      <c r="P102" s="194">
        <f t="shared" si="7"/>
        <v>792.09202205146107</v>
      </c>
      <c r="Q102" s="263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89">
        <f>'Données projet'!A106</f>
        <v>0</v>
      </c>
      <c r="B103" s="190">
        <f>'Données projet'!D106</f>
        <v>0</v>
      </c>
      <c r="C103" s="203"/>
      <c r="D103" s="188">
        <f t="shared" si="6"/>
        <v>0</v>
      </c>
      <c r="E103" s="203"/>
      <c r="F103" s="260"/>
      <c r="G103" s="220"/>
      <c r="H103" s="200"/>
      <c r="I103" s="201"/>
      <c r="J103" s="5"/>
      <c r="K103" s="180"/>
      <c r="L103" s="5"/>
      <c r="M103" s="5"/>
      <c r="N103" s="5"/>
      <c r="O103" s="204">
        <f>IF(O102+1&lt;=MIN('Données projet'!$E$9:$E$18),O102+1,"STOP")</f>
        <v>70</v>
      </c>
      <c r="P103" s="194">
        <f t="shared" si="7"/>
        <v>757.98279622149403</v>
      </c>
      <c r="Q103" s="263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89">
        <f>'Données projet'!A107</f>
        <v>0</v>
      </c>
      <c r="B104" s="190">
        <f>'Données projet'!D107</f>
        <v>0</v>
      </c>
      <c r="C104" s="203"/>
      <c r="D104" s="188">
        <f t="shared" si="6"/>
        <v>0</v>
      </c>
      <c r="E104" s="203"/>
      <c r="F104" s="260"/>
      <c r="G104" s="220"/>
      <c r="H104" s="200"/>
      <c r="I104" s="201"/>
      <c r="J104" s="5"/>
      <c r="K104" s="180"/>
      <c r="L104" s="5"/>
      <c r="M104" s="5"/>
      <c r="N104" s="5"/>
      <c r="O104" s="204" t="str">
        <f>IF(O103+1&lt;=MIN('Données projet'!$E$9:$E$18),O103+1,"STOP")</f>
        <v>STOP</v>
      </c>
      <c r="P104" s="194" t="e">
        <f t="shared" si="7"/>
        <v>#VALUE!</v>
      </c>
      <c r="Q104" s="263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8"/>
      <c r="G105" s="220"/>
      <c r="H105" s="200"/>
      <c r="I105" s="201"/>
      <c r="J105" s="5"/>
      <c r="K105" s="180"/>
      <c r="L105" s="5"/>
      <c r="M105" s="5"/>
      <c r="N105" s="5"/>
      <c r="O105" s="204" t="e">
        <f>IF(O104+1&lt;=MIN('Données projet'!$E$9:$E$18),O104+1,"STOP")</f>
        <v>#VALUE!</v>
      </c>
      <c r="P105" s="194" t="e">
        <f t="shared" si="7"/>
        <v>#VALUE!</v>
      </c>
      <c r="Q105" s="263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8"/>
      <c r="G106" s="220"/>
      <c r="H106" s="200"/>
      <c r="I106" s="201"/>
      <c r="J106" s="5"/>
      <c r="K106" s="180"/>
      <c r="L106" s="5"/>
      <c r="M106" s="5"/>
      <c r="N106" s="5"/>
      <c r="O106" s="204" t="e">
        <f>IF(O105+1&lt;=MIN('Données projet'!$E$9:$E$18),O105+1,"STOP")</f>
        <v>#VALUE!</v>
      </c>
      <c r="P106" s="194" t="e">
        <f t="shared" si="7"/>
        <v>#VALUE!</v>
      </c>
      <c r="Q106" s="263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3" t="str">
        <f>IF('Données projet'!B12="","",'Données projet'!B12)</f>
        <v/>
      </c>
      <c r="C107" s="5"/>
      <c r="D107" s="5"/>
      <c r="E107" s="5"/>
      <c r="F107" s="258"/>
      <c r="G107" s="220"/>
      <c r="H107" s="200"/>
      <c r="I107" s="201"/>
      <c r="J107" s="5"/>
      <c r="K107" s="180"/>
      <c r="L107" s="5"/>
      <c r="M107" s="5"/>
      <c r="N107" s="5"/>
      <c r="O107" s="204" t="e">
        <f>IF(O106+1&lt;=MIN('Données projet'!$E$9:$E$18),O106+1,"STOP")</f>
        <v>#VALUE!</v>
      </c>
      <c r="P107" s="194" t="e">
        <f t="shared" si="7"/>
        <v>#VALUE!</v>
      </c>
      <c r="Q107" s="263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8"/>
      <c r="G108" s="220"/>
      <c r="H108" s="200"/>
      <c r="I108" s="201"/>
      <c r="J108" s="5"/>
      <c r="K108" s="180"/>
      <c r="L108" s="5"/>
      <c r="M108" s="5"/>
      <c r="N108" s="5"/>
      <c r="O108" s="204" t="e">
        <f>IF(O107+1&lt;=MIN('Données projet'!$E$9:$E$18),O107+1,"STOP")</f>
        <v>#VALUE!</v>
      </c>
      <c r="P108" s="194" t="e">
        <f t="shared" si="7"/>
        <v>#VALUE!</v>
      </c>
      <c r="Q108" s="263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4" t="s">
        <v>180</v>
      </c>
      <c r="B109" s="51" t="s">
        <v>256</v>
      </c>
      <c r="C109" s="51" t="s">
        <v>255</v>
      </c>
      <c r="D109" s="254" t="s">
        <v>252</v>
      </c>
      <c r="E109" s="254" t="s">
        <v>320</v>
      </c>
      <c r="F109" s="259"/>
      <c r="G109" s="220"/>
      <c r="H109" s="200"/>
      <c r="I109" s="201"/>
      <c r="J109" s="5"/>
      <c r="K109" s="180"/>
      <c r="L109" s="5"/>
      <c r="M109" s="5"/>
      <c r="N109" s="5"/>
      <c r="O109" s="204" t="e">
        <f>IF(O108+1&lt;=MIN('Données projet'!$E$9:$E$18),O108+1,"STOP")</f>
        <v>#VALUE!</v>
      </c>
      <c r="P109" s="194" t="e">
        <f t="shared" si="7"/>
        <v>#VALUE!</v>
      </c>
      <c r="Q109" s="263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7">
        <v>0</v>
      </c>
      <c r="B110" s="210" t="s">
        <v>132</v>
      </c>
      <c r="C110" s="209"/>
      <c r="D110" s="208" t="s">
        <v>132</v>
      </c>
      <c r="E110" s="203"/>
      <c r="F110" s="259"/>
      <c r="G110" s="220"/>
      <c r="H110" s="200"/>
      <c r="I110" s="201"/>
      <c r="J110" s="5"/>
      <c r="K110" s="180"/>
      <c r="L110" s="5"/>
      <c r="M110" s="5"/>
      <c r="N110" s="5"/>
      <c r="O110" s="204" t="e">
        <f>IF(O109+1&lt;=MIN('Données projet'!$E$9:$E$18),O109+1,"STOP")</f>
        <v>#VALUE!</v>
      </c>
      <c r="P110" s="194" t="e">
        <f t="shared" si="7"/>
        <v>#VALUE!</v>
      </c>
      <c r="Q110" s="263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7">
        <v>1</v>
      </c>
      <c r="B111" s="210" t="s">
        <v>132</v>
      </c>
      <c r="C111" s="209"/>
      <c r="D111" s="208" t="s">
        <v>132</v>
      </c>
      <c r="E111" s="203"/>
      <c r="F111" s="259"/>
      <c r="G111" s="218"/>
      <c r="H111" s="200"/>
      <c r="I111" s="201"/>
      <c r="J111" s="5"/>
      <c r="K111" s="180"/>
      <c r="L111" s="5"/>
      <c r="M111" s="5"/>
      <c r="N111" s="5"/>
      <c r="O111" s="204" t="e">
        <f>IF(O110+1&lt;=MIN('Données projet'!$E$9:$E$18),O110+1,"STOP")</f>
        <v>#VALUE!</v>
      </c>
      <c r="P111" s="194" t="e">
        <f t="shared" si="7"/>
        <v>#VALUE!</v>
      </c>
      <c r="Q111" s="263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7">
        <v>2</v>
      </c>
      <c r="B112" s="210" t="s">
        <v>132</v>
      </c>
      <c r="C112" s="209"/>
      <c r="D112" s="208" t="s">
        <v>132</v>
      </c>
      <c r="E112" s="203"/>
      <c r="F112" s="259"/>
      <c r="G112" s="218"/>
      <c r="H112" s="200"/>
      <c r="I112" s="201"/>
      <c r="J112" s="5"/>
      <c r="K112" s="180"/>
      <c r="L112" s="5"/>
      <c r="M112" s="5"/>
      <c r="N112" s="5"/>
      <c r="O112" s="204" t="e">
        <f>IF(O111+1&lt;=MIN('Données projet'!$E$9:$E$18),O111+1,"STOP")</f>
        <v>#VALUE!</v>
      </c>
      <c r="P112" s="194" t="e">
        <f t="shared" si="7"/>
        <v>#VALUE!</v>
      </c>
      <c r="Q112" s="263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7">
        <v>3</v>
      </c>
      <c r="B113" s="210" t="s">
        <v>132</v>
      </c>
      <c r="C113" s="209"/>
      <c r="D113" s="208" t="s">
        <v>132</v>
      </c>
      <c r="E113" s="203"/>
      <c r="F113" s="259"/>
      <c r="G113" s="218"/>
      <c r="H113" s="200"/>
      <c r="I113" s="201"/>
      <c r="J113" s="5"/>
      <c r="K113" s="180"/>
      <c r="L113" s="5"/>
      <c r="M113" s="5"/>
      <c r="N113" s="5"/>
      <c r="O113" s="204" t="e">
        <f>IF(O112+1&lt;=MIN('Données projet'!$E$9:$E$18),O112+1,"STOP")</f>
        <v>#VALUE!</v>
      </c>
      <c r="P113" s="194" t="e">
        <f t="shared" si="7"/>
        <v>#VALUE!</v>
      </c>
      <c r="Q113" s="263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7">
        <v>4</v>
      </c>
      <c r="B114" s="210" t="s">
        <v>132</v>
      </c>
      <c r="C114" s="209"/>
      <c r="D114" s="208" t="s">
        <v>132</v>
      </c>
      <c r="E114" s="203"/>
      <c r="F114" s="259"/>
      <c r="G114" s="218"/>
      <c r="H114" s="200"/>
      <c r="I114" s="201"/>
      <c r="J114" s="5"/>
      <c r="K114" s="180"/>
      <c r="L114" s="5"/>
      <c r="M114" s="5"/>
      <c r="N114" s="5"/>
      <c r="O114" s="204" t="e">
        <f>IF(O113+1&lt;=MIN('Données projet'!$E$9:$E$18),O113+1,"STOP")</f>
        <v>#VALUE!</v>
      </c>
      <c r="P114" s="194" t="e">
        <f t="shared" si="7"/>
        <v>#VALUE!</v>
      </c>
      <c r="Q114" s="263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7">
        <v>5</v>
      </c>
      <c r="B115" s="210" t="s">
        <v>132</v>
      </c>
      <c r="C115" s="209"/>
      <c r="D115" s="208" t="s">
        <v>132</v>
      </c>
      <c r="E115" s="203"/>
      <c r="F115" s="259"/>
      <c r="G115" s="219"/>
      <c r="H115" s="200"/>
      <c r="I115" s="201"/>
      <c r="J115" s="5"/>
      <c r="K115" s="180"/>
      <c r="L115" s="5"/>
      <c r="M115" s="5"/>
      <c r="N115" s="5"/>
      <c r="O115" s="204" t="e">
        <f>IF(O114+1&lt;=MIN('Données projet'!$E$9:$E$18),O114+1,"STOP")</f>
        <v>#VALUE!</v>
      </c>
      <c r="P115" s="194" t="e">
        <f t="shared" si="7"/>
        <v>#VALUE!</v>
      </c>
      <c r="Q115" s="263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89">
        <f>'Données projet'!A114</f>
        <v>0</v>
      </c>
      <c r="B116" s="190">
        <f>'Données projet'!D114</f>
        <v>0</v>
      </c>
      <c r="C116" s="201"/>
      <c r="D116" s="188">
        <f>B116*C116</f>
        <v>0</v>
      </c>
      <c r="E116" s="203"/>
      <c r="F116" s="260"/>
      <c r="G116" s="219"/>
      <c r="H116" s="200"/>
      <c r="I116" s="201"/>
      <c r="J116" s="5"/>
      <c r="K116" s="180"/>
      <c r="L116" s="5"/>
      <c r="M116" s="5"/>
      <c r="N116" s="5"/>
      <c r="O116" s="204" t="e">
        <f>IF(O115+1&lt;=MIN('Données projet'!$E$9:$E$18),O115+1,"STOP")</f>
        <v>#VALUE!</v>
      </c>
      <c r="P116" s="194" t="e">
        <f t="shared" si="7"/>
        <v>#VALUE!</v>
      </c>
      <c r="Q116" s="263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89">
        <f>'Données projet'!A115</f>
        <v>0</v>
      </c>
      <c r="B117" s="190">
        <f>'Données projet'!D115</f>
        <v>0</v>
      </c>
      <c r="C117" s="201"/>
      <c r="D117" s="188">
        <f t="shared" ref="D117:D135" si="8">B117*C117</f>
        <v>0</v>
      </c>
      <c r="E117" s="203"/>
      <c r="F117" s="260"/>
      <c r="G117" s="219"/>
      <c r="H117" s="200"/>
      <c r="I117" s="201"/>
      <c r="J117" s="5"/>
      <c r="K117" s="180"/>
      <c r="L117" s="5"/>
      <c r="M117" s="5"/>
      <c r="N117" s="5"/>
      <c r="O117" s="204" t="e">
        <f>IF(O116+1&lt;=MIN('Données projet'!$E$9:$E$18),O116+1,"STOP")</f>
        <v>#VALUE!</v>
      </c>
      <c r="P117" s="194" t="e">
        <f t="shared" si="7"/>
        <v>#VALUE!</v>
      </c>
      <c r="Q117" s="263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89">
        <f>'Données projet'!A116</f>
        <v>0</v>
      </c>
      <c r="B118" s="190">
        <f>'Données projet'!D116</f>
        <v>0</v>
      </c>
      <c r="C118" s="201"/>
      <c r="D118" s="188">
        <f t="shared" si="8"/>
        <v>0</v>
      </c>
      <c r="E118" s="203"/>
      <c r="F118" s="260"/>
      <c r="G118" s="219"/>
      <c r="H118" s="200"/>
      <c r="I118" s="201"/>
      <c r="J118" s="5"/>
      <c r="K118" s="180"/>
      <c r="L118" s="5"/>
      <c r="M118" s="5"/>
      <c r="N118" s="5"/>
      <c r="O118" s="204" t="e">
        <f>IF(O117+1&lt;=MIN('Données projet'!$E$9:$E$18),O117+1,"STOP")</f>
        <v>#VALUE!</v>
      </c>
      <c r="P118" s="194" t="e">
        <f t="shared" si="7"/>
        <v>#VALUE!</v>
      </c>
      <c r="Q118" s="263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89">
        <f>'Données projet'!A117</f>
        <v>0</v>
      </c>
      <c r="B119" s="190">
        <f>'Données projet'!D117</f>
        <v>0</v>
      </c>
      <c r="C119" s="201"/>
      <c r="D119" s="188">
        <f t="shared" si="8"/>
        <v>0</v>
      </c>
      <c r="E119" s="203"/>
      <c r="F119" s="260"/>
      <c r="G119" s="219"/>
      <c r="H119" s="200"/>
      <c r="I119" s="201"/>
      <c r="J119" s="5"/>
      <c r="K119" s="180"/>
      <c r="L119" s="5"/>
      <c r="M119" s="5"/>
      <c r="N119" s="5"/>
      <c r="O119" s="204" t="e">
        <f>IF(O118+1&lt;=MIN('Données projet'!$E$9:$E$18),O118+1,"STOP")</f>
        <v>#VALUE!</v>
      </c>
      <c r="P119" s="194" t="e">
        <f t="shared" si="7"/>
        <v>#VALUE!</v>
      </c>
      <c r="Q119" s="263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89">
        <f>'Données projet'!A118</f>
        <v>0</v>
      </c>
      <c r="B120" s="190">
        <f>'Données projet'!D118</f>
        <v>0</v>
      </c>
      <c r="C120" s="201"/>
      <c r="D120" s="188">
        <f t="shared" si="8"/>
        <v>0</v>
      </c>
      <c r="E120" s="203"/>
      <c r="F120" s="260"/>
      <c r="G120" s="219"/>
      <c r="H120" s="200"/>
      <c r="I120" s="201"/>
      <c r="J120" s="5"/>
      <c r="K120" s="180"/>
      <c r="L120" s="5"/>
      <c r="M120" s="5"/>
      <c r="N120" s="5"/>
      <c r="O120" s="204" t="e">
        <f>IF(O119+1&lt;=MIN('Données projet'!$E$9:$E$18),O119+1,"STOP")</f>
        <v>#VALUE!</v>
      </c>
      <c r="P120" s="194" t="e">
        <f t="shared" si="7"/>
        <v>#VALUE!</v>
      </c>
      <c r="Q120" s="263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89">
        <f>'Données projet'!A119</f>
        <v>0</v>
      </c>
      <c r="B121" s="190">
        <f>'Données projet'!D119</f>
        <v>0</v>
      </c>
      <c r="C121" s="201"/>
      <c r="D121" s="188">
        <f t="shared" si="8"/>
        <v>0</v>
      </c>
      <c r="E121" s="203"/>
      <c r="F121" s="260"/>
      <c r="G121" s="219"/>
      <c r="H121" s="200"/>
      <c r="I121" s="201"/>
      <c r="J121" s="5"/>
      <c r="K121" s="180"/>
      <c r="L121" s="5"/>
      <c r="M121" s="5"/>
      <c r="N121" s="5"/>
      <c r="O121" s="204" t="e">
        <f>IF(O120+1&lt;=MIN('Données projet'!$E$9:$E$18),O120+1,"STOP")</f>
        <v>#VALUE!</v>
      </c>
      <c r="P121" s="194" t="e">
        <f t="shared" si="7"/>
        <v>#VALUE!</v>
      </c>
      <c r="Q121" s="263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89">
        <f>'Données projet'!A120</f>
        <v>0</v>
      </c>
      <c r="B122" s="190">
        <f>'Données projet'!D120</f>
        <v>0</v>
      </c>
      <c r="C122" s="201"/>
      <c r="D122" s="188">
        <f t="shared" si="8"/>
        <v>0</v>
      </c>
      <c r="E122" s="203"/>
      <c r="F122" s="260"/>
      <c r="G122" s="220"/>
      <c r="H122" s="200"/>
      <c r="I122" s="201"/>
      <c r="J122" s="5"/>
      <c r="K122" s="180"/>
      <c r="L122" s="5"/>
      <c r="M122" s="5"/>
      <c r="N122" s="5"/>
      <c r="O122" s="204" t="e">
        <f>IF(O121+1&lt;=MIN('Données projet'!$E$9:$E$18),O121+1,"STOP")</f>
        <v>#VALUE!</v>
      </c>
      <c r="P122" s="194" t="e">
        <f t="shared" si="7"/>
        <v>#VALUE!</v>
      </c>
      <c r="Q122" s="263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89">
        <f>'Données projet'!A121</f>
        <v>0</v>
      </c>
      <c r="B123" s="190">
        <f>'Données projet'!D121</f>
        <v>0</v>
      </c>
      <c r="C123" s="201"/>
      <c r="D123" s="188">
        <f t="shared" si="8"/>
        <v>0</v>
      </c>
      <c r="E123" s="203"/>
      <c r="F123" s="260"/>
      <c r="G123" s="220"/>
      <c r="H123" s="200"/>
      <c r="I123" s="201"/>
      <c r="J123" s="5"/>
      <c r="K123" s="180"/>
      <c r="L123" s="5"/>
      <c r="M123" s="5"/>
      <c r="N123" s="5"/>
      <c r="O123" s="204" t="e">
        <f>IF(O122+1&lt;=MIN('Données projet'!$E$9:$E$18),O122+1,"STOP")</f>
        <v>#VALUE!</v>
      </c>
      <c r="P123" s="194" t="e">
        <f t="shared" si="7"/>
        <v>#VALUE!</v>
      </c>
      <c r="Q123" s="263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89">
        <f>'Données projet'!A122</f>
        <v>0</v>
      </c>
      <c r="B124" s="190">
        <f>'Données projet'!D122</f>
        <v>0</v>
      </c>
      <c r="C124" s="201"/>
      <c r="D124" s="188">
        <f t="shared" si="8"/>
        <v>0</v>
      </c>
      <c r="E124" s="203"/>
      <c r="F124" s="260"/>
      <c r="G124" s="220"/>
      <c r="H124" s="200"/>
      <c r="I124" s="201"/>
      <c r="J124" s="5"/>
      <c r="K124" s="180"/>
      <c r="L124" s="5"/>
      <c r="M124" s="5"/>
      <c r="N124" s="5"/>
      <c r="O124" s="204" t="e">
        <f>IF(O123+1&lt;=MIN('Données projet'!$E$9:$E$18),O123+1,"STOP")</f>
        <v>#VALUE!</v>
      </c>
      <c r="P124" s="194" t="e">
        <f t="shared" si="7"/>
        <v>#VALUE!</v>
      </c>
      <c r="Q124" s="263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89">
        <f>'Données projet'!A123</f>
        <v>0</v>
      </c>
      <c r="B125" s="190">
        <f>'Données projet'!D123</f>
        <v>0</v>
      </c>
      <c r="C125" s="201"/>
      <c r="D125" s="188">
        <f t="shared" si="8"/>
        <v>0</v>
      </c>
      <c r="E125" s="203"/>
      <c r="F125" s="260"/>
      <c r="G125" s="220"/>
      <c r="H125" s="200"/>
      <c r="I125" s="201"/>
      <c r="J125" s="5"/>
      <c r="K125" s="180"/>
      <c r="L125" s="5"/>
      <c r="M125" s="5"/>
      <c r="N125" s="5"/>
      <c r="O125" s="204" t="e">
        <f>IF(O124+1&lt;=MIN('Données projet'!$E$9:$E$18),O124+1,"STOP")</f>
        <v>#VALUE!</v>
      </c>
      <c r="P125" s="194" t="e">
        <f t="shared" si="7"/>
        <v>#VALUE!</v>
      </c>
      <c r="Q125" s="263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89">
        <f>'Données projet'!A124</f>
        <v>0</v>
      </c>
      <c r="B126" s="190">
        <f>'Données projet'!D124</f>
        <v>0</v>
      </c>
      <c r="C126" s="201"/>
      <c r="D126" s="188">
        <f t="shared" si="8"/>
        <v>0</v>
      </c>
      <c r="E126" s="203"/>
      <c r="F126" s="260"/>
      <c r="G126" s="220"/>
      <c r="H126" s="200"/>
      <c r="I126" s="201"/>
      <c r="J126" s="5"/>
      <c r="K126" s="180"/>
      <c r="L126" s="5"/>
      <c r="M126" s="5"/>
      <c r="N126" s="5"/>
      <c r="O126" s="204" t="e">
        <f>IF(O125+1&lt;=MIN('Données projet'!$E$9:$E$18),O125+1,"STOP")</f>
        <v>#VALUE!</v>
      </c>
      <c r="P126" s="194" t="e">
        <f t="shared" si="7"/>
        <v>#VALUE!</v>
      </c>
      <c r="Q126" s="263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89">
        <f>'Données projet'!A125</f>
        <v>0</v>
      </c>
      <c r="B127" s="190">
        <f>'Données projet'!D125</f>
        <v>0</v>
      </c>
      <c r="C127" s="201"/>
      <c r="D127" s="188">
        <f t="shared" si="8"/>
        <v>0</v>
      </c>
      <c r="E127" s="203"/>
      <c r="F127" s="260"/>
      <c r="G127" s="220"/>
      <c r="H127" s="200"/>
      <c r="I127" s="201"/>
      <c r="J127" s="5"/>
      <c r="K127" s="180"/>
      <c r="L127" s="5"/>
      <c r="M127" s="5"/>
      <c r="N127" s="5"/>
      <c r="O127" s="204" t="e">
        <f>IF(O126+1&lt;=MIN('Données projet'!$E$9:$E$18),O126+1,"STOP")</f>
        <v>#VALUE!</v>
      </c>
      <c r="P127" s="194" t="e">
        <f t="shared" si="7"/>
        <v>#VALUE!</v>
      </c>
      <c r="Q127" s="263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89">
        <f>'Données projet'!A126</f>
        <v>0</v>
      </c>
      <c r="B128" s="190">
        <f>'Données projet'!D126</f>
        <v>0</v>
      </c>
      <c r="C128" s="201"/>
      <c r="D128" s="188">
        <f t="shared" si="8"/>
        <v>0</v>
      </c>
      <c r="E128" s="203"/>
      <c r="F128" s="260"/>
      <c r="G128" s="220"/>
      <c r="H128" s="200"/>
      <c r="I128" s="201"/>
      <c r="J128" s="5"/>
      <c r="K128" s="180"/>
      <c r="L128" s="5"/>
      <c r="M128" s="5"/>
      <c r="N128" s="5"/>
      <c r="O128" s="204" t="e">
        <f>IF(O127+1&lt;=MIN('Données projet'!$E$9:$E$18),O127+1,"STOP")</f>
        <v>#VALUE!</v>
      </c>
      <c r="P128" s="194" t="e">
        <f t="shared" si="7"/>
        <v>#VALUE!</v>
      </c>
      <c r="Q128" s="263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89">
        <f>'Données projet'!A127</f>
        <v>0</v>
      </c>
      <c r="B129" s="190">
        <f>'Données projet'!D127</f>
        <v>0</v>
      </c>
      <c r="C129" s="201"/>
      <c r="D129" s="188">
        <f t="shared" si="8"/>
        <v>0</v>
      </c>
      <c r="E129" s="203"/>
      <c r="F129" s="260"/>
      <c r="G129" s="220"/>
      <c r="H129" s="200"/>
      <c r="I129" s="201"/>
      <c r="J129" s="5"/>
      <c r="K129" s="180"/>
      <c r="L129" s="5"/>
      <c r="M129" s="5"/>
      <c r="N129" s="5"/>
      <c r="O129" s="204" t="e">
        <f>IF(O128+1&lt;=MIN('Données projet'!$E$9:$E$18),O128+1,"STOP")</f>
        <v>#VALUE!</v>
      </c>
      <c r="P129" s="194" t="e">
        <f t="shared" ref="P129:P132" si="9">$P$25/(1+$M$4)^O129</f>
        <v>#VALUE!</v>
      </c>
      <c r="Q129" s="263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89">
        <f>'Données projet'!A128</f>
        <v>0</v>
      </c>
      <c r="B130" s="190">
        <f>'Données projet'!D128</f>
        <v>0</v>
      </c>
      <c r="C130" s="201"/>
      <c r="D130" s="188">
        <f t="shared" si="8"/>
        <v>0</v>
      </c>
      <c r="E130" s="203"/>
      <c r="F130" s="260"/>
      <c r="G130" s="220"/>
      <c r="H130" s="200"/>
      <c r="I130" s="201"/>
      <c r="J130" s="5"/>
      <c r="K130" s="180"/>
      <c r="L130" s="5"/>
      <c r="M130" s="5"/>
      <c r="N130" s="5"/>
      <c r="O130" s="204" t="e">
        <f>IF(O129+1&lt;=MIN('Données projet'!$E$9:$E$18),O129+1,"STOP")</f>
        <v>#VALUE!</v>
      </c>
      <c r="P130" s="194" t="e">
        <f t="shared" si="9"/>
        <v>#VALUE!</v>
      </c>
      <c r="Q130" s="263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89">
        <f>'Données projet'!A129</f>
        <v>0</v>
      </c>
      <c r="B131" s="190">
        <f>'Données projet'!D129</f>
        <v>0</v>
      </c>
      <c r="C131" s="203"/>
      <c r="D131" s="188">
        <f t="shared" si="8"/>
        <v>0</v>
      </c>
      <c r="E131" s="203"/>
      <c r="F131" s="260"/>
      <c r="G131" s="220"/>
      <c r="H131" s="200"/>
      <c r="I131" s="201"/>
      <c r="J131" s="5"/>
      <c r="K131" s="180"/>
      <c r="L131" s="5"/>
      <c r="M131" s="5"/>
      <c r="N131" s="5"/>
      <c r="O131" s="204" t="e">
        <f>IF(O130+1&lt;=MIN('Données projet'!$E$9:$E$18),O130+1,"STOP")</f>
        <v>#VALUE!</v>
      </c>
      <c r="P131" s="194" t="e">
        <f t="shared" si="9"/>
        <v>#VALUE!</v>
      </c>
      <c r="Q131" s="263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89">
        <f>'Données projet'!A130</f>
        <v>0</v>
      </c>
      <c r="B132" s="190">
        <f>'Données projet'!D130</f>
        <v>0</v>
      </c>
      <c r="C132" s="203"/>
      <c r="D132" s="188">
        <f t="shared" si="8"/>
        <v>0</v>
      </c>
      <c r="E132" s="203"/>
      <c r="F132" s="260"/>
      <c r="G132" s="220"/>
      <c r="H132" s="200"/>
      <c r="I132" s="201"/>
      <c r="J132" s="5"/>
      <c r="K132" s="180"/>
      <c r="L132" s="5"/>
      <c r="M132" s="5"/>
      <c r="N132" s="5"/>
      <c r="O132" s="204" t="e">
        <f>IF(O131+1&lt;=MIN('Données projet'!$E$9:$E$18),O131+1,"STOP")</f>
        <v>#VALUE!</v>
      </c>
      <c r="P132" s="194" t="e">
        <f t="shared" si="9"/>
        <v>#VALUE!</v>
      </c>
      <c r="Q132" s="263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89">
        <f>'Données projet'!A131</f>
        <v>0</v>
      </c>
      <c r="B133" s="190">
        <f>'Données projet'!D131</f>
        <v>0</v>
      </c>
      <c r="C133" s="203"/>
      <c r="D133" s="188">
        <f t="shared" si="8"/>
        <v>0</v>
      </c>
      <c r="E133" s="203"/>
      <c r="F133" s="260"/>
      <c r="G133" s="220"/>
      <c r="H133" s="200"/>
      <c r="I133" s="201"/>
      <c r="J133" s="5"/>
      <c r="K133" s="180"/>
      <c r="Q133" s="263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89">
        <f>'Données projet'!A132</f>
        <v>0</v>
      </c>
      <c r="B134" s="190">
        <f>'Données projet'!D132</f>
        <v>0</v>
      </c>
      <c r="C134" s="203"/>
      <c r="D134" s="188">
        <f t="shared" si="8"/>
        <v>0</v>
      </c>
      <c r="E134" s="203"/>
      <c r="F134" s="260"/>
      <c r="G134" s="220"/>
      <c r="H134" s="200"/>
      <c r="I134" s="201"/>
      <c r="J134" s="5"/>
      <c r="K134" s="180"/>
      <c r="Q134" s="263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89">
        <f>'Données projet'!A133</f>
        <v>0</v>
      </c>
      <c r="B135" s="190">
        <f>'Données projet'!D133</f>
        <v>0</v>
      </c>
      <c r="C135" s="203"/>
      <c r="D135" s="188">
        <f t="shared" si="8"/>
        <v>0</v>
      </c>
      <c r="E135" s="203"/>
      <c r="F135" s="260"/>
      <c r="G135" s="220"/>
      <c r="H135" s="200"/>
      <c r="I135" s="201"/>
      <c r="J135" s="5"/>
      <c r="K135" s="180"/>
      <c r="Q135" s="263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8"/>
      <c r="G136" s="220"/>
      <c r="H136" s="200"/>
      <c r="I136" s="201"/>
      <c r="J136" s="5"/>
      <c r="K136" s="180"/>
      <c r="L136" s="5"/>
      <c r="M136" s="5"/>
      <c r="N136" s="5"/>
      <c r="Q136" s="263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8"/>
      <c r="G137" s="220"/>
      <c r="H137" s="200"/>
      <c r="I137" s="201"/>
      <c r="J137" s="5"/>
      <c r="K137" s="180"/>
      <c r="L137" s="5"/>
      <c r="M137" s="5"/>
      <c r="N137" s="5"/>
      <c r="Q137" s="263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3" t="str">
        <f>IF('Données projet'!B13="","",'Données projet'!B13)</f>
        <v/>
      </c>
      <c r="C138" s="5"/>
      <c r="D138" s="5"/>
      <c r="E138" s="5"/>
      <c r="F138" s="258"/>
      <c r="G138" s="220"/>
      <c r="H138" s="200"/>
      <c r="I138" s="201"/>
      <c r="J138" s="5"/>
      <c r="K138" s="180"/>
      <c r="L138" s="5"/>
      <c r="M138" s="5"/>
      <c r="N138" s="5"/>
      <c r="Q138" s="263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8"/>
      <c r="G139" s="220"/>
      <c r="H139" s="200"/>
      <c r="I139" s="201"/>
      <c r="J139" s="5"/>
      <c r="K139" s="180"/>
      <c r="L139" s="5"/>
      <c r="M139" s="5"/>
      <c r="N139" s="5"/>
      <c r="Q139" s="263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4" t="s">
        <v>180</v>
      </c>
      <c r="B140" s="51" t="s">
        <v>256</v>
      </c>
      <c r="C140" s="51" t="s">
        <v>255</v>
      </c>
      <c r="D140" s="254" t="s">
        <v>252</v>
      </c>
      <c r="E140" s="254" t="s">
        <v>320</v>
      </c>
      <c r="F140" s="259"/>
      <c r="G140" s="220"/>
      <c r="H140" s="200"/>
      <c r="I140" s="201"/>
      <c r="J140" s="5"/>
      <c r="K140" s="180"/>
      <c r="L140" s="5"/>
      <c r="M140" s="5"/>
      <c r="N140" s="5"/>
      <c r="Q140" s="263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7">
        <v>0</v>
      </c>
      <c r="B141" s="210" t="s">
        <v>132</v>
      </c>
      <c r="C141" s="209" t="s">
        <v>132</v>
      </c>
      <c r="D141" s="208" t="s">
        <v>132</v>
      </c>
      <c r="E141" s="203"/>
      <c r="F141" s="259"/>
      <c r="G141" s="220"/>
      <c r="H141" s="200"/>
      <c r="I141" s="201"/>
      <c r="J141" s="5"/>
      <c r="K141" s="180"/>
      <c r="L141" s="5"/>
      <c r="M141" s="5"/>
      <c r="N141" s="5"/>
      <c r="Q141" s="263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7">
        <v>1</v>
      </c>
      <c r="B142" s="210" t="s">
        <v>132</v>
      </c>
      <c r="C142" s="209" t="s">
        <v>132</v>
      </c>
      <c r="D142" s="208" t="s">
        <v>132</v>
      </c>
      <c r="E142" s="203"/>
      <c r="F142" s="259"/>
      <c r="G142" s="218"/>
      <c r="H142" s="200"/>
      <c r="I142" s="201"/>
      <c r="J142" s="5"/>
      <c r="K142" s="180"/>
      <c r="L142" s="5"/>
      <c r="M142" s="5"/>
      <c r="N142" s="5"/>
      <c r="Q142" s="263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7">
        <v>2</v>
      </c>
      <c r="B143" s="210" t="s">
        <v>132</v>
      </c>
      <c r="C143" s="209" t="s">
        <v>132</v>
      </c>
      <c r="D143" s="208" t="s">
        <v>132</v>
      </c>
      <c r="E143" s="203"/>
      <c r="F143" s="259"/>
      <c r="G143" s="218"/>
      <c r="H143" s="200"/>
      <c r="I143" s="201"/>
      <c r="J143" s="5"/>
      <c r="K143" s="180"/>
      <c r="L143" s="5"/>
      <c r="M143" s="5"/>
      <c r="N143" s="5"/>
      <c r="Q143" s="263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7">
        <v>3</v>
      </c>
      <c r="B144" s="210" t="s">
        <v>132</v>
      </c>
      <c r="C144" s="209" t="s">
        <v>132</v>
      </c>
      <c r="D144" s="208" t="s">
        <v>132</v>
      </c>
      <c r="E144" s="203"/>
      <c r="F144" s="259"/>
      <c r="G144" s="218"/>
      <c r="H144" s="200"/>
      <c r="I144" s="201"/>
      <c r="J144" s="5"/>
      <c r="K144" s="180"/>
      <c r="L144" s="5"/>
      <c r="M144" s="5"/>
      <c r="N144" s="5"/>
      <c r="Q144" s="263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7">
        <v>4</v>
      </c>
      <c r="B145" s="210" t="s">
        <v>132</v>
      </c>
      <c r="C145" s="209" t="s">
        <v>132</v>
      </c>
      <c r="D145" s="208" t="s">
        <v>132</v>
      </c>
      <c r="E145" s="203"/>
      <c r="F145" s="259"/>
      <c r="G145" s="218"/>
      <c r="H145" s="200"/>
      <c r="I145" s="201"/>
      <c r="J145" s="5"/>
      <c r="K145" s="180"/>
      <c r="L145" s="5"/>
      <c r="M145" s="5"/>
      <c r="N145" s="5"/>
      <c r="Q145" s="263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7">
        <v>5</v>
      </c>
      <c r="B146" s="210" t="s">
        <v>132</v>
      </c>
      <c r="C146" s="209" t="s">
        <v>132</v>
      </c>
      <c r="D146" s="208" t="s">
        <v>132</v>
      </c>
      <c r="E146" s="203"/>
      <c r="F146" s="259"/>
      <c r="G146" s="219"/>
      <c r="H146" s="200"/>
      <c r="I146" s="201"/>
      <c r="J146" s="5"/>
      <c r="K146" s="180"/>
      <c r="L146" s="5"/>
      <c r="M146" s="5"/>
      <c r="N146" s="5"/>
      <c r="Q146" s="263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4">
        <f>'Données projet'!D140</f>
        <v>0</v>
      </c>
      <c r="C147" s="201"/>
      <c r="D147" s="191">
        <f>B147*C147</f>
        <v>0</v>
      </c>
      <c r="E147" s="203"/>
      <c r="F147" s="261"/>
      <c r="G147" s="219"/>
      <c r="H147" s="200"/>
      <c r="I147" s="201"/>
      <c r="J147" s="5"/>
      <c r="K147" s="180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4">
        <f>'Données projet'!D141</f>
        <v>0</v>
      </c>
      <c r="C148" s="201"/>
      <c r="D148" s="191">
        <f t="shared" ref="D148:D166" si="10">B148*C148</f>
        <v>0</v>
      </c>
      <c r="E148" s="203"/>
      <c r="F148" s="261"/>
      <c r="G148" s="219"/>
      <c r="H148" s="200"/>
      <c r="I148" s="201"/>
      <c r="J148" s="5"/>
      <c r="K148" s="180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4">
        <f>'Données projet'!D142</f>
        <v>0</v>
      </c>
      <c r="C149" s="201"/>
      <c r="D149" s="191">
        <f t="shared" si="10"/>
        <v>0</v>
      </c>
      <c r="E149" s="203"/>
      <c r="F149" s="261"/>
      <c r="G149" s="219"/>
      <c r="H149" s="200"/>
      <c r="I149" s="201"/>
      <c r="J149" s="5"/>
      <c r="K149" s="180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4">
        <f>'Données projet'!D143</f>
        <v>0</v>
      </c>
      <c r="C150" s="201"/>
      <c r="D150" s="191">
        <f t="shared" si="10"/>
        <v>0</v>
      </c>
      <c r="E150" s="203"/>
      <c r="F150" s="261"/>
      <c r="G150" s="219"/>
      <c r="H150" s="200"/>
      <c r="I150" s="201"/>
      <c r="J150" s="5"/>
      <c r="K150" s="180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4">
        <f>'Données projet'!D144</f>
        <v>0</v>
      </c>
      <c r="C151" s="201"/>
      <c r="D151" s="191">
        <f t="shared" si="10"/>
        <v>0</v>
      </c>
      <c r="E151" s="203"/>
      <c r="F151" s="261"/>
      <c r="G151" s="219"/>
      <c r="H151" s="200"/>
      <c r="I151" s="201"/>
      <c r="J151" s="5"/>
      <c r="K151" s="180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4">
        <f>'Données projet'!D145</f>
        <v>0</v>
      </c>
      <c r="C152" s="201"/>
      <c r="D152" s="191">
        <f t="shared" si="10"/>
        <v>0</v>
      </c>
      <c r="E152" s="203"/>
      <c r="F152" s="261"/>
      <c r="G152" s="219"/>
      <c r="H152" s="200"/>
      <c r="I152" s="201"/>
      <c r="J152" s="5"/>
      <c r="K152" s="180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4">
        <f>'Données projet'!D146</f>
        <v>0</v>
      </c>
      <c r="C153" s="201"/>
      <c r="D153" s="191">
        <f t="shared" si="10"/>
        <v>0</v>
      </c>
      <c r="E153" s="203"/>
      <c r="F153" s="261"/>
      <c r="G153" s="215"/>
      <c r="H153" s="200"/>
      <c r="I153" s="201"/>
      <c r="J153" s="5"/>
      <c r="K153" s="180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4">
        <f>'Données projet'!D147</f>
        <v>0</v>
      </c>
      <c r="C154" s="201"/>
      <c r="D154" s="191">
        <f t="shared" si="10"/>
        <v>0</v>
      </c>
      <c r="E154" s="203"/>
      <c r="F154" s="261"/>
      <c r="G154" s="215"/>
      <c r="H154" s="200"/>
      <c r="I154" s="201"/>
      <c r="J154" s="5"/>
      <c r="K154" s="180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4">
        <f>'Données projet'!D148</f>
        <v>0</v>
      </c>
      <c r="C155" s="201"/>
      <c r="D155" s="191">
        <f t="shared" si="10"/>
        <v>0</v>
      </c>
      <c r="E155" s="203"/>
      <c r="F155" s="261"/>
      <c r="G155" s="215"/>
      <c r="H155" s="200"/>
      <c r="I155" s="201"/>
      <c r="J155" s="5"/>
      <c r="K155" s="180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4">
        <f>'Données projet'!D149</f>
        <v>0</v>
      </c>
      <c r="C156" s="201"/>
      <c r="D156" s="191">
        <f t="shared" si="10"/>
        <v>0</v>
      </c>
      <c r="E156" s="203"/>
      <c r="F156" s="261"/>
      <c r="G156" s="215"/>
      <c r="H156" s="200"/>
      <c r="I156" s="201"/>
      <c r="J156" s="5"/>
      <c r="K156" s="180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4">
        <f>'Données projet'!D150</f>
        <v>0</v>
      </c>
      <c r="C157" s="201"/>
      <c r="D157" s="191">
        <f t="shared" si="10"/>
        <v>0</v>
      </c>
      <c r="E157" s="203"/>
      <c r="F157" s="261"/>
      <c r="G157" s="215"/>
      <c r="H157" s="200"/>
      <c r="I157" s="201"/>
      <c r="J157" s="5"/>
      <c r="K157" s="180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4">
        <f>'Données projet'!D151</f>
        <v>0</v>
      </c>
      <c r="C158" s="201"/>
      <c r="D158" s="191">
        <f t="shared" si="10"/>
        <v>0</v>
      </c>
      <c r="E158" s="203"/>
      <c r="F158" s="261"/>
      <c r="G158" s="215"/>
      <c r="H158" s="200"/>
      <c r="I158" s="201"/>
      <c r="J158" s="5"/>
      <c r="K158" s="180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4">
        <f>'Données projet'!D152</f>
        <v>0</v>
      </c>
      <c r="C159" s="201"/>
      <c r="D159" s="191">
        <f t="shared" si="10"/>
        <v>0</v>
      </c>
      <c r="E159" s="203"/>
      <c r="F159" s="261"/>
      <c r="G159" s="215"/>
      <c r="H159" s="200"/>
      <c r="I159" s="201"/>
      <c r="J159" s="5"/>
      <c r="K159" s="180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4">
        <f>'Données projet'!D153</f>
        <v>0</v>
      </c>
      <c r="C160" s="201"/>
      <c r="D160" s="191">
        <f t="shared" si="10"/>
        <v>0</v>
      </c>
      <c r="E160" s="203"/>
      <c r="F160" s="261"/>
      <c r="G160" s="215"/>
      <c r="H160" s="200"/>
      <c r="I160" s="201"/>
      <c r="J160" s="5"/>
      <c r="K160" s="180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4">
        <f>'Données projet'!D154</f>
        <v>0</v>
      </c>
      <c r="C161" s="203"/>
      <c r="D161" s="191">
        <f t="shared" si="10"/>
        <v>0</v>
      </c>
      <c r="E161" s="203"/>
      <c r="F161" s="261"/>
      <c r="G161" s="215"/>
      <c r="H161" s="200"/>
      <c r="I161" s="201"/>
      <c r="J161" s="5"/>
      <c r="K161" s="180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4">
        <f>'Données projet'!D155</f>
        <v>0</v>
      </c>
      <c r="C162" s="201"/>
      <c r="D162" s="191">
        <f t="shared" si="10"/>
        <v>0</v>
      </c>
      <c r="E162" s="203"/>
      <c r="F162" s="261"/>
      <c r="G162" s="215"/>
      <c r="H162" s="200"/>
      <c r="I162" s="201"/>
      <c r="J162" s="5"/>
      <c r="K162" s="180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4">
        <f>'Données projet'!D156</f>
        <v>0</v>
      </c>
      <c r="C163" s="201"/>
      <c r="D163" s="191">
        <f t="shared" si="10"/>
        <v>0</v>
      </c>
      <c r="E163" s="203"/>
      <c r="F163" s="261"/>
      <c r="G163" s="215"/>
      <c r="H163" s="200"/>
      <c r="I163" s="201"/>
      <c r="J163" s="5"/>
      <c r="K163" s="180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4">
        <f>'Données projet'!D157</f>
        <v>0</v>
      </c>
      <c r="C164" s="201"/>
      <c r="D164" s="191">
        <f t="shared" si="10"/>
        <v>0</v>
      </c>
      <c r="E164" s="203"/>
      <c r="F164" s="261"/>
      <c r="G164" s="215"/>
      <c r="H164" s="200"/>
      <c r="I164" s="201"/>
      <c r="J164" s="5"/>
      <c r="K164" s="180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4">
        <f>'Données projet'!D158</f>
        <v>0</v>
      </c>
      <c r="C165" s="201"/>
      <c r="D165" s="191">
        <f t="shared" si="10"/>
        <v>0</v>
      </c>
      <c r="E165" s="203"/>
      <c r="F165" s="261"/>
      <c r="G165" s="215"/>
      <c r="H165" s="200"/>
      <c r="I165" s="201"/>
      <c r="J165" s="5"/>
      <c r="K165" s="180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4">
        <f>'Données projet'!D159</f>
        <v>0</v>
      </c>
      <c r="C166" s="201"/>
      <c r="D166" s="191">
        <f t="shared" si="10"/>
        <v>0</v>
      </c>
      <c r="E166" s="203"/>
      <c r="F166" s="261"/>
      <c r="G166" s="215"/>
      <c r="H166" s="200"/>
      <c r="I166" s="201"/>
      <c r="J166" s="5"/>
      <c r="K166" s="180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8"/>
      <c r="G167" s="215"/>
      <c r="H167" s="200"/>
      <c r="I167" s="201"/>
      <c r="J167" s="5"/>
      <c r="K167" s="180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8"/>
      <c r="G168" s="215"/>
      <c r="H168" s="200"/>
      <c r="I168" s="201"/>
      <c r="J168" s="5"/>
      <c r="K168" s="180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3" t="str">
        <f>IF('Données projet'!B14="","",'Données projet'!B14)</f>
        <v/>
      </c>
      <c r="C169" s="5"/>
      <c r="D169" s="5"/>
      <c r="E169" s="5"/>
      <c r="F169" s="258"/>
      <c r="G169" s="215"/>
      <c r="H169" s="200"/>
      <c r="I169" s="201"/>
      <c r="J169" s="5"/>
      <c r="K169" s="180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8"/>
      <c r="G170" s="215"/>
      <c r="H170" s="200"/>
      <c r="I170" s="201"/>
      <c r="J170" s="5"/>
      <c r="K170" s="180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4" t="s">
        <v>180</v>
      </c>
      <c r="B171" s="51" t="s">
        <v>256</v>
      </c>
      <c r="C171" s="51" t="s">
        <v>255</v>
      </c>
      <c r="D171" s="254" t="s">
        <v>252</v>
      </c>
      <c r="E171" s="254" t="s">
        <v>320</v>
      </c>
      <c r="F171" s="259"/>
      <c r="G171" s="215"/>
      <c r="H171" s="200"/>
      <c r="I171" s="201"/>
      <c r="J171" s="5"/>
      <c r="K171" s="180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7">
        <v>0</v>
      </c>
      <c r="B172" s="210" t="s">
        <v>132</v>
      </c>
      <c r="C172" s="209" t="s">
        <v>132</v>
      </c>
      <c r="D172" s="208" t="s">
        <v>132</v>
      </c>
      <c r="E172" s="203"/>
      <c r="F172" s="259"/>
      <c r="G172" s="215"/>
      <c r="H172" s="200"/>
      <c r="I172" s="201"/>
      <c r="J172" s="5"/>
      <c r="K172" s="180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7">
        <v>1</v>
      </c>
      <c r="B173" s="210" t="s">
        <v>132</v>
      </c>
      <c r="C173" s="209" t="s">
        <v>132</v>
      </c>
      <c r="D173" s="208" t="s">
        <v>132</v>
      </c>
      <c r="E173" s="203"/>
      <c r="F173" s="259"/>
      <c r="G173" s="218"/>
      <c r="H173" s="200"/>
      <c r="I173" s="201"/>
      <c r="J173" s="5"/>
      <c r="K173" s="180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7">
        <v>2</v>
      </c>
      <c r="B174" s="210" t="s">
        <v>132</v>
      </c>
      <c r="C174" s="209" t="s">
        <v>132</v>
      </c>
      <c r="D174" s="208" t="s">
        <v>132</v>
      </c>
      <c r="E174" s="203"/>
      <c r="F174" s="259"/>
      <c r="G174" s="218"/>
      <c r="H174" s="200"/>
      <c r="I174" s="201"/>
      <c r="J174" s="5"/>
      <c r="K174" s="180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7">
        <v>3</v>
      </c>
      <c r="B175" s="210" t="s">
        <v>132</v>
      </c>
      <c r="C175" s="209" t="s">
        <v>132</v>
      </c>
      <c r="D175" s="208" t="s">
        <v>132</v>
      </c>
      <c r="E175" s="203"/>
      <c r="F175" s="259"/>
      <c r="G175" s="218"/>
      <c r="H175" s="200"/>
      <c r="I175" s="201"/>
      <c r="J175" s="5"/>
      <c r="K175" s="180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7">
        <v>4</v>
      </c>
      <c r="B176" s="210" t="s">
        <v>132</v>
      </c>
      <c r="C176" s="209" t="s">
        <v>132</v>
      </c>
      <c r="D176" s="208" t="s">
        <v>132</v>
      </c>
      <c r="E176" s="203"/>
      <c r="F176" s="259"/>
      <c r="G176" s="218"/>
      <c r="H176" s="200"/>
      <c r="I176" s="201"/>
      <c r="J176" s="5"/>
      <c r="K176" s="180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7">
        <v>5</v>
      </c>
      <c r="B177" s="210" t="s">
        <v>132</v>
      </c>
      <c r="C177" s="209" t="s">
        <v>132</v>
      </c>
      <c r="D177" s="208" t="s">
        <v>132</v>
      </c>
      <c r="E177" s="203"/>
      <c r="F177" s="259"/>
      <c r="G177" s="219"/>
      <c r="H177" s="200"/>
      <c r="I177" s="201"/>
      <c r="J177" s="5"/>
      <c r="K177" s="180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89">
        <f>'Données projet'!A166</f>
        <v>0</v>
      </c>
      <c r="B178" s="190">
        <f>'Données projet'!D166</f>
        <v>0</v>
      </c>
      <c r="C178" s="203"/>
      <c r="D178" s="188">
        <f>B178*C178</f>
        <v>0</v>
      </c>
      <c r="E178" s="203"/>
      <c r="F178" s="260"/>
      <c r="G178" s="219"/>
      <c r="H178" s="200"/>
      <c r="I178" s="201"/>
      <c r="J178" s="5"/>
      <c r="K178" s="180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89">
        <f>'Données projet'!A167</f>
        <v>0</v>
      </c>
      <c r="B179" s="190">
        <f>'Données projet'!D167</f>
        <v>0</v>
      </c>
      <c r="C179" s="201"/>
      <c r="D179" s="188">
        <f t="shared" ref="D179:D197" si="11">B179*C179</f>
        <v>0</v>
      </c>
      <c r="E179" s="203"/>
      <c r="F179" s="260"/>
      <c r="G179" s="219"/>
      <c r="H179" s="200"/>
      <c r="I179" s="201"/>
      <c r="J179" s="5"/>
      <c r="K179" s="180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89">
        <f>'Données projet'!A168</f>
        <v>0</v>
      </c>
      <c r="B180" s="190">
        <f>'Données projet'!D168</f>
        <v>0</v>
      </c>
      <c r="C180" s="201"/>
      <c r="D180" s="188">
        <f t="shared" si="11"/>
        <v>0</v>
      </c>
      <c r="E180" s="203"/>
      <c r="F180" s="260"/>
      <c r="G180" s="219"/>
      <c r="H180" s="200"/>
      <c r="I180" s="201"/>
      <c r="J180" s="5"/>
      <c r="K180" s="180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89">
        <f>'Données projet'!A169</f>
        <v>0</v>
      </c>
      <c r="B181" s="190">
        <f>'Données projet'!D169</f>
        <v>0</v>
      </c>
      <c r="C181" s="201"/>
      <c r="D181" s="188">
        <f t="shared" si="11"/>
        <v>0</v>
      </c>
      <c r="E181" s="203"/>
      <c r="F181" s="260"/>
      <c r="G181" s="219"/>
      <c r="H181" s="200"/>
      <c r="I181" s="201"/>
      <c r="J181" s="5"/>
      <c r="K181" s="180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89">
        <f>'Données projet'!A170</f>
        <v>0</v>
      </c>
      <c r="B182" s="190">
        <f>'Données projet'!D170</f>
        <v>0</v>
      </c>
      <c r="C182" s="201"/>
      <c r="D182" s="188">
        <f t="shared" si="11"/>
        <v>0</v>
      </c>
      <c r="E182" s="203"/>
      <c r="F182" s="260"/>
      <c r="G182" s="219"/>
      <c r="H182" s="200"/>
      <c r="I182" s="201"/>
      <c r="J182" s="5"/>
      <c r="K182" s="180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89">
        <f>'Données projet'!A171</f>
        <v>0</v>
      </c>
      <c r="B183" s="190">
        <f>'Données projet'!D171</f>
        <v>0</v>
      </c>
      <c r="C183" s="201"/>
      <c r="D183" s="188">
        <f t="shared" si="11"/>
        <v>0</v>
      </c>
      <c r="E183" s="203"/>
      <c r="F183" s="260"/>
      <c r="G183" s="219"/>
      <c r="H183" s="200"/>
      <c r="I183" s="201"/>
      <c r="J183" s="5"/>
      <c r="K183" s="180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89">
        <f>'Données projet'!A172</f>
        <v>0</v>
      </c>
      <c r="B184" s="190">
        <f>'Données projet'!D172</f>
        <v>0</v>
      </c>
      <c r="C184" s="201"/>
      <c r="D184" s="188">
        <f t="shared" si="11"/>
        <v>0</v>
      </c>
      <c r="E184" s="203"/>
      <c r="F184" s="260"/>
      <c r="G184" s="220"/>
      <c r="H184" s="200"/>
      <c r="I184" s="201"/>
      <c r="J184" s="5"/>
      <c r="K184" s="180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89">
        <f>'Données projet'!A173</f>
        <v>0</v>
      </c>
      <c r="B185" s="190">
        <f>'Données projet'!D173</f>
        <v>0</v>
      </c>
      <c r="C185" s="201"/>
      <c r="D185" s="188">
        <f t="shared" si="11"/>
        <v>0</v>
      </c>
      <c r="E185" s="203"/>
      <c r="F185" s="260"/>
      <c r="G185" s="220"/>
      <c r="H185" s="200"/>
      <c r="I185" s="201"/>
      <c r="J185" s="5"/>
      <c r="K185" s="180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89">
        <f>'Données projet'!A174</f>
        <v>0</v>
      </c>
      <c r="B186" s="190">
        <f>'Données projet'!D174</f>
        <v>0</v>
      </c>
      <c r="C186" s="201"/>
      <c r="D186" s="188">
        <f t="shared" si="11"/>
        <v>0</v>
      </c>
      <c r="E186" s="203"/>
      <c r="F186" s="260"/>
      <c r="G186" s="220"/>
      <c r="H186" s="200"/>
      <c r="I186" s="201"/>
      <c r="J186" s="5"/>
      <c r="K186" s="180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89">
        <f>'Données projet'!A175</f>
        <v>0</v>
      </c>
      <c r="B187" s="190">
        <f>'Données projet'!D175</f>
        <v>0</v>
      </c>
      <c r="C187" s="201"/>
      <c r="D187" s="188">
        <f t="shared" si="11"/>
        <v>0</v>
      </c>
      <c r="E187" s="203"/>
      <c r="F187" s="260"/>
      <c r="G187" s="220"/>
      <c r="H187" s="200"/>
      <c r="I187" s="201"/>
      <c r="J187" s="5"/>
      <c r="K187" s="180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89">
        <f>'Données projet'!A176</f>
        <v>0</v>
      </c>
      <c r="B188" s="190">
        <f>'Données projet'!D176</f>
        <v>0</v>
      </c>
      <c r="C188" s="201"/>
      <c r="D188" s="188">
        <f t="shared" si="11"/>
        <v>0</v>
      </c>
      <c r="E188" s="203"/>
      <c r="F188" s="260"/>
      <c r="G188" s="220"/>
      <c r="H188" s="200"/>
      <c r="I188" s="201"/>
      <c r="J188" s="5"/>
      <c r="K188" s="180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89">
        <f>'Données projet'!A177</f>
        <v>0</v>
      </c>
      <c r="B189" s="190">
        <f>'Données projet'!D177</f>
        <v>0</v>
      </c>
      <c r="C189" s="201"/>
      <c r="D189" s="188">
        <f t="shared" si="11"/>
        <v>0</v>
      </c>
      <c r="E189" s="203"/>
      <c r="F189" s="260"/>
      <c r="G189" s="220"/>
      <c r="H189" s="200"/>
      <c r="I189" s="201"/>
      <c r="J189" s="5"/>
      <c r="K189" s="180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89">
        <f>'Données projet'!A178</f>
        <v>0</v>
      </c>
      <c r="B190" s="190">
        <f>'Données projet'!D178</f>
        <v>0</v>
      </c>
      <c r="C190" s="201"/>
      <c r="D190" s="188">
        <f t="shared" si="11"/>
        <v>0</v>
      </c>
      <c r="E190" s="203"/>
      <c r="F190" s="260"/>
      <c r="G190" s="220"/>
      <c r="H190" s="200"/>
      <c r="I190" s="201"/>
      <c r="J190" s="5"/>
      <c r="K190" s="180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89">
        <f>'Données projet'!A179</f>
        <v>0</v>
      </c>
      <c r="B191" s="190">
        <f>'Données projet'!D179</f>
        <v>0</v>
      </c>
      <c r="C191" s="201"/>
      <c r="D191" s="188">
        <f t="shared" si="11"/>
        <v>0</v>
      </c>
      <c r="E191" s="203"/>
      <c r="F191" s="260"/>
      <c r="G191" s="220"/>
      <c r="H191" s="200"/>
      <c r="I191" s="201"/>
      <c r="J191" s="5"/>
      <c r="K191" s="180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89">
        <f>'Données projet'!A180</f>
        <v>0</v>
      </c>
      <c r="B192" s="190">
        <f>'Données projet'!D180</f>
        <v>0</v>
      </c>
      <c r="C192" s="203"/>
      <c r="D192" s="188">
        <f t="shared" si="11"/>
        <v>0</v>
      </c>
      <c r="E192" s="203"/>
      <c r="F192" s="260"/>
      <c r="G192" s="220"/>
      <c r="H192" s="200"/>
      <c r="I192" s="201"/>
      <c r="J192" s="5"/>
      <c r="K192" s="180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89">
        <f>'Données projet'!A181</f>
        <v>0</v>
      </c>
      <c r="B193" s="190">
        <f>'Données projet'!D181</f>
        <v>0</v>
      </c>
      <c r="C193" s="201"/>
      <c r="D193" s="188">
        <f t="shared" si="11"/>
        <v>0</v>
      </c>
      <c r="E193" s="203"/>
      <c r="F193" s="260"/>
      <c r="G193" s="220"/>
      <c r="H193" s="200"/>
      <c r="I193" s="201"/>
      <c r="J193" s="5"/>
      <c r="K193" s="180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89">
        <f>'Données projet'!A182</f>
        <v>0</v>
      </c>
      <c r="B194" s="190">
        <f>'Données projet'!D182</f>
        <v>0</v>
      </c>
      <c r="C194" s="201"/>
      <c r="D194" s="188">
        <f t="shared" si="11"/>
        <v>0</v>
      </c>
      <c r="E194" s="203"/>
      <c r="F194" s="260"/>
      <c r="G194" s="220"/>
      <c r="H194" s="200"/>
      <c r="I194" s="201"/>
      <c r="J194" s="5"/>
      <c r="K194" s="180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89">
        <f>'Données projet'!A183</f>
        <v>0</v>
      </c>
      <c r="B195" s="190">
        <f>'Données projet'!D183</f>
        <v>0</v>
      </c>
      <c r="C195" s="201"/>
      <c r="D195" s="188">
        <f t="shared" si="11"/>
        <v>0</v>
      </c>
      <c r="E195" s="203"/>
      <c r="F195" s="260"/>
      <c r="G195" s="220"/>
      <c r="H195" s="200"/>
      <c r="I195" s="201"/>
      <c r="J195" s="5"/>
      <c r="K195" s="180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89">
        <f>'Données projet'!A184</f>
        <v>0</v>
      </c>
      <c r="B196" s="190">
        <f>'Données projet'!D184</f>
        <v>0</v>
      </c>
      <c r="C196" s="201"/>
      <c r="D196" s="188">
        <f t="shared" si="11"/>
        <v>0</v>
      </c>
      <c r="E196" s="203"/>
      <c r="F196" s="260"/>
      <c r="G196" s="220"/>
      <c r="H196" s="200"/>
      <c r="I196" s="201"/>
      <c r="J196" s="5"/>
      <c r="K196" s="180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89">
        <f>'Données projet'!A185</f>
        <v>0</v>
      </c>
      <c r="B197" s="190">
        <f>'Données projet'!D185</f>
        <v>0</v>
      </c>
      <c r="C197" s="201"/>
      <c r="D197" s="188">
        <f t="shared" si="11"/>
        <v>0</v>
      </c>
      <c r="E197" s="203"/>
      <c r="F197" s="260"/>
      <c r="G197" s="220"/>
      <c r="H197" s="200"/>
      <c r="I197" s="201"/>
      <c r="J197" s="5"/>
      <c r="K197" s="180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8"/>
      <c r="G198" s="220"/>
      <c r="H198" s="200"/>
      <c r="I198" s="201"/>
      <c r="J198" s="5"/>
      <c r="K198" s="180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8"/>
      <c r="G199" s="220"/>
      <c r="H199" s="200"/>
      <c r="I199" s="201"/>
      <c r="J199" s="5"/>
      <c r="K199" s="180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3" t="str">
        <f>IF('Données projet'!$B$15="","",'Données projet'!$B$15)</f>
        <v/>
      </c>
      <c r="C200" s="5"/>
      <c r="D200" s="5"/>
      <c r="E200" s="5"/>
      <c r="F200" s="258"/>
      <c r="G200" s="220"/>
      <c r="H200" s="200"/>
      <c r="I200" s="201"/>
      <c r="J200" s="5"/>
      <c r="K200" s="180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8"/>
      <c r="G201" s="220"/>
      <c r="H201" s="200"/>
      <c r="I201" s="201"/>
      <c r="J201" s="5"/>
      <c r="K201" s="180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4" t="s">
        <v>180</v>
      </c>
      <c r="B202" s="51" t="s">
        <v>256</v>
      </c>
      <c r="C202" s="51" t="s">
        <v>255</v>
      </c>
      <c r="D202" s="254" t="s">
        <v>252</v>
      </c>
      <c r="E202" s="254" t="s">
        <v>320</v>
      </c>
      <c r="F202" s="259"/>
      <c r="G202" s="220"/>
      <c r="H202" s="200"/>
      <c r="I202" s="201"/>
      <c r="J202" s="5"/>
      <c r="K202" s="180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7">
        <v>0</v>
      </c>
      <c r="B203" s="210" t="s">
        <v>132</v>
      </c>
      <c r="C203" s="209" t="s">
        <v>132</v>
      </c>
      <c r="D203" s="208" t="s">
        <v>132</v>
      </c>
      <c r="E203" s="203"/>
      <c r="F203" s="259"/>
      <c r="G203" s="220"/>
      <c r="H203" s="200"/>
      <c r="I203" s="201"/>
      <c r="J203" s="5"/>
      <c r="K203" s="180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7">
        <v>1</v>
      </c>
      <c r="B204" s="210" t="s">
        <v>132</v>
      </c>
      <c r="C204" s="209" t="s">
        <v>132</v>
      </c>
      <c r="D204" s="208" t="s">
        <v>132</v>
      </c>
      <c r="E204" s="203"/>
      <c r="F204" s="259"/>
      <c r="G204" s="218"/>
      <c r="H204" s="200"/>
      <c r="I204" s="201"/>
      <c r="J204" s="5"/>
      <c r="K204" s="180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7">
        <v>2</v>
      </c>
      <c r="B205" s="210" t="s">
        <v>132</v>
      </c>
      <c r="C205" s="209" t="s">
        <v>132</v>
      </c>
      <c r="D205" s="208" t="s">
        <v>132</v>
      </c>
      <c r="E205" s="203"/>
      <c r="F205" s="259"/>
      <c r="G205" s="218"/>
      <c r="H205" s="200"/>
      <c r="I205" s="201"/>
      <c r="J205" s="5"/>
      <c r="K205" s="180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7">
        <v>3</v>
      </c>
      <c r="B206" s="210" t="s">
        <v>132</v>
      </c>
      <c r="C206" s="209" t="s">
        <v>132</v>
      </c>
      <c r="D206" s="208" t="s">
        <v>132</v>
      </c>
      <c r="E206" s="203"/>
      <c r="F206" s="259"/>
      <c r="G206" s="218"/>
      <c r="H206" s="200"/>
      <c r="I206" s="201"/>
      <c r="J206" s="5"/>
      <c r="K206" s="180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7">
        <v>4</v>
      </c>
      <c r="B207" s="210" t="s">
        <v>132</v>
      </c>
      <c r="C207" s="209" t="s">
        <v>132</v>
      </c>
      <c r="D207" s="208" t="s">
        <v>132</v>
      </c>
      <c r="E207" s="203"/>
      <c r="F207" s="259"/>
      <c r="G207" s="218"/>
      <c r="H207" s="200"/>
      <c r="I207" s="201"/>
      <c r="J207" s="5"/>
      <c r="K207" s="180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7">
        <v>5</v>
      </c>
      <c r="B208" s="210" t="s">
        <v>132</v>
      </c>
      <c r="C208" s="209" t="s">
        <v>132</v>
      </c>
      <c r="D208" s="208" t="s">
        <v>132</v>
      </c>
      <c r="E208" s="203"/>
      <c r="F208" s="259"/>
      <c r="G208" s="219"/>
      <c r="H208" s="200"/>
      <c r="I208" s="201"/>
      <c r="J208" s="5"/>
      <c r="K208" s="180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89">
        <f>'Données projet'!A192</f>
        <v>0</v>
      </c>
      <c r="B209" s="190">
        <f>'Données projet'!D192</f>
        <v>0</v>
      </c>
      <c r="C209" s="201"/>
      <c r="D209" s="188">
        <f>B209*C209</f>
        <v>0</v>
      </c>
      <c r="E209" s="203"/>
      <c r="F209" s="260"/>
      <c r="G209" s="219"/>
      <c r="H209" s="200"/>
      <c r="I209" s="201"/>
      <c r="J209" s="5"/>
      <c r="K209" s="180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89">
        <f>'Données projet'!A193</f>
        <v>0</v>
      </c>
      <c r="B210" s="190">
        <f>'Données projet'!D193</f>
        <v>0</v>
      </c>
      <c r="C210" s="201"/>
      <c r="D210" s="188">
        <f t="shared" ref="D210:D228" si="12">B210*C210</f>
        <v>0</v>
      </c>
      <c r="E210" s="203"/>
      <c r="F210" s="260"/>
      <c r="G210" s="219"/>
      <c r="H210" s="200"/>
      <c r="I210" s="201"/>
      <c r="J210" s="5"/>
      <c r="K210" s="180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89">
        <f>'Données projet'!A194</f>
        <v>0</v>
      </c>
      <c r="B211" s="190">
        <f>'Données projet'!D194</f>
        <v>0</v>
      </c>
      <c r="C211" s="201"/>
      <c r="D211" s="188">
        <f t="shared" si="12"/>
        <v>0</v>
      </c>
      <c r="E211" s="203"/>
      <c r="F211" s="260"/>
      <c r="G211" s="219"/>
      <c r="H211" s="200"/>
      <c r="I211" s="201"/>
      <c r="J211" s="5"/>
      <c r="K211" s="180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89">
        <f>'Données projet'!A195</f>
        <v>0</v>
      </c>
      <c r="B212" s="190">
        <f>'Données projet'!D195</f>
        <v>0</v>
      </c>
      <c r="C212" s="201"/>
      <c r="D212" s="188">
        <f t="shared" si="12"/>
        <v>0</v>
      </c>
      <c r="E212" s="203"/>
      <c r="F212" s="260"/>
      <c r="G212" s="219"/>
      <c r="H212" s="200"/>
      <c r="I212" s="201"/>
      <c r="J212" s="5"/>
      <c r="K212" s="180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89">
        <f>'Données projet'!A196</f>
        <v>0</v>
      </c>
      <c r="B213" s="190">
        <f>'Données projet'!D196</f>
        <v>0</v>
      </c>
      <c r="C213" s="201"/>
      <c r="D213" s="188">
        <f t="shared" si="12"/>
        <v>0</v>
      </c>
      <c r="E213" s="203"/>
      <c r="F213" s="260"/>
      <c r="G213" s="219"/>
      <c r="H213" s="200"/>
      <c r="I213" s="201"/>
      <c r="J213" s="5"/>
      <c r="K213" s="180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89">
        <f>'Données projet'!A197</f>
        <v>0</v>
      </c>
      <c r="B214" s="190">
        <f>'Données projet'!D197</f>
        <v>0</v>
      </c>
      <c r="C214" s="201"/>
      <c r="D214" s="188">
        <f t="shared" si="12"/>
        <v>0</v>
      </c>
      <c r="E214" s="203"/>
      <c r="F214" s="260"/>
      <c r="G214" s="219"/>
      <c r="H214" s="200"/>
      <c r="I214" s="201"/>
      <c r="J214" s="5"/>
      <c r="K214" s="180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89">
        <f>'Données projet'!A198</f>
        <v>0</v>
      </c>
      <c r="B215" s="190">
        <f>'Données projet'!D198</f>
        <v>0</v>
      </c>
      <c r="C215" s="201"/>
      <c r="D215" s="188">
        <f t="shared" si="12"/>
        <v>0</v>
      </c>
      <c r="E215" s="203"/>
      <c r="F215" s="260"/>
      <c r="G215" s="220"/>
      <c r="H215" s="200"/>
      <c r="I215" s="201"/>
      <c r="J215" s="5"/>
      <c r="K215" s="180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89">
        <f>'Données projet'!A199</f>
        <v>0</v>
      </c>
      <c r="B216" s="190">
        <f>'Données projet'!D199</f>
        <v>0</v>
      </c>
      <c r="C216" s="201"/>
      <c r="D216" s="188">
        <f t="shared" si="12"/>
        <v>0</v>
      </c>
      <c r="E216" s="203"/>
      <c r="F216" s="260"/>
      <c r="G216" s="220"/>
      <c r="H216" s="200"/>
      <c r="I216" s="201"/>
      <c r="J216" s="5"/>
      <c r="K216" s="180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89">
        <f>'Données projet'!A200</f>
        <v>0</v>
      </c>
      <c r="B217" s="190">
        <f>'Données projet'!D200</f>
        <v>0</v>
      </c>
      <c r="C217" s="201"/>
      <c r="D217" s="188">
        <f t="shared" si="12"/>
        <v>0</v>
      </c>
      <c r="E217" s="203"/>
      <c r="F217" s="260"/>
      <c r="G217" s="220"/>
      <c r="H217" s="200"/>
      <c r="I217" s="201"/>
      <c r="J217" s="5"/>
      <c r="K217" s="180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89">
        <f>'Données projet'!A201</f>
        <v>0</v>
      </c>
      <c r="B218" s="190">
        <f>'Données projet'!D201</f>
        <v>0</v>
      </c>
      <c r="C218" s="201"/>
      <c r="D218" s="188">
        <f t="shared" si="12"/>
        <v>0</v>
      </c>
      <c r="E218" s="203"/>
      <c r="F218" s="260"/>
      <c r="G218" s="220"/>
      <c r="H218" s="200"/>
      <c r="I218" s="201"/>
      <c r="J218" s="5"/>
      <c r="K218" s="180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89">
        <f>'Données projet'!A202</f>
        <v>0</v>
      </c>
      <c r="B219" s="190">
        <f>'Données projet'!D202</f>
        <v>0</v>
      </c>
      <c r="C219" s="201"/>
      <c r="D219" s="188">
        <f t="shared" si="12"/>
        <v>0</v>
      </c>
      <c r="E219" s="203"/>
      <c r="F219" s="260"/>
      <c r="G219" s="220"/>
      <c r="H219" s="200"/>
      <c r="I219" s="201"/>
      <c r="J219" s="5"/>
      <c r="K219" s="180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89">
        <f>'Données projet'!A203</f>
        <v>0</v>
      </c>
      <c r="B220" s="190">
        <f>'Données projet'!D203</f>
        <v>0</v>
      </c>
      <c r="C220" s="201"/>
      <c r="D220" s="188">
        <f t="shared" si="12"/>
        <v>0</v>
      </c>
      <c r="E220" s="203"/>
      <c r="F220" s="260"/>
      <c r="G220" s="220"/>
      <c r="H220" s="5"/>
      <c r="I220" s="5"/>
      <c r="J220" s="5"/>
      <c r="K220" s="180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89">
        <f>'Données projet'!A204</f>
        <v>0</v>
      </c>
      <c r="B221" s="190">
        <f>'Données projet'!D204</f>
        <v>0</v>
      </c>
      <c r="C221" s="201"/>
      <c r="D221" s="188">
        <f t="shared" si="12"/>
        <v>0</v>
      </c>
      <c r="E221" s="203"/>
      <c r="F221" s="260"/>
      <c r="G221" s="220"/>
      <c r="H221" s="5"/>
      <c r="I221" s="5"/>
      <c r="J221" s="5"/>
      <c r="K221" s="180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89">
        <f>'Données projet'!A205</f>
        <v>0</v>
      </c>
      <c r="B222" s="190">
        <f>'Données projet'!D205</f>
        <v>0</v>
      </c>
      <c r="C222" s="203"/>
      <c r="D222" s="188">
        <f t="shared" si="12"/>
        <v>0</v>
      </c>
      <c r="E222" s="203"/>
      <c r="F222" s="260"/>
      <c r="G222" s="220"/>
      <c r="H222" s="5"/>
      <c r="I222" s="5"/>
      <c r="J222" s="5"/>
      <c r="K222" s="180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89">
        <f>'Données projet'!A206</f>
        <v>0</v>
      </c>
      <c r="B223" s="190">
        <f>'Données projet'!D206</f>
        <v>0</v>
      </c>
      <c r="C223" s="203"/>
      <c r="D223" s="188">
        <f t="shared" si="12"/>
        <v>0</v>
      </c>
      <c r="E223" s="203"/>
      <c r="F223" s="260"/>
      <c r="G223" s="220"/>
      <c r="H223" s="5"/>
      <c r="I223" s="5"/>
      <c r="J223" s="5"/>
      <c r="K223" s="180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89">
        <f>'Données projet'!A207</f>
        <v>0</v>
      </c>
      <c r="B224" s="190">
        <f>'Données projet'!D207</f>
        <v>0</v>
      </c>
      <c r="C224" s="203"/>
      <c r="D224" s="188">
        <f t="shared" si="12"/>
        <v>0</v>
      </c>
      <c r="E224" s="203"/>
      <c r="F224" s="260"/>
      <c r="G224" s="220"/>
      <c r="H224" s="5"/>
      <c r="I224" s="5"/>
      <c r="J224" s="5"/>
      <c r="K224" s="180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89">
        <f>'Données projet'!A208</f>
        <v>0</v>
      </c>
      <c r="B225" s="190">
        <f>'Données projet'!D208</f>
        <v>0</v>
      </c>
      <c r="C225" s="203"/>
      <c r="D225" s="188">
        <f t="shared" si="12"/>
        <v>0</v>
      </c>
      <c r="E225" s="203"/>
      <c r="F225" s="260"/>
      <c r="G225" s="220"/>
      <c r="H225" s="5"/>
      <c r="I225" s="5"/>
      <c r="J225" s="5"/>
      <c r="K225" s="180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89">
        <f>'Données projet'!A209</f>
        <v>0</v>
      </c>
      <c r="B226" s="190">
        <f>'Données projet'!D209</f>
        <v>0</v>
      </c>
      <c r="C226" s="203"/>
      <c r="D226" s="188">
        <f t="shared" si="12"/>
        <v>0</v>
      </c>
      <c r="E226" s="203"/>
      <c r="F226" s="260"/>
      <c r="G226" s="220"/>
      <c r="H226" s="5"/>
      <c r="I226" s="5"/>
      <c r="J226" s="5"/>
      <c r="K226" s="180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89">
        <f>'Données projet'!A210</f>
        <v>0</v>
      </c>
      <c r="B227" s="190">
        <f>'Données projet'!D210</f>
        <v>0</v>
      </c>
      <c r="C227" s="203"/>
      <c r="D227" s="188">
        <f t="shared" si="12"/>
        <v>0</v>
      </c>
      <c r="E227" s="203"/>
      <c r="F227" s="260"/>
      <c r="G227" s="220"/>
      <c r="H227" s="5"/>
      <c r="I227" s="5"/>
      <c r="J227" s="5"/>
      <c r="K227" s="180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89">
        <f>'Données projet'!A211</f>
        <v>0</v>
      </c>
      <c r="B228" s="190">
        <f>'Données projet'!D211</f>
        <v>0</v>
      </c>
      <c r="C228" s="203"/>
      <c r="D228" s="188">
        <f t="shared" si="12"/>
        <v>0</v>
      </c>
      <c r="E228" s="203"/>
      <c r="F228" s="260"/>
      <c r="G228" s="220"/>
      <c r="H228" s="5"/>
      <c r="I228" s="5"/>
      <c r="J228" s="5"/>
      <c r="K228" s="180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8"/>
      <c r="G229" s="220"/>
      <c r="H229" s="5"/>
      <c r="I229" s="5"/>
      <c r="J229" s="5"/>
      <c r="K229" s="180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8"/>
      <c r="G230" s="220"/>
      <c r="H230" s="5"/>
      <c r="I230" s="5"/>
      <c r="J230" s="5"/>
      <c r="K230" s="180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3" t="str">
        <f>IF('Données projet'!$B$16="","",'Données projet'!$B$16)</f>
        <v/>
      </c>
      <c r="C231" s="5"/>
      <c r="D231" s="5"/>
      <c r="E231" s="5"/>
      <c r="F231" s="258"/>
      <c r="G231" s="220"/>
      <c r="H231" s="5"/>
      <c r="I231" s="5"/>
      <c r="J231" s="5"/>
      <c r="K231" s="180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8"/>
      <c r="G232" s="220"/>
      <c r="H232" s="5"/>
      <c r="I232" s="5"/>
      <c r="J232" s="5"/>
      <c r="K232" s="180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4" t="s">
        <v>180</v>
      </c>
      <c r="B233" s="51" t="s">
        <v>256</v>
      </c>
      <c r="C233" s="51" t="s">
        <v>255</v>
      </c>
      <c r="D233" s="254" t="s">
        <v>252</v>
      </c>
      <c r="E233" s="254" t="s">
        <v>320</v>
      </c>
      <c r="F233" s="259"/>
      <c r="G233" s="220"/>
      <c r="H233" s="5"/>
      <c r="I233" s="5"/>
      <c r="J233" s="5"/>
      <c r="K233" s="180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7">
        <v>0</v>
      </c>
      <c r="B234" s="210" t="s">
        <v>132</v>
      </c>
      <c r="C234" s="209" t="s">
        <v>132</v>
      </c>
      <c r="D234" s="208" t="s">
        <v>132</v>
      </c>
      <c r="E234" s="203"/>
      <c r="F234" s="259"/>
      <c r="G234" s="220"/>
      <c r="H234" s="5"/>
      <c r="I234" s="5"/>
      <c r="J234" s="5"/>
      <c r="K234" s="180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7">
        <v>1</v>
      </c>
      <c r="B235" s="210" t="s">
        <v>132</v>
      </c>
      <c r="C235" s="209" t="s">
        <v>132</v>
      </c>
      <c r="D235" s="208" t="s">
        <v>132</v>
      </c>
      <c r="E235" s="203"/>
      <c r="F235" s="259"/>
      <c r="G235" s="218"/>
      <c r="H235" s="5"/>
      <c r="I235" s="5"/>
      <c r="J235" s="5"/>
      <c r="K235" s="180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7">
        <v>2</v>
      </c>
      <c r="B236" s="210" t="s">
        <v>132</v>
      </c>
      <c r="C236" s="209" t="s">
        <v>132</v>
      </c>
      <c r="D236" s="208" t="s">
        <v>132</v>
      </c>
      <c r="E236" s="203"/>
      <c r="F236" s="259"/>
      <c r="G236" s="218"/>
      <c r="H236" s="5"/>
      <c r="I236" s="5"/>
      <c r="J236" s="5"/>
      <c r="K236" s="180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7">
        <v>3</v>
      </c>
      <c r="B237" s="210" t="s">
        <v>132</v>
      </c>
      <c r="C237" s="209" t="s">
        <v>132</v>
      </c>
      <c r="D237" s="208" t="s">
        <v>132</v>
      </c>
      <c r="E237" s="203"/>
      <c r="F237" s="259"/>
      <c r="G237" s="218"/>
      <c r="H237" s="5"/>
      <c r="I237" s="5"/>
      <c r="J237" s="5"/>
      <c r="K237" s="180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7">
        <v>4</v>
      </c>
      <c r="B238" s="210" t="s">
        <v>132</v>
      </c>
      <c r="C238" s="209" t="s">
        <v>132</v>
      </c>
      <c r="D238" s="208" t="s">
        <v>132</v>
      </c>
      <c r="E238" s="203"/>
      <c r="F238" s="259"/>
      <c r="G238" s="218"/>
      <c r="H238" s="5"/>
      <c r="I238" s="5"/>
      <c r="J238" s="5"/>
      <c r="K238" s="180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7">
        <v>5</v>
      </c>
      <c r="B239" s="210" t="s">
        <v>132</v>
      </c>
      <c r="C239" s="209" t="s">
        <v>132</v>
      </c>
      <c r="D239" s="208" t="s">
        <v>132</v>
      </c>
      <c r="E239" s="203"/>
      <c r="F239" s="259"/>
      <c r="G239" s="219"/>
      <c r="H239" s="5"/>
      <c r="I239" s="5"/>
      <c r="J239" s="5"/>
      <c r="K239" s="180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89">
        <f>'Données projet'!A218</f>
        <v>0</v>
      </c>
      <c r="B240" s="190">
        <f>'Données projet'!D218</f>
        <v>0</v>
      </c>
      <c r="C240" s="203"/>
      <c r="D240" s="188">
        <f>B240*C240</f>
        <v>0</v>
      </c>
      <c r="E240" s="203"/>
      <c r="F240" s="260"/>
      <c r="G240" s="219"/>
      <c r="H240" s="5"/>
      <c r="I240" s="5"/>
      <c r="J240" s="5"/>
      <c r="K240" s="180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89">
        <f>'Données projet'!A219</f>
        <v>0</v>
      </c>
      <c r="B241" s="190">
        <f>'Données projet'!D219</f>
        <v>0</v>
      </c>
      <c r="C241" s="203"/>
      <c r="D241" s="188">
        <f t="shared" ref="D241:D259" si="13">B241*C241</f>
        <v>0</v>
      </c>
      <c r="E241" s="203"/>
      <c r="F241" s="260"/>
      <c r="G241" s="219"/>
      <c r="H241" s="5"/>
      <c r="I241" s="5"/>
      <c r="J241" s="5"/>
      <c r="K241" s="180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89">
        <f>'Données projet'!A220</f>
        <v>0</v>
      </c>
      <c r="B242" s="190">
        <f>'Données projet'!D220</f>
        <v>0</v>
      </c>
      <c r="C242" s="203"/>
      <c r="D242" s="188">
        <f t="shared" si="13"/>
        <v>0</v>
      </c>
      <c r="E242" s="203"/>
      <c r="F242" s="260"/>
      <c r="G242" s="219"/>
      <c r="H242" s="5"/>
      <c r="I242" s="5"/>
      <c r="J242" s="5"/>
      <c r="K242" s="180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89">
        <f>'Données projet'!A221</f>
        <v>0</v>
      </c>
      <c r="B243" s="190">
        <f>'Données projet'!D221</f>
        <v>0</v>
      </c>
      <c r="C243" s="203"/>
      <c r="D243" s="188">
        <f t="shared" si="13"/>
        <v>0</v>
      </c>
      <c r="E243" s="203"/>
      <c r="F243" s="260"/>
      <c r="G243" s="219"/>
      <c r="H243" s="5"/>
      <c r="I243" s="5"/>
      <c r="J243" s="5"/>
      <c r="K243" s="180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89">
        <f>'Données projet'!A222</f>
        <v>0</v>
      </c>
      <c r="B244" s="190">
        <f>'Données projet'!D222</f>
        <v>0</v>
      </c>
      <c r="C244" s="203"/>
      <c r="D244" s="188">
        <f t="shared" si="13"/>
        <v>0</v>
      </c>
      <c r="E244" s="203"/>
      <c r="F244" s="260"/>
      <c r="G244" s="219"/>
      <c r="H244" s="5"/>
      <c r="I244" s="5"/>
      <c r="J244" s="5"/>
      <c r="K244" s="180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89">
        <f>'Données projet'!A223</f>
        <v>0</v>
      </c>
      <c r="B245" s="190">
        <f>'Données projet'!D223</f>
        <v>0</v>
      </c>
      <c r="C245" s="203"/>
      <c r="D245" s="188">
        <f t="shared" si="13"/>
        <v>0</v>
      </c>
      <c r="E245" s="203"/>
      <c r="F245" s="260"/>
      <c r="G245" s="219"/>
      <c r="H245" s="5"/>
      <c r="I245" s="5"/>
      <c r="J245" s="5"/>
      <c r="K245" s="180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89">
        <f>'Données projet'!A224</f>
        <v>0</v>
      </c>
      <c r="B246" s="190">
        <f>'Données projet'!D224</f>
        <v>0</v>
      </c>
      <c r="C246" s="203"/>
      <c r="D246" s="188">
        <f t="shared" si="13"/>
        <v>0</v>
      </c>
      <c r="E246" s="203"/>
      <c r="F246" s="260"/>
      <c r="G246" s="220"/>
      <c r="H246" s="5"/>
      <c r="I246" s="5"/>
      <c r="J246" s="5"/>
      <c r="K246" s="180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89">
        <f>'Données projet'!A225</f>
        <v>0</v>
      </c>
      <c r="B247" s="190">
        <f>'Données projet'!D225</f>
        <v>0</v>
      </c>
      <c r="C247" s="203"/>
      <c r="D247" s="188">
        <f t="shared" si="13"/>
        <v>0</v>
      </c>
      <c r="E247" s="203"/>
      <c r="F247" s="260"/>
      <c r="G247" s="220"/>
      <c r="H247" s="5"/>
      <c r="I247" s="5"/>
      <c r="J247" s="5"/>
      <c r="K247" s="180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89">
        <f>'Données projet'!A226</f>
        <v>0</v>
      </c>
      <c r="B248" s="190">
        <f>'Données projet'!D226</f>
        <v>0</v>
      </c>
      <c r="C248" s="203"/>
      <c r="D248" s="188">
        <f t="shared" si="13"/>
        <v>0</v>
      </c>
      <c r="E248" s="203"/>
      <c r="F248" s="260"/>
      <c r="G248" s="220"/>
      <c r="H248" s="5"/>
      <c r="I248" s="5"/>
      <c r="J248" s="5"/>
      <c r="K248" s="180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89">
        <f>'Données projet'!A227</f>
        <v>0</v>
      </c>
      <c r="B249" s="190">
        <f>'Données projet'!D227</f>
        <v>0</v>
      </c>
      <c r="C249" s="203"/>
      <c r="D249" s="188">
        <f t="shared" si="13"/>
        <v>0</v>
      </c>
      <c r="E249" s="203"/>
      <c r="F249" s="260"/>
      <c r="G249" s="220"/>
      <c r="H249" s="5"/>
      <c r="I249" s="5"/>
      <c r="J249" s="5"/>
      <c r="K249" s="180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89">
        <f>'Données projet'!A228</f>
        <v>0</v>
      </c>
      <c r="B250" s="190">
        <f>'Données projet'!D228</f>
        <v>0</v>
      </c>
      <c r="C250" s="203"/>
      <c r="D250" s="188">
        <f t="shared" si="13"/>
        <v>0</v>
      </c>
      <c r="E250" s="203"/>
      <c r="F250" s="260"/>
      <c r="G250" s="220"/>
      <c r="H250" s="5"/>
      <c r="I250" s="5"/>
      <c r="J250" s="5"/>
      <c r="K250" s="180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89">
        <f>'Données projet'!A229</f>
        <v>0</v>
      </c>
      <c r="B251" s="190">
        <f>'Données projet'!D229</f>
        <v>0</v>
      </c>
      <c r="C251" s="203"/>
      <c r="D251" s="188">
        <f t="shared" si="13"/>
        <v>0</v>
      </c>
      <c r="E251" s="203"/>
      <c r="F251" s="260"/>
      <c r="G251" s="220"/>
      <c r="H251" s="5"/>
      <c r="I251" s="5"/>
      <c r="J251" s="5"/>
      <c r="K251" s="180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89">
        <f>'Données projet'!A230</f>
        <v>0</v>
      </c>
      <c r="B252" s="190">
        <f>'Données projet'!D230</f>
        <v>0</v>
      </c>
      <c r="C252" s="203"/>
      <c r="D252" s="188">
        <f t="shared" si="13"/>
        <v>0</v>
      </c>
      <c r="E252" s="203"/>
      <c r="F252" s="260"/>
      <c r="G252" s="220"/>
      <c r="H252" s="5"/>
      <c r="I252" s="5"/>
      <c r="J252" s="5"/>
      <c r="K252" s="180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89">
        <f>'Données projet'!A231</f>
        <v>0</v>
      </c>
      <c r="B253" s="190">
        <f>'Données projet'!D231</f>
        <v>0</v>
      </c>
      <c r="C253" s="203"/>
      <c r="D253" s="188">
        <f t="shared" si="13"/>
        <v>0</v>
      </c>
      <c r="E253" s="203"/>
      <c r="F253" s="260"/>
      <c r="G253" s="220"/>
      <c r="H253" s="5"/>
      <c r="I253" s="5"/>
      <c r="J253" s="5"/>
      <c r="K253" s="180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89">
        <f>'Données projet'!A232</f>
        <v>0</v>
      </c>
      <c r="B254" s="190">
        <f>'Données projet'!D232</f>
        <v>0</v>
      </c>
      <c r="C254" s="203"/>
      <c r="D254" s="188">
        <f t="shared" si="13"/>
        <v>0</v>
      </c>
      <c r="E254" s="203"/>
      <c r="F254" s="260"/>
      <c r="G254" s="220"/>
      <c r="H254" s="5"/>
      <c r="I254" s="5"/>
      <c r="J254" s="5"/>
      <c r="K254" s="180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89">
        <f>'Données projet'!A233</f>
        <v>0</v>
      </c>
      <c r="B255" s="190">
        <f>'Données projet'!D233</f>
        <v>0</v>
      </c>
      <c r="C255" s="203"/>
      <c r="D255" s="188">
        <f t="shared" si="13"/>
        <v>0</v>
      </c>
      <c r="E255" s="203"/>
      <c r="F255" s="260"/>
      <c r="G255" s="220"/>
      <c r="H255" s="5"/>
      <c r="I255" s="5"/>
      <c r="J255" s="5"/>
      <c r="K255" s="180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89">
        <f>'Données projet'!A234</f>
        <v>0</v>
      </c>
      <c r="B256" s="190">
        <f>'Données projet'!D234</f>
        <v>0</v>
      </c>
      <c r="C256" s="203"/>
      <c r="D256" s="188">
        <f t="shared" si="13"/>
        <v>0</v>
      </c>
      <c r="E256" s="203"/>
      <c r="F256" s="260"/>
      <c r="G256" s="220"/>
      <c r="H256" s="5"/>
      <c r="I256" s="5"/>
      <c r="J256" s="5"/>
      <c r="K256" s="180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89">
        <f>'Données projet'!A235</f>
        <v>0</v>
      </c>
      <c r="B257" s="190">
        <f>'Données projet'!D235</f>
        <v>0</v>
      </c>
      <c r="C257" s="203"/>
      <c r="D257" s="188">
        <f t="shared" si="13"/>
        <v>0</v>
      </c>
      <c r="E257" s="203"/>
      <c r="F257" s="260"/>
      <c r="G257" s="220"/>
      <c r="H257" s="5"/>
      <c r="I257" s="5"/>
      <c r="J257" s="5"/>
      <c r="K257" s="180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89">
        <f>'Données projet'!A236</f>
        <v>0</v>
      </c>
      <c r="B258" s="190">
        <f>'Données projet'!D236</f>
        <v>0</v>
      </c>
      <c r="C258" s="203"/>
      <c r="D258" s="188">
        <f t="shared" si="13"/>
        <v>0</v>
      </c>
      <c r="E258" s="203"/>
      <c r="F258" s="260"/>
      <c r="G258" s="220"/>
      <c r="H258" s="5"/>
      <c r="I258" s="5"/>
      <c r="J258" s="5"/>
      <c r="K258" s="180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89">
        <f>'Données projet'!A237</f>
        <v>0</v>
      </c>
      <c r="B259" s="190">
        <f>'Données projet'!D237</f>
        <v>0</v>
      </c>
      <c r="C259" s="203"/>
      <c r="D259" s="188">
        <f t="shared" si="13"/>
        <v>0</v>
      </c>
      <c r="E259" s="203"/>
      <c r="F259" s="260"/>
      <c r="G259" s="220"/>
      <c r="H259" s="5"/>
      <c r="I259" s="5"/>
      <c r="J259" s="5"/>
      <c r="K259" s="180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8"/>
      <c r="G260" s="220"/>
      <c r="H260" s="5"/>
      <c r="I260" s="5"/>
      <c r="J260" s="5"/>
      <c r="K260" s="180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8"/>
      <c r="G261" s="220"/>
      <c r="H261" s="5"/>
      <c r="I261" s="5"/>
      <c r="J261" s="5"/>
      <c r="K261" s="180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3" t="str">
        <f>IF('Données projet'!$B$17="","",'Données projet'!$B$17)</f>
        <v/>
      </c>
      <c r="C262" s="5"/>
      <c r="D262" s="5"/>
      <c r="E262" s="5"/>
      <c r="F262" s="258"/>
      <c r="G262" s="220"/>
      <c r="H262" s="5"/>
      <c r="I262" s="5"/>
      <c r="J262" s="5"/>
      <c r="K262" s="180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8"/>
      <c r="G263" s="220"/>
      <c r="H263" s="5"/>
      <c r="I263" s="5"/>
      <c r="J263" s="5"/>
      <c r="K263" s="180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4" t="s">
        <v>180</v>
      </c>
      <c r="B264" s="51" t="s">
        <v>256</v>
      </c>
      <c r="C264" s="51" t="s">
        <v>255</v>
      </c>
      <c r="D264" s="254" t="s">
        <v>252</v>
      </c>
      <c r="E264" s="254" t="s">
        <v>320</v>
      </c>
      <c r="F264" s="259"/>
      <c r="G264" s="220"/>
      <c r="H264" s="5"/>
      <c r="I264" s="5"/>
      <c r="J264" s="5"/>
      <c r="K264" s="180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7">
        <v>0</v>
      </c>
      <c r="B265" s="210" t="s">
        <v>132</v>
      </c>
      <c r="C265" s="209" t="s">
        <v>132</v>
      </c>
      <c r="D265" s="208" t="s">
        <v>132</v>
      </c>
      <c r="E265" s="203"/>
      <c r="F265" s="259"/>
      <c r="G265" s="220"/>
      <c r="H265" s="5"/>
      <c r="I265" s="5"/>
      <c r="J265" s="5"/>
      <c r="K265" s="180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7">
        <v>1</v>
      </c>
      <c r="B266" s="210" t="s">
        <v>132</v>
      </c>
      <c r="C266" s="209" t="s">
        <v>132</v>
      </c>
      <c r="D266" s="208" t="s">
        <v>132</v>
      </c>
      <c r="E266" s="203"/>
      <c r="F266" s="259"/>
      <c r="G266" s="218"/>
      <c r="H266" s="5"/>
      <c r="I266" s="5"/>
      <c r="J266" s="5"/>
      <c r="K266" s="180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7">
        <v>2</v>
      </c>
      <c r="B267" s="210" t="s">
        <v>132</v>
      </c>
      <c r="C267" s="209" t="s">
        <v>132</v>
      </c>
      <c r="D267" s="208" t="s">
        <v>132</v>
      </c>
      <c r="E267" s="203"/>
      <c r="F267" s="259"/>
      <c r="G267" s="218"/>
      <c r="H267" s="5"/>
      <c r="I267" s="5"/>
      <c r="J267" s="5"/>
      <c r="K267" s="180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7">
        <v>3</v>
      </c>
      <c r="B268" s="210" t="s">
        <v>132</v>
      </c>
      <c r="C268" s="209" t="s">
        <v>132</v>
      </c>
      <c r="D268" s="208" t="s">
        <v>132</v>
      </c>
      <c r="E268" s="203"/>
      <c r="F268" s="259"/>
      <c r="G268" s="218"/>
      <c r="H268" s="5"/>
      <c r="I268" s="5"/>
      <c r="J268" s="5"/>
      <c r="K268" s="180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7">
        <v>4</v>
      </c>
      <c r="B269" s="210" t="s">
        <v>132</v>
      </c>
      <c r="C269" s="209" t="s">
        <v>132</v>
      </c>
      <c r="D269" s="208" t="s">
        <v>132</v>
      </c>
      <c r="E269" s="203"/>
      <c r="F269" s="259"/>
      <c r="G269" s="218"/>
      <c r="H269" s="5"/>
      <c r="I269" s="5"/>
      <c r="J269" s="5"/>
      <c r="K269" s="180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7">
        <v>5</v>
      </c>
      <c r="B270" s="210" t="s">
        <v>132</v>
      </c>
      <c r="C270" s="209" t="s">
        <v>132</v>
      </c>
      <c r="D270" s="208" t="s">
        <v>132</v>
      </c>
      <c r="E270" s="203"/>
      <c r="F270" s="259"/>
      <c r="G270" s="219"/>
      <c r="H270" s="5"/>
      <c r="I270" s="5"/>
      <c r="J270" s="5"/>
      <c r="K270" s="180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89">
        <f>'Données projet'!A244</f>
        <v>0</v>
      </c>
      <c r="B271" s="190">
        <f>'Données projet'!D244</f>
        <v>0</v>
      </c>
      <c r="C271" s="203"/>
      <c r="D271" s="188">
        <f>B271*C271</f>
        <v>0</v>
      </c>
      <c r="E271" s="203"/>
      <c r="F271" s="260"/>
      <c r="G271" s="219"/>
      <c r="H271" s="5"/>
      <c r="I271" s="5"/>
      <c r="J271" s="5"/>
      <c r="K271" s="180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89">
        <f>'Données projet'!A245</f>
        <v>0</v>
      </c>
      <c r="B272" s="190">
        <f>'Données projet'!D245</f>
        <v>0</v>
      </c>
      <c r="C272" s="203"/>
      <c r="D272" s="188">
        <f t="shared" ref="D272:D290" si="14">B272*C272</f>
        <v>0</v>
      </c>
      <c r="E272" s="203"/>
      <c r="F272" s="260"/>
      <c r="G272" s="219"/>
      <c r="H272" s="5"/>
      <c r="I272" s="5"/>
      <c r="J272" s="5"/>
      <c r="K272" s="180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89">
        <f>'Données projet'!A246</f>
        <v>0</v>
      </c>
      <c r="B273" s="190">
        <f>'Données projet'!D246</f>
        <v>0</v>
      </c>
      <c r="C273" s="201">
        <v>10</v>
      </c>
      <c r="D273" s="188">
        <f t="shared" si="14"/>
        <v>0</v>
      </c>
      <c r="E273" s="203"/>
      <c r="F273" s="260"/>
      <c r="G273" s="219"/>
      <c r="H273" s="5"/>
      <c r="I273" s="5"/>
      <c r="J273" s="5"/>
      <c r="K273" s="180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89">
        <f>'Données projet'!A247</f>
        <v>0</v>
      </c>
      <c r="B274" s="190">
        <f>'Données projet'!D247</f>
        <v>0</v>
      </c>
      <c r="C274" s="201"/>
      <c r="D274" s="188">
        <f t="shared" si="14"/>
        <v>0</v>
      </c>
      <c r="E274" s="203"/>
      <c r="F274" s="260"/>
      <c r="G274" s="219"/>
      <c r="H274" s="5"/>
      <c r="I274" s="5"/>
      <c r="J274" s="5"/>
      <c r="K274" s="180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89">
        <f>'Données projet'!A248</f>
        <v>0</v>
      </c>
      <c r="B275" s="190">
        <f>'Données projet'!D248</f>
        <v>0</v>
      </c>
      <c r="C275" s="201">
        <v>10</v>
      </c>
      <c r="D275" s="188">
        <f t="shared" si="14"/>
        <v>0</v>
      </c>
      <c r="E275" s="203"/>
      <c r="F275" s="260"/>
      <c r="G275" s="219"/>
      <c r="H275" s="5"/>
      <c r="I275" s="5"/>
      <c r="J275" s="5"/>
      <c r="K275" s="180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89">
        <f>'Données projet'!A249</f>
        <v>0</v>
      </c>
      <c r="B276" s="190">
        <f>'Données projet'!D249</f>
        <v>0</v>
      </c>
      <c r="C276" s="201"/>
      <c r="D276" s="188">
        <f t="shared" si="14"/>
        <v>0</v>
      </c>
      <c r="E276" s="203"/>
      <c r="F276" s="260"/>
      <c r="G276" s="219"/>
      <c r="H276" s="5"/>
      <c r="I276" s="5"/>
      <c r="J276" s="5"/>
      <c r="K276" s="180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89">
        <f>'Données projet'!A250</f>
        <v>0</v>
      </c>
      <c r="B277" s="190">
        <f>'Données projet'!D250</f>
        <v>0</v>
      </c>
      <c r="C277" s="201">
        <v>10</v>
      </c>
      <c r="D277" s="188">
        <f t="shared" si="14"/>
        <v>0</v>
      </c>
      <c r="E277" s="203"/>
      <c r="F277" s="260"/>
      <c r="G277" s="220"/>
      <c r="H277" s="5"/>
      <c r="I277" s="5"/>
      <c r="J277" s="5"/>
      <c r="K277" s="180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89">
        <f>'Données projet'!A251</f>
        <v>0</v>
      </c>
      <c r="B278" s="190">
        <f>'Données projet'!D251</f>
        <v>0</v>
      </c>
      <c r="C278" s="201"/>
      <c r="D278" s="188">
        <f t="shared" si="14"/>
        <v>0</v>
      </c>
      <c r="E278" s="203"/>
      <c r="F278" s="260"/>
      <c r="G278" s="220"/>
      <c r="H278" s="5"/>
      <c r="I278" s="5"/>
      <c r="J278" s="5"/>
      <c r="K278" s="180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89">
        <f>'Données projet'!A252</f>
        <v>0</v>
      </c>
      <c r="B279" s="190">
        <f>'Données projet'!D252</f>
        <v>0</v>
      </c>
      <c r="C279" s="201">
        <v>15</v>
      </c>
      <c r="D279" s="188">
        <f t="shared" si="14"/>
        <v>0</v>
      </c>
      <c r="E279" s="203"/>
      <c r="F279" s="260"/>
      <c r="G279" s="220"/>
      <c r="H279" s="5"/>
      <c r="I279" s="5"/>
      <c r="J279" s="5"/>
      <c r="K279" s="180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89">
        <f>'Données projet'!A253</f>
        <v>0</v>
      </c>
      <c r="B280" s="190">
        <f>'Données projet'!D253</f>
        <v>0</v>
      </c>
      <c r="C280" s="201"/>
      <c r="D280" s="188">
        <f t="shared" si="14"/>
        <v>0</v>
      </c>
      <c r="E280" s="203"/>
      <c r="F280" s="260"/>
      <c r="G280" s="220"/>
      <c r="H280" s="5"/>
      <c r="I280" s="5"/>
      <c r="J280" s="5"/>
      <c r="K280" s="180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89">
        <f>'Données projet'!A254</f>
        <v>0</v>
      </c>
      <c r="B281" s="190">
        <f>'Données projet'!D254</f>
        <v>0</v>
      </c>
      <c r="C281" s="201">
        <v>20</v>
      </c>
      <c r="D281" s="188">
        <f t="shared" si="14"/>
        <v>0</v>
      </c>
      <c r="E281" s="203"/>
      <c r="F281" s="260"/>
      <c r="G281" s="220"/>
      <c r="H281" s="5"/>
      <c r="I281" s="5"/>
      <c r="J281" s="5"/>
      <c r="K281" s="180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89">
        <f>'Données projet'!A255</f>
        <v>0</v>
      </c>
      <c r="B282" s="190">
        <f>'Données projet'!D255</f>
        <v>0</v>
      </c>
      <c r="C282" s="201"/>
      <c r="D282" s="188">
        <f t="shared" si="14"/>
        <v>0</v>
      </c>
      <c r="E282" s="203"/>
      <c r="F282" s="260"/>
      <c r="G282" s="220"/>
      <c r="H282" s="5"/>
      <c r="I282" s="5"/>
      <c r="J282" s="5"/>
      <c r="K282" s="180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89">
        <f>'Données projet'!A256</f>
        <v>0</v>
      </c>
      <c r="B283" s="190">
        <f>'Données projet'!D256</f>
        <v>0</v>
      </c>
      <c r="C283" s="201">
        <v>30</v>
      </c>
      <c r="D283" s="188">
        <f t="shared" si="14"/>
        <v>0</v>
      </c>
      <c r="E283" s="203"/>
      <c r="F283" s="260"/>
      <c r="G283" s="220"/>
      <c r="H283" s="5"/>
      <c r="I283" s="5"/>
      <c r="J283" s="5"/>
      <c r="K283" s="180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89">
        <f>'Données projet'!A257</f>
        <v>0</v>
      </c>
      <c r="B284" s="190">
        <f>'Données projet'!D257</f>
        <v>0</v>
      </c>
      <c r="C284" s="201"/>
      <c r="D284" s="188">
        <f t="shared" si="14"/>
        <v>0</v>
      </c>
      <c r="E284" s="203"/>
      <c r="F284" s="260"/>
      <c r="G284" s="220"/>
      <c r="H284" s="5"/>
      <c r="I284" s="5"/>
      <c r="J284" s="5"/>
      <c r="K284" s="180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89">
        <f>'Données projet'!A258</f>
        <v>0</v>
      </c>
      <c r="B285" s="190">
        <f>'Données projet'!D258</f>
        <v>0</v>
      </c>
      <c r="C285" s="201">
        <v>30</v>
      </c>
      <c r="D285" s="188">
        <f t="shared" si="14"/>
        <v>0</v>
      </c>
      <c r="E285" s="203"/>
      <c r="F285" s="260"/>
      <c r="G285" s="220"/>
      <c r="H285" s="5"/>
      <c r="I285" s="5"/>
      <c r="J285" s="5"/>
      <c r="K285" s="180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89">
        <f>'Données projet'!A259</f>
        <v>0</v>
      </c>
      <c r="B286" s="190">
        <f>'Données projet'!D259</f>
        <v>0</v>
      </c>
      <c r="C286" s="201"/>
      <c r="D286" s="188">
        <f t="shared" si="14"/>
        <v>0</v>
      </c>
      <c r="E286" s="203"/>
      <c r="F286" s="260"/>
      <c r="G286" s="220"/>
      <c r="H286" s="5"/>
      <c r="I286" s="5"/>
      <c r="J286" s="5"/>
      <c r="K286" s="180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89">
        <f>'Données projet'!A260</f>
        <v>0</v>
      </c>
      <c r="B287" s="190">
        <f>'Données projet'!D260</f>
        <v>0</v>
      </c>
      <c r="C287" s="201">
        <v>40</v>
      </c>
      <c r="D287" s="188">
        <f t="shared" si="14"/>
        <v>0</v>
      </c>
      <c r="E287" s="203"/>
      <c r="F287" s="260"/>
      <c r="G287" s="220"/>
      <c r="H287" s="5"/>
      <c r="I287" s="5"/>
      <c r="J287" s="5"/>
      <c r="K287" s="180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89">
        <f>'Données projet'!A261</f>
        <v>0</v>
      </c>
      <c r="B288" s="190">
        <f>'Données projet'!D261</f>
        <v>0</v>
      </c>
      <c r="C288" s="201"/>
      <c r="D288" s="188">
        <f t="shared" si="14"/>
        <v>0</v>
      </c>
      <c r="E288" s="203"/>
      <c r="F288" s="260"/>
      <c r="G288" s="220"/>
      <c r="H288" s="5"/>
      <c r="I288" s="5"/>
      <c r="J288" s="5"/>
      <c r="K288" s="180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89">
        <f>'Données projet'!A262</f>
        <v>0</v>
      </c>
      <c r="B289" s="190">
        <f>'Données projet'!D262</f>
        <v>0</v>
      </c>
      <c r="C289" s="201">
        <v>40</v>
      </c>
      <c r="D289" s="188">
        <f t="shared" si="14"/>
        <v>0</v>
      </c>
      <c r="E289" s="203"/>
      <c r="F289" s="260"/>
      <c r="G289" s="220"/>
      <c r="H289" s="5"/>
      <c r="I289" s="5"/>
      <c r="J289" s="5"/>
      <c r="K289" s="180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89">
        <f>'Données projet'!A263</f>
        <v>0</v>
      </c>
      <c r="B290" s="190">
        <f>'Données projet'!D263</f>
        <v>0</v>
      </c>
      <c r="C290" s="201">
        <v>60</v>
      </c>
      <c r="D290" s="188">
        <f t="shared" si="14"/>
        <v>0</v>
      </c>
      <c r="E290" s="203"/>
      <c r="F290" s="260"/>
      <c r="G290" s="220"/>
      <c r="H290" s="5"/>
      <c r="I290" s="5"/>
      <c r="J290" s="5"/>
      <c r="K290" s="180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8"/>
      <c r="G291" s="220"/>
      <c r="H291" s="5"/>
      <c r="I291" s="5"/>
      <c r="J291" s="5"/>
      <c r="K291" s="180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8"/>
      <c r="G292" s="220"/>
      <c r="H292" s="5"/>
      <c r="I292" s="5"/>
      <c r="J292" s="5"/>
      <c r="K292" s="180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3" t="str">
        <f>IF('Données projet'!$B$18="","",'Données projet'!$B$18)</f>
        <v/>
      </c>
      <c r="C293" s="5"/>
      <c r="D293" s="5"/>
      <c r="E293" s="5"/>
      <c r="F293" s="258"/>
      <c r="G293" s="220"/>
      <c r="H293" s="5"/>
      <c r="I293" s="5"/>
      <c r="J293" s="5"/>
      <c r="K293" s="180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8"/>
      <c r="G294" s="220"/>
      <c r="H294" s="5"/>
      <c r="I294" s="5"/>
      <c r="J294" s="5"/>
      <c r="K294" s="180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4" t="s">
        <v>180</v>
      </c>
      <c r="B295" s="51" t="s">
        <v>256</v>
      </c>
      <c r="C295" s="51" t="s">
        <v>255</v>
      </c>
      <c r="D295" s="254" t="s">
        <v>252</v>
      </c>
      <c r="E295" s="254" t="s">
        <v>320</v>
      </c>
      <c r="F295" s="259"/>
      <c r="G295" s="220"/>
      <c r="H295" s="5"/>
      <c r="I295" s="5"/>
      <c r="J295" s="5"/>
      <c r="K295" s="180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7">
        <v>0</v>
      </c>
      <c r="B296" s="210" t="s">
        <v>132</v>
      </c>
      <c r="C296" s="209" t="s">
        <v>132</v>
      </c>
      <c r="D296" s="208" t="s">
        <v>132</v>
      </c>
      <c r="E296" s="203"/>
      <c r="F296" s="259"/>
      <c r="G296" s="220"/>
      <c r="H296" s="5"/>
      <c r="I296" s="5"/>
      <c r="J296" s="5"/>
      <c r="K296" s="180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7">
        <v>1</v>
      </c>
      <c r="B297" s="210" t="s">
        <v>132</v>
      </c>
      <c r="C297" s="209" t="s">
        <v>132</v>
      </c>
      <c r="D297" s="208" t="s">
        <v>132</v>
      </c>
      <c r="E297" s="203"/>
      <c r="F297" s="259"/>
      <c r="G297" s="218"/>
      <c r="H297" s="5"/>
      <c r="I297" s="5"/>
      <c r="J297" s="5"/>
      <c r="K297" s="180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7">
        <v>2</v>
      </c>
      <c r="B298" s="210" t="s">
        <v>132</v>
      </c>
      <c r="C298" s="209" t="s">
        <v>132</v>
      </c>
      <c r="D298" s="208" t="s">
        <v>132</v>
      </c>
      <c r="E298" s="203"/>
      <c r="F298" s="259"/>
      <c r="G298" s="218"/>
      <c r="H298" s="5"/>
      <c r="I298" s="5"/>
      <c r="J298" s="5"/>
      <c r="K298" s="180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7">
        <v>3</v>
      </c>
      <c r="B299" s="210" t="s">
        <v>132</v>
      </c>
      <c r="C299" s="209" t="s">
        <v>132</v>
      </c>
      <c r="D299" s="208" t="s">
        <v>132</v>
      </c>
      <c r="E299" s="203"/>
      <c r="F299" s="259"/>
      <c r="G299" s="218"/>
      <c r="H299" s="5"/>
      <c r="I299" s="5"/>
      <c r="J299" s="5"/>
      <c r="K299" s="180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7">
        <v>4</v>
      </c>
      <c r="B300" s="210" t="s">
        <v>132</v>
      </c>
      <c r="C300" s="209" t="s">
        <v>132</v>
      </c>
      <c r="D300" s="208" t="s">
        <v>132</v>
      </c>
      <c r="E300" s="203"/>
      <c r="F300" s="259"/>
      <c r="G300" s="218"/>
      <c r="H300" s="5"/>
      <c r="I300" s="5"/>
      <c r="J300" s="5"/>
      <c r="K300" s="180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7">
        <v>5</v>
      </c>
      <c r="B301" s="210" t="s">
        <v>132</v>
      </c>
      <c r="C301" s="209" t="s">
        <v>132</v>
      </c>
      <c r="D301" s="208" t="s">
        <v>132</v>
      </c>
      <c r="E301" s="203"/>
      <c r="F301" s="259"/>
      <c r="G301" s="219"/>
      <c r="H301" s="5"/>
      <c r="I301" s="5"/>
      <c r="J301" s="5"/>
      <c r="K301" s="180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89">
        <f>'Données projet'!A270</f>
        <v>0</v>
      </c>
      <c r="B302" s="190">
        <f>'Données projet'!D270</f>
        <v>0</v>
      </c>
      <c r="C302" s="201"/>
      <c r="D302" s="191">
        <f>B302*C302</f>
        <v>0</v>
      </c>
      <c r="E302" s="203"/>
      <c r="F302" s="261"/>
      <c r="G302" s="219"/>
      <c r="H302" s="5"/>
      <c r="I302" s="5"/>
      <c r="J302" s="5"/>
      <c r="K302" s="180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89">
        <f>'Données projet'!A271</f>
        <v>0</v>
      </c>
      <c r="B303" s="190">
        <f>'Données projet'!D271</f>
        <v>0</v>
      </c>
      <c r="C303" s="201"/>
      <c r="D303" s="191">
        <f t="shared" ref="D303:D321" si="15">B303*C303</f>
        <v>0</v>
      </c>
      <c r="E303" s="203"/>
      <c r="F303" s="261"/>
      <c r="G303" s="219"/>
      <c r="H303" s="5"/>
      <c r="I303" s="5"/>
      <c r="J303" s="5"/>
      <c r="K303" s="180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89">
        <f>'Données projet'!A272</f>
        <v>0</v>
      </c>
      <c r="B304" s="190">
        <f>'Données projet'!D272</f>
        <v>0</v>
      </c>
      <c r="C304" s="201">
        <v>10</v>
      </c>
      <c r="D304" s="191">
        <f t="shared" si="15"/>
        <v>0</v>
      </c>
      <c r="E304" s="203"/>
      <c r="F304" s="261"/>
      <c r="G304" s="219"/>
      <c r="H304" s="5"/>
      <c r="I304" s="5"/>
      <c r="J304" s="5"/>
      <c r="K304" s="180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89">
        <f>'Données projet'!A273</f>
        <v>0</v>
      </c>
      <c r="B305" s="190">
        <f>'Données projet'!D273</f>
        <v>0</v>
      </c>
      <c r="C305" s="201"/>
      <c r="D305" s="191">
        <f t="shared" si="15"/>
        <v>0</v>
      </c>
      <c r="E305" s="203"/>
      <c r="F305" s="261"/>
      <c r="G305" s="219"/>
      <c r="H305" s="5"/>
      <c r="I305" s="5"/>
      <c r="J305" s="5"/>
      <c r="K305" s="180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89">
        <f>'Données projet'!A274</f>
        <v>0</v>
      </c>
      <c r="B306" s="190">
        <f>'Données projet'!D274</f>
        <v>0</v>
      </c>
      <c r="C306" s="201"/>
      <c r="D306" s="191">
        <f t="shared" si="15"/>
        <v>0</v>
      </c>
      <c r="E306" s="203"/>
      <c r="F306" s="261"/>
      <c r="G306" s="219"/>
      <c r="H306" s="5"/>
      <c r="I306" s="5"/>
      <c r="J306" s="5"/>
      <c r="K306" s="180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89">
        <f>'Données projet'!A275</f>
        <v>0</v>
      </c>
      <c r="B307" s="190">
        <f>'Données projet'!D275</f>
        <v>0</v>
      </c>
      <c r="C307" s="201">
        <v>10</v>
      </c>
      <c r="D307" s="191">
        <f t="shared" si="15"/>
        <v>0</v>
      </c>
      <c r="E307" s="203"/>
      <c r="F307" s="261"/>
      <c r="G307" s="219"/>
      <c r="H307" s="5"/>
      <c r="I307" s="5"/>
      <c r="J307" s="5"/>
      <c r="K307" s="180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89">
        <f>'Données projet'!A276</f>
        <v>0</v>
      </c>
      <c r="B308" s="190">
        <f>'Données projet'!D276</f>
        <v>0</v>
      </c>
      <c r="C308" s="201"/>
      <c r="D308" s="191">
        <f t="shared" si="15"/>
        <v>0</v>
      </c>
      <c r="E308" s="203"/>
      <c r="F308" s="261"/>
      <c r="G308" s="215"/>
      <c r="H308" s="5"/>
      <c r="I308" s="5"/>
      <c r="J308" s="5"/>
      <c r="K308" s="180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89">
        <f>'Données projet'!A277</f>
        <v>0</v>
      </c>
      <c r="B309" s="190">
        <f>'Données projet'!D277</f>
        <v>0</v>
      </c>
      <c r="C309" s="201"/>
      <c r="D309" s="191">
        <f t="shared" si="15"/>
        <v>0</v>
      </c>
      <c r="E309" s="203"/>
      <c r="F309" s="261"/>
      <c r="G309" s="215"/>
      <c r="H309" s="5"/>
      <c r="I309" s="5"/>
      <c r="J309" s="5"/>
      <c r="K309" s="180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89">
        <f>'Données projet'!A278</f>
        <v>0</v>
      </c>
      <c r="B310" s="190">
        <f>'Données projet'!D278</f>
        <v>0</v>
      </c>
      <c r="C310" s="201"/>
      <c r="D310" s="191">
        <f t="shared" si="15"/>
        <v>0</v>
      </c>
      <c r="E310" s="203"/>
      <c r="F310" s="261"/>
      <c r="G310" s="215"/>
      <c r="H310" s="5"/>
      <c r="I310" s="5"/>
      <c r="J310" s="5"/>
      <c r="K310" s="180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89">
        <f>'Données projet'!A279</f>
        <v>0</v>
      </c>
      <c r="B311" s="190">
        <f>'Données projet'!D279</f>
        <v>0</v>
      </c>
      <c r="C311" s="201"/>
      <c r="D311" s="191">
        <f t="shared" si="15"/>
        <v>0</v>
      </c>
      <c r="E311" s="203"/>
      <c r="F311" s="261"/>
      <c r="G311" s="215"/>
      <c r="H311" s="5"/>
      <c r="I311" s="5"/>
      <c r="J311" s="5"/>
      <c r="K311" s="180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89">
        <f>'Données projet'!A280</f>
        <v>0</v>
      </c>
      <c r="B312" s="190">
        <f>'Données projet'!D280</f>
        <v>0</v>
      </c>
      <c r="C312" s="201">
        <v>40</v>
      </c>
      <c r="D312" s="191">
        <f t="shared" si="15"/>
        <v>0</v>
      </c>
      <c r="E312" s="203"/>
      <c r="F312" s="261"/>
      <c r="G312" s="215"/>
      <c r="H312" s="5"/>
      <c r="I312" s="5"/>
      <c r="J312" s="5"/>
      <c r="K312" s="180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89">
        <f>'Données projet'!A281</f>
        <v>0</v>
      </c>
      <c r="B313" s="190">
        <f>'Données projet'!D281</f>
        <v>0</v>
      </c>
      <c r="C313" s="201"/>
      <c r="D313" s="191">
        <f t="shared" si="15"/>
        <v>0</v>
      </c>
      <c r="E313" s="203"/>
      <c r="F313" s="261"/>
      <c r="G313" s="215"/>
      <c r="H313" s="5"/>
      <c r="I313" s="5"/>
      <c r="J313" s="5"/>
      <c r="K313" s="180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89">
        <f>'Données projet'!A282</f>
        <v>0</v>
      </c>
      <c r="B314" s="190">
        <f>'Données projet'!D282</f>
        <v>0</v>
      </c>
      <c r="C314" s="201"/>
      <c r="D314" s="191">
        <f t="shared" si="15"/>
        <v>0</v>
      </c>
      <c r="E314" s="203"/>
      <c r="F314" s="261"/>
      <c r="G314" s="215"/>
      <c r="H314" s="5"/>
      <c r="I314" s="5"/>
      <c r="J314" s="5"/>
      <c r="K314" s="180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89">
        <f>'Données projet'!A283</f>
        <v>0</v>
      </c>
      <c r="B315" s="190">
        <f>'Données projet'!D283</f>
        <v>0</v>
      </c>
      <c r="C315" s="201"/>
      <c r="D315" s="191">
        <f t="shared" si="15"/>
        <v>0</v>
      </c>
      <c r="E315" s="203"/>
      <c r="F315" s="261"/>
      <c r="G315" s="215"/>
      <c r="H315" s="5"/>
      <c r="I315" s="5"/>
      <c r="J315" s="5"/>
      <c r="K315" s="180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89">
        <f>'Données projet'!A284</f>
        <v>0</v>
      </c>
      <c r="B316" s="190">
        <f>'Données projet'!D284</f>
        <v>0</v>
      </c>
      <c r="C316" s="201"/>
      <c r="D316" s="191">
        <f t="shared" si="15"/>
        <v>0</v>
      </c>
      <c r="E316" s="203"/>
      <c r="F316" s="261"/>
      <c r="G316" s="215"/>
      <c r="H316" s="5"/>
      <c r="I316" s="5"/>
      <c r="J316" s="5"/>
      <c r="K316" s="180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89">
        <f>'Données projet'!A285</f>
        <v>0</v>
      </c>
      <c r="B317" s="190">
        <f>'Données projet'!D285</f>
        <v>0</v>
      </c>
      <c r="C317" s="201"/>
      <c r="D317" s="191">
        <f t="shared" si="15"/>
        <v>0</v>
      </c>
      <c r="E317" s="203"/>
      <c r="F317" s="261"/>
      <c r="G317" s="215"/>
      <c r="H317" s="5"/>
      <c r="I317" s="5"/>
      <c r="J317" s="5"/>
      <c r="K317" s="180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89">
        <f>'Données projet'!A286</f>
        <v>0</v>
      </c>
      <c r="B318" s="190">
        <f>'Données projet'!D286</f>
        <v>0</v>
      </c>
      <c r="C318" s="201"/>
      <c r="D318" s="191">
        <f t="shared" si="15"/>
        <v>0</v>
      </c>
      <c r="E318" s="203"/>
      <c r="F318" s="261"/>
      <c r="G318" s="215"/>
      <c r="H318" s="5"/>
      <c r="I318" s="5"/>
      <c r="J318" s="5"/>
      <c r="K318" s="180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89">
        <f>'Données projet'!A287</f>
        <v>0</v>
      </c>
      <c r="B319" s="190">
        <f>'Données projet'!D287</f>
        <v>0</v>
      </c>
      <c r="C319" s="201"/>
      <c r="D319" s="191">
        <f t="shared" si="15"/>
        <v>0</v>
      </c>
      <c r="E319" s="203"/>
      <c r="F319" s="261"/>
      <c r="G319" s="215"/>
      <c r="H319" s="5"/>
      <c r="I319" s="5"/>
      <c r="J319" s="5"/>
      <c r="K319" s="180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89">
        <f>'Données projet'!A288</f>
        <v>0</v>
      </c>
      <c r="B320" s="190">
        <f>'Données projet'!D288</f>
        <v>0</v>
      </c>
      <c r="C320" s="201"/>
      <c r="D320" s="191">
        <f t="shared" si="15"/>
        <v>0</v>
      </c>
      <c r="E320" s="203"/>
      <c r="F320" s="261"/>
      <c r="G320" s="215"/>
      <c r="H320" s="5"/>
      <c r="I320" s="5"/>
      <c r="J320" s="5"/>
      <c r="K320" s="180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89">
        <f>'Données projet'!A289</f>
        <v>0</v>
      </c>
      <c r="B321" s="190">
        <f>'Données projet'!D289</f>
        <v>0</v>
      </c>
      <c r="C321" s="206"/>
      <c r="D321" s="191">
        <f t="shared" si="15"/>
        <v>0</v>
      </c>
      <c r="E321" s="203"/>
      <c r="F321" s="261"/>
      <c r="G321" s="215"/>
      <c r="H321" s="5"/>
      <c r="I321" s="5"/>
      <c r="J321" s="5"/>
      <c r="K321" s="180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5"/>
      <c r="H322" s="5"/>
      <c r="I322" s="5"/>
      <c r="J322" s="5"/>
      <c r="K322" s="180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5"/>
      <c r="H323" s="5"/>
      <c r="I323" s="5"/>
      <c r="J323" s="5"/>
      <c r="K323" s="180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5"/>
      <c r="H324" s="5"/>
      <c r="I324" s="5"/>
      <c r="J324" s="5"/>
      <c r="K324" s="180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5"/>
      <c r="H325" s="5"/>
      <c r="I325" s="5"/>
      <c r="J325" s="5"/>
      <c r="K325" s="180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5"/>
      <c r="H326" s="5"/>
      <c r="I326" s="5"/>
      <c r="J326" s="5"/>
      <c r="K326" s="180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5"/>
      <c r="H327" s="5"/>
      <c r="I327" s="5"/>
      <c r="J327" s="5"/>
      <c r="K327" s="180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8"/>
      <c r="G328" s="228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8"/>
      <c r="G329" s="228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8"/>
      <c r="G330" s="228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8"/>
      <c r="G331" s="228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8"/>
      <c r="G332" s="228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8"/>
      <c r="G333" s="228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8"/>
      <c r="G334" s="228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8"/>
      <c r="G335" s="228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8"/>
      <c r="G336" s="228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8"/>
      <c r="G337" s="228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8"/>
      <c r="G338" s="228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8"/>
      <c r="G339" s="228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8"/>
      <c r="G340" s="228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8"/>
      <c r="G341" s="228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8"/>
      <c r="G342" s="228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8"/>
      <c r="G343" s="228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8"/>
      <c r="G344" s="228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8"/>
      <c r="G345" s="228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8"/>
      <c r="G346" s="228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8"/>
      <c r="G347" s="228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8"/>
      <c r="G348" s="228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8"/>
      <c r="G349" s="228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8"/>
      <c r="G350" s="228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8"/>
      <c r="G351" s="228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8"/>
      <c r="G352" s="228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8"/>
      <c r="G353" s="228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8"/>
      <c r="G354" s="228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8"/>
      <c r="G355" s="228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8"/>
      <c r="G356" s="228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8"/>
      <c r="G357" s="228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8"/>
      <c r="G358" s="228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8"/>
      <c r="G359" s="228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8"/>
      <c r="G360" s="228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8"/>
      <c r="G361" s="228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8"/>
      <c r="G362" s="228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8"/>
      <c r="G363" s="228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8"/>
      <c r="G364" s="228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8"/>
      <c r="G365" s="228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8"/>
      <c r="G366" s="228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8"/>
      <c r="G367" s="228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8"/>
      <c r="G368" s="228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8"/>
      <c r="G369" s="228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8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8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8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8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8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8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8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8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8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8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8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8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8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8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8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8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8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8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8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8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8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8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8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8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8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8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fleur.alonso</cp:lastModifiedBy>
  <dcterms:created xsi:type="dcterms:W3CDTF">2021-02-01T08:22:39Z</dcterms:created>
  <dcterms:modified xsi:type="dcterms:W3CDTF">2024-12-13T11:02:10Z</dcterms:modified>
</cp:coreProperties>
</file>