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DLB\ZA BANNALEC 2 (29) - IND BEAU\Dossier déposé 15102024\"/>
    </mc:Choice>
  </mc:AlternateContent>
  <xr:revisionPtr revIDLastSave="0" documentId="13_ncr:1_{32AF8968-0AE8-4090-8700-CD8F06587402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" i="6" l="1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62" i="2" l="1" a="1"/>
  <c r="AH62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<sst xmlns="http://schemas.openxmlformats.org/spreadsheetml/2006/main" count="1171" uniqueCount="324">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</sst>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8.4687006525389847</c:v>
                </c:pt>
                <c:pt idx="2">
                  <c:v>16.56321787850057</c:v>
                </c:pt>
                <c:pt idx="3">
                  <c:v>24.536892640510697</c:v>
                </c:pt>
                <c:pt idx="4">
                  <c:v>32.436077296047166</c:v>
                </c:pt>
                <c:pt idx="5">
                  <c:v>40.281780253049675</c:v>
                </c:pt>
                <c:pt idx="6">
                  <c:v>48.085985584532558</c:v>
                </c:pt>
                <c:pt idx="7">
                  <c:v>55.856418958997217</c:v>
                </c:pt>
                <c:pt idx="8">
                  <c:v>63.598461609564083</c:v>
                </c:pt>
                <c:pt idx="9">
                  <c:v>71.316068811031457</c:v>
                </c:pt>
                <c:pt idx="10">
                  <c:v>79.012265324528812</c:v>
                </c:pt>
                <c:pt idx="11">
                  <c:v>86.689435951991172</c:v>
                </c:pt>
                <c:pt idx="12">
                  <c:v>94.349507025111919</c:v>
                </c:pt>
                <c:pt idx="13">
                  <c:v>101.99406551237553</c:v>
                </c:pt>
                <c:pt idx="14">
                  <c:v>109.62444036403468</c:v>
                </c:pt>
                <c:pt idx="15">
                  <c:v>117.24175992250753</c:v>
                </c:pt>
                <c:pt idx="16">
                  <c:v>124.84699357315124</c:v>
                </c:pt>
                <c:pt idx="17">
                  <c:v>132.44098267942363</c:v>
                </c:pt>
                <c:pt idx="18">
                  <c:v>140.02446402917167</c:v>
                </c:pt>
                <c:pt idx="19">
                  <c:v>147.59808792125918</c:v>
                </c:pt>
                <c:pt idx="20">
                  <c:v>155.16243233585811</c:v>
                </c:pt>
                <c:pt idx="21">
                  <c:v>162.7180141901425</c:v>
                </c:pt>
                <c:pt idx="22">
                  <c:v>170.26529838929525</c:v>
                </c:pt>
                <c:pt idx="23">
                  <c:v>177.80470518535947</c:v>
                </c:pt>
                <c:pt idx="24">
                  <c:v>185.33661622017692</c:v>
                </c:pt>
                <c:pt idx="25">
                  <c:v>192.86137953279058</c:v>
                </c:pt>
                <c:pt idx="26">
                  <c:v>200.37931374311032</c:v>
                </c:pt>
                <c:pt idx="27">
                  <c:v>207.89071157383387</c:v>
                </c:pt>
                <c:pt idx="28">
                  <c:v>215.39584283593396</c:v>
                </c:pt>
                <c:pt idx="29">
                  <c:v>222.89495697566213</c:v>
                </c:pt>
                <c:pt idx="30">
                  <c:v>230.38828526037184</c:v>
                </c:pt>
                <c:pt idx="31">
                  <c:v>237.87604266471195</c:v>
                </c:pt>
                <c:pt idx="32">
                  <c:v>245.35842950660216</c:v>
                </c:pt>
                <c:pt idx="33">
                  <c:v>252.83563287296877</c:v>
                </c:pt>
                <c:pt idx="34">
                  <c:v>260.30782786780691</c:v>
                </c:pt>
                <c:pt idx="35">
                  <c:v>267.77517870928608</c:v>
                </c:pt>
                <c:pt idx="36">
                  <c:v>275.23783969794948</c:v>
                </c:pt>
                <c:pt idx="37">
                  <c:v>282.69595607430921</c:v>
                </c:pt>
                <c:pt idx="38">
                  <c:v>290.14966478112234</c:v>
                </c:pt>
                <c:pt idx="39">
                  <c:v>297.59909514317076</c:v>
                </c:pt>
                <c:pt idx="40">
                  <c:v>305.04436947535646</c:v>
                </c:pt>
                <c:pt idx="41">
                  <c:v>312.48560362827743</c:v>
                </c:pt>
                <c:pt idx="42">
                  <c:v>319.92290747907697</c:v>
                </c:pt>
                <c:pt idx="43">
                  <c:v>327.3563853742283</c:v>
                </c:pt>
                <c:pt idx="44">
                  <c:v>334.78613652997024</c:v>
                </c:pt>
                <c:pt idx="45">
                  <c:v>342.21225539531355</c:v>
                </c:pt>
                <c:pt idx="46">
                  <c:v>349.6348319818685</c:v>
                </c:pt>
                <c:pt idx="47">
                  <c:v>357.05395216418509</c:v>
                </c:pt>
                <c:pt idx="48">
                  <c:v>364.46969795380983</c:v>
                </c:pt>
                <c:pt idx="49">
                  <c:v>371.88214774985954</c:v>
                </c:pt>
                <c:pt idx="50">
                  <c:v>282.83933776674917</c:v>
                </c:pt>
                <c:pt idx="51">
                  <c:v>298.88799440275972</c:v>
                </c:pt>
                <c:pt idx="52">
                  <c:v>314.91745712114295</c:v>
                </c:pt>
                <c:pt idx="53">
                  <c:v>330.92884034916193</c:v>
                </c:pt>
                <c:pt idx="54">
                  <c:v>346.92314186926546</c:v>
                </c:pt>
                <c:pt idx="55">
                  <c:v>362.90125995557429</c:v>
                </c:pt>
                <c:pt idx="56">
                  <c:v>378.86400733367765</c:v>
                </c:pt>
                <c:pt idx="57">
                  <c:v>320.63782960974697</c:v>
                </c:pt>
                <c:pt idx="58">
                  <c:v>336.35734610848698</c:v>
                </c:pt>
                <c:pt idx="59">
                  <c:v>352.06068979395098</c:v>
                </c:pt>
                <c:pt idx="60">
                  <c:v>367.74868350762807</c:v>
                </c:pt>
                <c:pt idx="61">
                  <c:v>383.42207416339437</c:v>
                </c:pt>
                <c:pt idx="62">
                  <c:v>399.08154263585919</c:v>
                </c:pt>
                <c:pt idx="63">
                  <c:v>414.7277120155033</c:v>
                </c:pt>
                <c:pt idx="64">
                  <c:v>353.04163099807107</c:v>
                </c:pt>
                <c:pt idx="65">
                  <c:v>368.14069328529212</c:v>
                </c:pt>
                <c:pt idx="66">
                  <c:v>383.22624406149117</c:v>
                </c:pt>
                <c:pt idx="67">
                  <c:v>398.29889002851706</c:v>
                </c:pt>
                <c:pt idx="68">
                  <c:v>413.35918822887157</c:v>
                </c:pt>
                <c:pt idx="69">
                  <c:v>428.40765180935227</c:v>
                </c:pt>
                <c:pt idx="70">
                  <c:v>443.44475493264548</c:v>
                </c:pt>
                <c:pt idx="71">
                  <c:v>458.47093698802956</c:v>
                </c:pt>
                <c:pt idx="72">
                  <c:v>383.8493322938416</c:v>
                </c:pt>
                <c:pt idx="73">
                  <c:v>397.80082102983084</c:v>
                </c:pt>
                <c:pt idx="74">
                  <c:v>411.74171584285932</c:v>
                </c:pt>
                <c:pt idx="75">
                  <c:v>425.67242592235584</c:v>
                </c:pt>
                <c:pt idx="76">
                  <c:v>439.59333149267519</c:v>
                </c:pt>
                <c:pt idx="77">
                  <c:v>453.50478673498748</c:v>
                </c:pt>
                <c:pt idx="78">
                  <c:v>467.40712233198593</c:v>
                </c:pt>
                <c:pt idx="79">
                  <c:v>481.30064769410069</c:v>
                </c:pt>
                <c:pt idx="80">
                  <c:v>410.99514389488394</c:v>
                </c:pt>
                <c:pt idx="81">
                  <c:v>424.18032529272637</c:v>
                </c:pt>
                <c:pt idx="82">
                  <c:v>437.35668939981042</c:v>
                </c:pt>
                <c:pt idx="83">
                  <c:v>450.52453926699678</c:v>
                </c:pt>
                <c:pt idx="84">
                  <c:v>463.68415878645283</c:v>
                </c:pt>
                <c:pt idx="85">
                  <c:v>476.83581442364516</c:v>
                </c:pt>
                <c:pt idx="86">
                  <c:v>489.97975674831883</c:v>
                </c:pt>
                <c:pt idx="87">
                  <c:v>503.11622179266851</c:v>
                </c:pt>
                <c:pt idx="88">
                  <c:v>430.89389491342303</c:v>
                </c:pt>
                <c:pt idx="89">
                  <c:v>443.07206797078328</c:v>
                </c:pt>
                <c:pt idx="90">
                  <c:v>455.24307087387547</c:v>
                </c:pt>
                <c:pt idx="91">
                  <c:v>467.40712233198593</c:v>
                </c:pt>
                <c:pt idx="92">
                  <c:v>479.56442874249416</c:v>
                </c:pt>
                <c:pt idx="93">
                  <c:v>491.71518518509509</c:v>
                </c:pt>
                <c:pt idx="94">
                  <c:v>503.85957631264267</c:v>
                </c:pt>
                <c:pt idx="95">
                  <c:v>515.99777715164373</c:v>
                </c:pt>
                <c:pt idx="96">
                  <c:v>1.590873277977066E-12</c:v>
                </c:pt>
                <c:pt idx="97">
                  <c:v>1.590873277977066E-12</c:v>
                </c:pt>
                <c:pt idx="98">
                  <c:v>1.590873277977066E-12</c:v>
                </c:pt>
                <c:pt idx="99">
                  <c:v>1.590873277977066E-12</c:v>
                </c:pt>
                <c:pt idx="100">
                  <c:v>1.590873277977066E-12</c:v>
                </c:pt>
                <c:pt idx="101">
                  <c:v>1.590873277977066E-12</c:v>
                </c:pt>
                <c:pt idx="102">
                  <c:v>1.590873277977066E-12</c:v>
                </c:pt>
                <c:pt idx="103">
                  <c:v>1.590873277977066E-12</c:v>
                </c:pt>
                <c:pt idx="104">
                  <c:v>1.590873277977066E-12</c:v>
                </c:pt>
                <c:pt idx="105">
                  <c:v>1.590873277977066E-12</c:v>
                </c:pt>
                <c:pt idx="106">
                  <c:v>1.590873277977066E-12</c:v>
                </c:pt>
                <c:pt idx="107">
                  <c:v>1.590873277977066E-12</c:v>
                </c:pt>
                <c:pt idx="108">
                  <c:v>1.590873277977066E-12</c:v>
                </c:pt>
                <c:pt idx="109">
                  <c:v>1.590873277977066E-12</c:v>
                </c:pt>
                <c:pt idx="110">
                  <c:v>1.590873277977066E-12</c:v>
                </c:pt>
                <c:pt idx="111">
                  <c:v>1.590873277977066E-12</c:v>
                </c:pt>
                <c:pt idx="112">
                  <c:v>1.590873277977066E-12</c:v>
                </c:pt>
                <c:pt idx="113">
                  <c:v>1.590873277977066E-12</c:v>
                </c:pt>
                <c:pt idx="114">
                  <c:v>1.590873277977066E-12</c:v>
                </c:pt>
                <c:pt idx="115">
                  <c:v>1.590873277977066E-12</c:v>
                </c:pt>
                <c:pt idx="116">
                  <c:v>1.590873277977066E-12</c:v>
                </c:pt>
                <c:pt idx="117">
                  <c:v>1.590873277977066E-12</c:v>
                </c:pt>
                <c:pt idx="118">
                  <c:v>1.590873277977066E-12</c:v>
                </c:pt>
                <c:pt idx="119">
                  <c:v>1.590873277977066E-12</c:v>
                </c:pt>
                <c:pt idx="120">
                  <c:v>1.590873277977066E-12</c:v>
                </c:pt>
                <c:pt idx="121">
                  <c:v>1.590873277977066E-12</c:v>
                </c:pt>
                <c:pt idx="122">
                  <c:v>1.590873277977066E-12</c:v>
                </c:pt>
                <c:pt idx="123">
                  <c:v>1.590873277977066E-12</c:v>
                </c:pt>
                <c:pt idx="124">
                  <c:v>1.590873277977066E-12</c:v>
                </c:pt>
                <c:pt idx="125">
                  <c:v>1.590873277977066E-12</c:v>
                </c:pt>
                <c:pt idx="126">
                  <c:v>1.590873277977066E-12</c:v>
                </c:pt>
                <c:pt idx="127">
                  <c:v>1.590873277977066E-12</c:v>
                </c:pt>
                <c:pt idx="128">
                  <c:v>1.590873277977066E-12</c:v>
                </c:pt>
                <c:pt idx="129">
                  <c:v>1.590873277977066E-12</c:v>
                </c:pt>
                <c:pt idx="130">
                  <c:v>1.590873277977066E-12</c:v>
                </c:pt>
                <c:pt idx="131">
                  <c:v>1.590873277977066E-12</c:v>
                </c:pt>
                <c:pt idx="132">
                  <c:v>1.590873277977066E-12</c:v>
                </c:pt>
                <c:pt idx="133">
                  <c:v>1.590873277977066E-12</c:v>
                </c:pt>
                <c:pt idx="134">
                  <c:v>1.590873277977066E-12</c:v>
                </c:pt>
                <c:pt idx="135">
                  <c:v>1.590873277977066E-12</c:v>
                </c:pt>
                <c:pt idx="136">
                  <c:v>1.590873277977066E-12</c:v>
                </c:pt>
                <c:pt idx="137">
                  <c:v>1.590873277977066E-12</c:v>
                </c:pt>
                <c:pt idx="138">
                  <c:v>1.590873277977066E-12</c:v>
                </c:pt>
                <c:pt idx="139">
                  <c:v>1.590873277977066E-12</c:v>
                </c:pt>
                <c:pt idx="140">
                  <c:v>1.590873277977066E-12</c:v>
                </c:pt>
                <c:pt idx="141">
                  <c:v>1.590873277977066E-12</c:v>
                </c:pt>
                <c:pt idx="142">
                  <c:v>1.590873277977066E-12</c:v>
                </c:pt>
                <c:pt idx="143">
                  <c:v>1.590873277977066E-12</c:v>
                </c:pt>
                <c:pt idx="144">
                  <c:v>1.590873277977066E-12</c:v>
                </c:pt>
                <c:pt idx="145">
                  <c:v>1.590873277977066E-12</c:v>
                </c:pt>
                <c:pt idx="146">
                  <c:v>1.590873277977066E-12</c:v>
                </c:pt>
                <c:pt idx="147">
                  <c:v>1.590873277977066E-12</c:v>
                </c:pt>
                <c:pt idx="148">
                  <c:v>1.590873277977066E-12</c:v>
                </c:pt>
                <c:pt idx="149">
                  <c:v>1.590873277977066E-12</c:v>
                </c:pt>
                <c:pt idx="150">
                  <c:v>1.590873277977066E-12</c:v>
                </c:pt>
                <c:pt idx="151">
                  <c:v>1.590873277977066E-12</c:v>
                </c:pt>
                <c:pt idx="152">
                  <c:v>1.590873277977066E-12</c:v>
                </c:pt>
                <c:pt idx="153">
                  <c:v>1.590873277977066E-12</c:v>
                </c:pt>
                <c:pt idx="154">
                  <c:v>1.590873277977066E-12</c:v>
                </c:pt>
                <c:pt idx="155">
                  <c:v>1.590873277977066E-12</c:v>
                </c:pt>
                <c:pt idx="156">
                  <c:v>1.590873277977066E-12</c:v>
                </c:pt>
                <c:pt idx="157">
                  <c:v>1.590873277977066E-12</c:v>
                </c:pt>
                <c:pt idx="158">
                  <c:v>1.590873277977066E-12</c:v>
                </c:pt>
                <c:pt idx="159">
                  <c:v>1.590873277977066E-12</c:v>
                </c:pt>
                <c:pt idx="160">
                  <c:v>1.590873277977066E-12</c:v>
                </c:pt>
                <c:pt idx="161">
                  <c:v>1.590873277977066E-12</c:v>
                </c:pt>
                <c:pt idx="162">
                  <c:v>1.590873277977066E-12</c:v>
                </c:pt>
                <c:pt idx="163">
                  <c:v>1.590873277977066E-12</c:v>
                </c:pt>
                <c:pt idx="164">
                  <c:v>1.590873277977066E-12</c:v>
                </c:pt>
                <c:pt idx="165">
                  <c:v>1.590873277977066E-12</c:v>
                </c:pt>
                <c:pt idx="166">
                  <c:v>1.590873277977066E-12</c:v>
                </c:pt>
                <c:pt idx="167">
                  <c:v>1.590873277977066E-12</c:v>
                </c:pt>
                <c:pt idx="168">
                  <c:v>1.590873277977066E-12</c:v>
                </c:pt>
                <c:pt idx="169">
                  <c:v>1.590873277977066E-12</c:v>
                </c:pt>
                <c:pt idx="170">
                  <c:v>1.590873277977066E-12</c:v>
                </c:pt>
                <c:pt idx="171">
                  <c:v>1.590873277977066E-12</c:v>
                </c:pt>
                <c:pt idx="172">
                  <c:v>1.590873277977066E-12</c:v>
                </c:pt>
                <c:pt idx="173">
                  <c:v>1.590873277977066E-12</c:v>
                </c:pt>
                <c:pt idx="174">
                  <c:v>1.590873277977066E-12</c:v>
                </c:pt>
                <c:pt idx="175">
                  <c:v>1.590873277977066E-12</c:v>
                </c:pt>
                <c:pt idx="176">
                  <c:v>1.590873277977066E-12</c:v>
                </c:pt>
                <c:pt idx="177">
                  <c:v>1.590873277977066E-12</c:v>
                </c:pt>
                <c:pt idx="178">
                  <c:v>1.590873277977066E-12</c:v>
                </c:pt>
                <c:pt idx="179">
                  <c:v>1.590873277977066E-12</c:v>
                </c:pt>
                <c:pt idx="180">
                  <c:v>1.590873277977066E-12</c:v>
                </c:pt>
                <c:pt idx="181">
                  <c:v>1.590873277977066E-12</c:v>
                </c:pt>
                <c:pt idx="182">
                  <c:v>1.590873277977066E-12</c:v>
                </c:pt>
                <c:pt idx="183">
                  <c:v>1.590873277977066E-12</c:v>
                </c:pt>
                <c:pt idx="184">
                  <c:v>1.590873277977066E-12</c:v>
                </c:pt>
                <c:pt idx="185">
                  <c:v>1.590873277977066E-12</c:v>
                </c:pt>
                <c:pt idx="186">
                  <c:v>1.590873277977066E-12</c:v>
                </c:pt>
                <c:pt idx="187">
                  <c:v>1.590873277977066E-12</c:v>
                </c:pt>
                <c:pt idx="188">
                  <c:v>1.590873277977066E-12</c:v>
                </c:pt>
                <c:pt idx="189">
                  <c:v>1.590873277977066E-12</c:v>
                </c:pt>
                <c:pt idx="190">
                  <c:v>1.590873277977066E-12</c:v>
                </c:pt>
                <c:pt idx="191">
                  <c:v>1.590873277977066E-12</c:v>
                </c:pt>
                <c:pt idx="192">
                  <c:v>1.590873277977066E-12</c:v>
                </c:pt>
                <c:pt idx="193">
                  <c:v>1.590873277977066E-12</c:v>
                </c:pt>
                <c:pt idx="194">
                  <c:v>1.590873277977066E-12</c:v>
                </c:pt>
                <c:pt idx="195">
                  <c:v>1.590873277977066E-12</c:v>
                </c:pt>
                <c:pt idx="196">
                  <c:v>1.590873277977066E-12</c:v>
                </c:pt>
                <c:pt idx="197">
                  <c:v>1.590873277977066E-12</c:v>
                </c:pt>
                <c:pt idx="198">
                  <c:v>1.590873277977066E-12</c:v>
                </c:pt>
                <c:pt idx="199">
                  <c:v>1.590873277977066E-12</c:v>
                </c:pt>
                <c:pt idx="200">
                  <c:v>1.590873277977066E-12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1.487708571830886</c:v>
                </c:pt>
                <c:pt idx="2">
                  <c:v>1.8063244645912075</c:v>
                </c:pt>
                <c:pt idx="3">
                  <c:v>2.193441988325747</c:v>
                </c:pt>
                <c:pt idx="4">
                  <c:v>2.6638428125097842</c:v>
                </c:pt>
                <c:pt idx="5">
                  <c:v>3.2355092314076099</c:v>
                </c:pt>
                <c:pt idx="6">
                  <c:v>3.9303193983364859</c:v>
                </c:pt>
                <c:pt idx="7">
                  <c:v>4.7748940234812096</c:v>
                </c:pt>
                <c:pt idx="8">
                  <c:v>5.8016276226126307</c:v>
                </c:pt>
                <c:pt idx="9">
                  <c:v>7.0499446499537939</c:v>
                </c:pt>
                <c:pt idx="10">
                  <c:v>8.5678296847047104</c:v>
                </c:pt>
                <c:pt idx="11">
                  <c:v>10.413691617160287</c:v>
                </c:pt>
                <c:pt idx="12">
                  <c:v>12.658634923786138</c:v>
                </c:pt>
                <c:pt idx="13">
                  <c:v>15.38922715198346</c:v>
                </c:pt>
                <c:pt idx="14">
                  <c:v>18.710871290357538</c:v>
                </c:pt>
                <c:pt idx="15">
                  <c:v>22.751915555095071</c:v>
                </c:pt>
                <c:pt idx="16">
                  <c:v>27.668662224725569</c:v>
                </c:pt>
                <c:pt idx="17">
                  <c:v>33.651472660263259</c:v>
                </c:pt>
                <c:pt idx="18">
                  <c:v>40.932208966857907</c:v>
                </c:pt>
                <c:pt idx="19">
                  <c:v>49.793305609579022</c:v>
                </c:pt>
                <c:pt idx="20">
                  <c:v>60.578828793259014</c:v>
                </c:pt>
                <c:pt idx="21">
                  <c:v>73.707960122497852</c:v>
                </c:pt>
                <c:pt idx="22">
                  <c:v>89.691437108461628</c:v>
                </c:pt>
                <c:pt idx="23">
                  <c:v>109.15160031240815</c:v>
                </c:pt>
                <c:pt idx="24">
                  <c:v>132.84683998665642</c:v>
                </c:pt>
                <c:pt idx="25">
                  <c:v>161.70140970029556</c:v>
                </c:pt>
                <c:pt idx="26">
                  <c:v>136.74439615020125</c:v>
                </c:pt>
                <c:pt idx="27">
                  <c:v>164.75077334312192</c:v>
                </c:pt>
                <c:pt idx="28">
                  <c:v>192.6444161741795</c:v>
                </c:pt>
                <c:pt idx="29">
                  <c:v>220.44397098530533</c:v>
                </c:pt>
                <c:pt idx="30">
                  <c:v>200.23480062612774</c:v>
                </c:pt>
                <c:pt idx="31">
                  <c:v>232.54877790391367</c:v>
                </c:pt>
                <c:pt idx="32">
                  <c:v>264.76009082333889</c:v>
                </c:pt>
                <c:pt idx="33">
                  <c:v>296.88298625047742</c:v>
                </c:pt>
                <c:pt idx="34">
                  <c:v>328.92837104423444</c:v>
                </c:pt>
                <c:pt idx="35">
                  <c:v>296.28142501216269</c:v>
                </c:pt>
                <c:pt idx="36">
                  <c:v>328.7283093698781</c:v>
                </c:pt>
                <c:pt idx="37">
                  <c:v>361.10450336561422</c:v>
                </c:pt>
                <c:pt idx="38">
                  <c:v>393.41722914254575</c:v>
                </c:pt>
                <c:pt idx="39">
                  <c:v>425.67242592235561</c:v>
                </c:pt>
                <c:pt idx="40">
                  <c:v>385.64370369702669</c:v>
                </c:pt>
                <c:pt idx="41">
                  <c:v>415.32485548223758</c:v>
                </c:pt>
                <c:pt idx="42">
                  <c:v>444.96027949966771</c:v>
                </c:pt>
                <c:pt idx="43">
                  <c:v>474.55344560757021</c:v>
                </c:pt>
                <c:pt idx="44">
                  <c:v>504.10735599489294</c:v>
                </c:pt>
                <c:pt idx="45">
                  <c:v>476.67043320372562</c:v>
                </c:pt>
                <c:pt idx="46">
                  <c:v>501.79464523740444</c:v>
                </c:pt>
                <c:pt idx="47">
                  <c:v>526.89224796595784</c:v>
                </c:pt>
                <c:pt idx="48">
                  <c:v>551.96468570905517</c:v>
                </c:pt>
                <c:pt idx="49">
                  <c:v>577.01326101134964</c:v>
                </c:pt>
                <c:pt idx="50">
                  <c:v>602.0391542325317</c:v>
                </c:pt>
                <c:pt idx="51">
                  <c:v>567.62276426035078</c:v>
                </c:pt>
                <c:pt idx="52">
                  <c:v>587.55317950213123</c:v>
                </c:pt>
                <c:pt idx="53">
                  <c:v>607.46951736202516</c:v>
                </c:pt>
                <c:pt idx="54">
                  <c:v>627.37230392798858</c:v>
                </c:pt>
                <c:pt idx="55">
                  <c:v>647.26202921811966</c:v>
                </c:pt>
                <c:pt idx="56">
                  <c:v>667.13915070848282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E40" sqref="E4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4" t="s">
        <v>190</v>
      </c>
      <c r="D1" s="294"/>
      <c r="E1" s="29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2.65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164</v>
      </c>
      <c r="C9" s="35">
        <v>0.62260000000000004</v>
      </c>
      <c r="D9" s="36">
        <f t="shared" ref="D9:D18" si="0">C9*$C$5</f>
        <v>1.6498900000000001</v>
      </c>
      <c r="E9" s="37">
        <v>95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20</v>
      </c>
      <c r="C10" s="35">
        <v>0.37730000000000002</v>
      </c>
      <c r="D10" s="36">
        <f t="shared" si="0"/>
        <v>0.99984499999999998</v>
      </c>
      <c r="E10" s="37">
        <v>56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0.99990000000000001</v>
      </c>
      <c r="D19" s="41">
        <f>SUM(D9:D18)</f>
        <v>2.6497350000000002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Cèdre de l'Atlas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5" t="s">
        <v>186</v>
      </c>
      <c r="D34" s="295"/>
      <c r="E34" s="296" t="s">
        <v>187</v>
      </c>
      <c r="F34" s="297"/>
      <c r="G34" s="297"/>
      <c r="H34" s="298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49</v>
      </c>
      <c r="B36" s="63">
        <v>364</v>
      </c>
      <c r="C36" s="63">
        <v>1</v>
      </c>
      <c r="D36" s="63">
        <v>105</v>
      </c>
      <c r="E36" s="54"/>
      <c r="F36" s="54"/>
      <c r="G36" s="54"/>
      <c r="H36" s="54"/>
      <c r="I36" s="52">
        <f>IFERROR(B36/A36,"")</f>
        <v>7.4285714285714288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56</v>
      </c>
      <c r="B37" s="63">
        <v>371</v>
      </c>
      <c r="C37" s="63">
        <v>2</v>
      </c>
      <c r="D37" s="63">
        <v>74</v>
      </c>
      <c r="E37" s="54"/>
      <c r="F37" s="292"/>
      <c r="G37" s="54"/>
      <c r="H37" s="54"/>
      <c r="I37" s="56">
        <f t="shared" ref="I37:I55" si="1">IF(A37&lt;&gt;0,(B37-(B36-D36))/(A37-A36),"")</f>
        <v>16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63</v>
      </c>
      <c r="B38" s="63">
        <v>407</v>
      </c>
      <c r="C38" s="63">
        <v>3</v>
      </c>
      <c r="D38" s="63">
        <v>77</v>
      </c>
      <c r="E38" s="54"/>
      <c r="F38" s="54"/>
      <c r="G38" s="54"/>
      <c r="H38" s="54"/>
      <c r="I38" s="56">
        <f t="shared" si="1"/>
        <v>15.714285714285714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71</v>
      </c>
      <c r="B39" s="63">
        <v>451</v>
      </c>
      <c r="C39" s="63">
        <v>4</v>
      </c>
      <c r="D39" s="63">
        <v>89</v>
      </c>
      <c r="E39" s="54"/>
      <c r="F39" s="54"/>
      <c r="G39" s="54"/>
      <c r="H39" s="54"/>
      <c r="I39" s="52">
        <f t="shared" si="1"/>
        <v>15.125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79</v>
      </c>
      <c r="B40" s="63">
        <v>474</v>
      </c>
      <c r="C40" s="63">
        <v>5</v>
      </c>
      <c r="D40" s="63">
        <v>84</v>
      </c>
      <c r="E40" s="54"/>
      <c r="F40" s="54"/>
      <c r="G40" s="54"/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87</v>
      </c>
      <c r="B41" s="63">
        <v>496</v>
      </c>
      <c r="C41" s="63">
        <v>6</v>
      </c>
      <c r="D41" s="63">
        <v>85</v>
      </c>
      <c r="E41" s="54"/>
      <c r="F41" s="54"/>
      <c r="G41" s="54"/>
      <c r="H41" s="54"/>
      <c r="I41" s="56">
        <f t="shared" si="1"/>
        <v>13.25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95</v>
      </c>
      <c r="B42" s="63">
        <v>509</v>
      </c>
      <c r="C42" s="63">
        <v>7</v>
      </c>
      <c r="D42" s="63">
        <v>509</v>
      </c>
      <c r="E42" s="54"/>
      <c r="F42" s="54"/>
      <c r="G42" s="54"/>
      <c r="H42" s="54"/>
      <c r="I42" s="56">
        <f t="shared" si="1"/>
        <v>12.25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Epicéa de Sitka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5" t="s">
        <v>186</v>
      </c>
      <c r="D60" s="295"/>
      <c r="E60" s="296" t="s">
        <v>187</v>
      </c>
      <c r="F60" s="297"/>
      <c r="G60" s="297"/>
      <c r="H60" s="298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25</v>
      </c>
      <c r="B62" s="63">
        <v>155</v>
      </c>
      <c r="C62" s="63">
        <v>1</v>
      </c>
      <c r="D62" s="63">
        <v>52</v>
      </c>
      <c r="E62" s="54"/>
      <c r="F62" s="54"/>
      <c r="G62" s="54">
        <v>0.5</v>
      </c>
      <c r="H62" s="54">
        <v>0.5</v>
      </c>
      <c r="I62" s="56">
        <f>IFERROR(B62/A62,"")</f>
        <v>6.2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29</v>
      </c>
      <c r="B63" s="63">
        <v>213</v>
      </c>
      <c r="C63" s="63">
        <v>2</v>
      </c>
      <c r="D63" s="63">
        <v>52</v>
      </c>
      <c r="E63" s="54"/>
      <c r="F63" s="54"/>
      <c r="G63" s="54">
        <v>0.5</v>
      </c>
      <c r="H63" s="54">
        <v>0.5</v>
      </c>
      <c r="I63" s="52">
        <f>IF(A63&lt;&gt;0,(B63-(B62-D62))/(A63-A62),"")</f>
        <v>27.5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34</v>
      </c>
      <c r="B64" s="63">
        <v>321</v>
      </c>
      <c r="C64" s="63">
        <v>3</v>
      </c>
      <c r="D64" s="63">
        <v>65</v>
      </c>
      <c r="E64" s="54"/>
      <c r="F64" s="54"/>
      <c r="G64" s="54"/>
      <c r="H64" s="54"/>
      <c r="I64" s="52">
        <f>IF(A64&lt;&gt;0,(B64-(B63-D63))/(A64-A63),"")</f>
        <v>32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39</v>
      </c>
      <c r="B65" s="63">
        <v>418</v>
      </c>
      <c r="C65" s="63">
        <v>4</v>
      </c>
      <c r="D65" s="63">
        <v>70</v>
      </c>
      <c r="E65" s="54"/>
      <c r="F65" s="54"/>
      <c r="G65" s="54"/>
      <c r="H65" s="54"/>
      <c r="I65" s="52">
        <f>IF(A65&lt;&gt;0,(B65-(B64-D64))/(A65-A64),"")</f>
        <v>32.4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44</v>
      </c>
      <c r="B66" s="63">
        <v>497</v>
      </c>
      <c r="C66" s="63">
        <v>5</v>
      </c>
      <c r="D66" s="63">
        <v>53</v>
      </c>
      <c r="E66" s="54"/>
      <c r="F66" s="54"/>
      <c r="G66" s="54"/>
      <c r="H66" s="54"/>
      <c r="I66" s="52">
        <f t="shared" ref="I66:I81" si="2">IF(A66&lt;&gt;0,(B66-(B65-D65))/(A66-A65),"")</f>
        <v>29.8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50</v>
      </c>
      <c r="B67" s="63">
        <v>596</v>
      </c>
      <c r="C67" s="63">
        <v>6</v>
      </c>
      <c r="D67" s="63">
        <v>55</v>
      </c>
      <c r="E67" s="54"/>
      <c r="F67" s="54"/>
      <c r="G67" s="54"/>
      <c r="H67" s="54"/>
      <c r="I67" s="52">
        <f t="shared" si="2"/>
        <v>25.333333333333332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56</v>
      </c>
      <c r="B68" s="63">
        <v>662</v>
      </c>
      <c r="C68" s="63">
        <v>7</v>
      </c>
      <c r="D68" s="63">
        <v>662</v>
      </c>
      <c r="E68" s="54"/>
      <c r="F68" s="54"/>
      <c r="G68" s="54"/>
      <c r="H68" s="54"/>
      <c r="I68" s="52">
        <f t="shared" si="2"/>
        <v>20.166666666666668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5" t="s">
        <v>186</v>
      </c>
      <c r="D86" s="295"/>
      <c r="E86" s="296" t="s">
        <v>187</v>
      </c>
      <c r="F86" s="297"/>
      <c r="G86" s="297"/>
      <c r="H86" s="298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5" t="s">
        <v>186</v>
      </c>
      <c r="D112" s="295"/>
      <c r="E112" s="296" t="s">
        <v>187</v>
      </c>
      <c r="F112" s="297"/>
      <c r="G112" s="297"/>
      <c r="H112" s="298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5" t="s">
        <v>186</v>
      </c>
      <c r="D138" s="295"/>
      <c r="E138" s="296" t="s">
        <v>187</v>
      </c>
      <c r="F138" s="297"/>
      <c r="G138" s="297"/>
      <c r="H138" s="298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5" t="s">
        <v>186</v>
      </c>
      <c r="D164" s="295"/>
      <c r="E164" s="296" t="s">
        <v>187</v>
      </c>
      <c r="F164" s="297"/>
      <c r="G164" s="297"/>
      <c r="H164" s="298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5" t="s">
        <v>186</v>
      </c>
      <c r="D190" s="295"/>
      <c r="E190" s="296" t="s">
        <v>187</v>
      </c>
      <c r="F190" s="297"/>
      <c r="G190" s="297"/>
      <c r="H190" s="298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5" t="s">
        <v>186</v>
      </c>
      <c r="D216" s="295"/>
      <c r="E216" s="296" t="s">
        <v>187</v>
      </c>
      <c r="F216" s="297"/>
      <c r="G216" s="297"/>
      <c r="H216" s="298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5" t="s">
        <v>186</v>
      </c>
      <c r="D242" s="295"/>
      <c r="E242" s="296" t="s">
        <v>187</v>
      </c>
      <c r="F242" s="297"/>
      <c r="G242" s="297"/>
      <c r="H242" s="298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5" t="s">
        <v>186</v>
      </c>
      <c r="D268" s="295"/>
      <c r="E268" s="296" t="s">
        <v>187</v>
      </c>
      <c r="F268" s="297"/>
      <c r="G268" s="297"/>
      <c r="H268" s="298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Cèdre de l'Atlas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Epicéa de Sitka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/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/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/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/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/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/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/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/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242.7456246505439</v>
      </c>
      <c r="T3" s="62">
        <f>IF('Données projet'!E9&gt;30,$R$33-$H$33,LOOKUP('Données projet'!$E$9,$A$3:$A$203,R3:R203)-LOOKUP('Données projet'!$E$9,$A$3:$A$203,$H$3:$H$203))</f>
        <v>195.88560859972426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211.93796316015613</v>
      </c>
      <c r="AO3" s="62">
        <f>IF('Données projet'!E10&gt;30,$AM$33-$H$33,LOOKUP('Données projet'!$E$10,$A$3:$A$203,AM3:AM203)-LOOKUP('Données projet'!$E$10,$A$3:$A$203,$H$3:$H$203))</f>
        <v>165.73212396548013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0.49400000000000005</v>
      </c>
      <c r="D4" s="12">
        <f>IFERROR(EXP(-1.0587+0.8836*LN(C4)+0.284),0)</f>
        <v>0.24713212124918574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5.7210198833270489</v>
      </c>
      <c r="H4" s="70">
        <f t="shared" ref="H4:H67" si="1">(B4+E4+F4)*44/12+(C4+D4)*0.475*44/12</f>
        <v>294.62413844450896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7.4285714285714288</v>
      </c>
      <c r="N4" s="14">
        <f>IF('Données projet'!$A$36&gt;35,N3+M4-V3,IF(A4&lt;'Données projet'!$A$36,$K$205^A4,IF(A4='Données projet'!$A$36,'Données projet'!$B$36,N3+M4-V3)))</f>
        <v>7.4285714285714288</v>
      </c>
      <c r="O4" s="14">
        <f>N4*VLOOKUP('Données projet'!$B$9,Paramètres!$A$1:$I$89,3,0)*VLOOKUP('Données projet'!$B$9,Paramètres!$A$1:$I$89,5,0)</f>
        <v>3.4765714285714289</v>
      </c>
      <c r="P4" s="14">
        <f>EXP(-1.0587+0.8836*LN(O4)+0.284)</f>
        <v>1.3858404293456914</v>
      </c>
      <c r="Q4" s="22">
        <f t="shared" ref="Q4:Q34" si="2">(O4+P4)*0.475*44/12</f>
        <v>8.4687006525389847</v>
      </c>
      <c r="R4" s="62">
        <f t="shared" si="0"/>
        <v>301.8020339858723</v>
      </c>
      <c r="S4" s="62">
        <f ca="1">AVERAGE(OFFSET($R$3,0,0,'Données projet'!$E$9+1,1))-AVERAGE(OFFSET($H$3,0,0,'Données projet'!$E$9+1,1))</f>
        <v>242.7456246505439</v>
      </c>
      <c r="T4" s="62">
        <f>$T$3</f>
        <v>195.88560859972426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6.2</v>
      </c>
      <c r="AI4" s="14">
        <f>IF('Données projet'!$A$62&gt;35,AI3+AH4-AQ3,IF(A4&lt;'Données projet'!$A$62,$AF$205^A4,IF(A4='Données projet'!$A$62,'Données projet'!$B$62,AI3+AH4-AQ3)))</f>
        <v>1.2235261841298362</v>
      </c>
      <c r="AJ4" s="14">
        <f>AI4*VLOOKUP('Données projet'!$B$10,Paramètres!$A$1:$I$89,3,0)*VLOOKUP('Données projet'!$B$10,Paramètres!$A$1:$I$89,5,0)</f>
        <v>0.57261025417276334</v>
      </c>
      <c r="AK4" s="14">
        <f>EXP(-1.0587+0.8836*LN(AJ4)+0.284)</f>
        <v>0.28157648563444393</v>
      </c>
      <c r="AL4" s="22">
        <f t="shared" ref="AL4:AL67" si="4">(AJ4+AK4)*0.475*44/12</f>
        <v>1.487708571830886</v>
      </c>
      <c r="AM4" s="62">
        <f t="shared" ref="AM4:AM67" si="5">AL4+(AD4+AE4)*44/12</f>
        <v>294.82104190516418</v>
      </c>
      <c r="AN4" s="62">
        <f ca="1">AVERAGE(OFFSET($AM$3,0,0,'Données projet'!$E$10+1,1))-AVERAGE(OFFSET($H$3,0,0,'Données projet'!$E$10+1,1))</f>
        <v>211.93796316015613</v>
      </c>
      <c r="AO4" s="62">
        <f>$AO$3</f>
        <v>165.73212396548013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0.9880000000000001</v>
      </c>
      <c r="D5" s="12">
        <f t="shared" ref="D5:D68" si="32">IFERROR(EXP(-1.0587+0.8836*LN(C5)+0.284),0)</f>
        <v>0.45595218483732475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11.146297567165314</v>
      </c>
      <c r="H5" s="70">
        <f t="shared" si="1"/>
        <v>295.84821672192498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7.4285714285714288</v>
      </c>
      <c r="N5" s="14">
        <f>IF('Données projet'!$A$36&gt;35,N4+M5-V4,IF(A5&lt;'Données projet'!$A$36,$K$205^A5,IF(A5='Données projet'!$A$36,'Données projet'!$B$36,N4+M5-V4)))</f>
        <v>14.857142857142858</v>
      </c>
      <c r="O5" s="14">
        <f>N5*VLOOKUP('Données projet'!$B$9,Paramètres!$A$1:$I$89,3,0)*VLOOKUP('Données projet'!$B$9,Paramètres!$A$1:$I$89,5,0)</f>
        <v>6.9531428571428577</v>
      </c>
      <c r="P5" s="14">
        <f t="shared" ref="P5:P68" si="33">EXP(-1.0587+0.8836*LN(O5)+0.284)</f>
        <v>2.5568386998909642</v>
      </c>
      <c r="Q5" s="22">
        <f t="shared" si="2"/>
        <v>16.56321787850057</v>
      </c>
      <c r="R5" s="62">
        <f t="shared" si="0"/>
        <v>309.89655121183387</v>
      </c>
      <c r="S5" s="62">
        <f ca="1">AVERAGE(OFFSET($R$3,0,0,'Données projet'!$E$9+1,1))-AVERAGE(OFFSET($H$3,0,0,'Données projet'!$E$9+1,1))</f>
        <v>242.7456246505439</v>
      </c>
      <c r="T5" s="62">
        <f t="shared" ref="T5:T68" si="34">$T$3</f>
        <v>195.88560859972426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6.2</v>
      </c>
      <c r="AI5" s="14">
        <f>IF('Données projet'!$A$62&gt;35,AI4+AH5-AQ4,IF(A5&lt;'Données projet'!$A$62,$AF$205^A5,IF(A5='Données projet'!$A$62,'Données projet'!$B$62,AI4+AH5-AQ4)))</f>
        <v>1.4970163232513178</v>
      </c>
      <c r="AJ5" s="14">
        <f>AI5*VLOOKUP('Données projet'!$B$10,Paramètres!$A$1:$I$89,3,0)*VLOOKUP('Données projet'!$B$10,Paramètres!$A$1:$I$89,5,0)</f>
        <v>0.70060363928161673</v>
      </c>
      <c r="AK5" s="14">
        <f t="shared" ref="AK5:AK68" si="35">EXP(-1.0587+0.8836*LN(AJ5)+0.284)</f>
        <v>0.33652045522051222</v>
      </c>
      <c r="AL5" s="22">
        <f t="shared" si="4"/>
        <v>1.8063244645912075</v>
      </c>
      <c r="AM5" s="62">
        <f t="shared" si="5"/>
        <v>295.13965779792454</v>
      </c>
      <c r="AN5" s="62">
        <f ca="1">AVERAGE(OFFSET($AM$3,0,0,'Données projet'!$E$10+1,1))-AVERAGE(OFFSET($H$3,0,0,'Données projet'!$E$10+1,1))</f>
        <v>211.93796316015613</v>
      </c>
      <c r="AO5" s="62">
        <f t="shared" ref="AO5:AO68" si="36">$AO$3</f>
        <v>165.73212396548013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1.4820000000000002</v>
      </c>
      <c r="D6" s="12">
        <f t="shared" si="32"/>
        <v>0.65239937694593597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16.476065365898453</v>
      </c>
      <c r="H6" s="70">
        <f t="shared" si="1"/>
        <v>297.05074558151415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7.4285714285714288</v>
      </c>
      <c r="N6" s="14">
        <f>IF('Données projet'!$A$36&gt;35,N5+M6-V5,IF(A6&lt;'Données projet'!$A$36,$K$205^A6,IF(A6='Données projet'!$A$36,'Données projet'!$B$36,N5+M6-V5)))</f>
        <v>22.285714285714285</v>
      </c>
      <c r="O6" s="14">
        <f>N6*VLOOKUP('Données projet'!$B$9,Paramètres!$A$1:$I$89,3,0)*VLOOKUP('Données projet'!$B$9,Paramètres!$A$1:$I$89,5,0)</f>
        <v>10.429714285714285</v>
      </c>
      <c r="P6" s="14">
        <f t="shared" si="33"/>
        <v>3.6584537375454449</v>
      </c>
      <c r="Q6" s="22">
        <f t="shared" si="2"/>
        <v>24.536892640510697</v>
      </c>
      <c r="R6" s="62">
        <f t="shared" si="0"/>
        <v>317.87022597384401</v>
      </c>
      <c r="S6" s="62">
        <f ca="1">AVERAGE(OFFSET($R$3,0,0,'Données projet'!$E$9+1,1))-AVERAGE(OFFSET($H$3,0,0,'Données projet'!$E$9+1,1))</f>
        <v>242.7456246505439</v>
      </c>
      <c r="T6" s="62">
        <f t="shared" si="34"/>
        <v>195.88560859972426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6.2</v>
      </c>
      <c r="AI6" s="14">
        <f>IF('Données projet'!$A$62&gt;35,AI5+AH6-AQ5,IF(A6&lt;'Données projet'!$A$62,$AF$205^A6,IF(A6='Données projet'!$A$62,'Données projet'!$B$62,AI5+AH6-AQ5)))</f>
        <v>1.8316386695677622</v>
      </c>
      <c r="AJ6" s="14">
        <f>AI6*VLOOKUP('Données projet'!$B$10,Paramètres!$A$1:$I$89,3,0)*VLOOKUP('Données projet'!$B$10,Paramètres!$A$1:$I$89,5,0)</f>
        <v>0.85720689735771283</v>
      </c>
      <c r="AK6" s="14">
        <f t="shared" si="35"/>
        <v>0.40218563182453443</v>
      </c>
      <c r="AL6" s="22">
        <f t="shared" si="4"/>
        <v>2.193441988325747</v>
      </c>
      <c r="AM6" s="62">
        <f t="shared" si="5"/>
        <v>295.52677532165904</v>
      </c>
      <c r="AN6" s="62">
        <f ca="1">AVERAGE(OFFSET($AM$3,0,0,'Données projet'!$E$10+1,1))-AVERAGE(OFFSET($H$3,0,0,'Données projet'!$E$10+1,1))</f>
        <v>211.93796316015613</v>
      </c>
      <c r="AO6" s="62">
        <f t="shared" si="36"/>
        <v>165.73212396548013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1.9760000000000002</v>
      </c>
      <c r="D7" s="12">
        <f t="shared" si="32"/>
        <v>0.84121964318960396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21.746958649182915</v>
      </c>
      <c r="H7" s="70">
        <f t="shared" si="1"/>
        <v>298.2399908785552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7.4285714285714288</v>
      </c>
      <c r="N7" s="14">
        <f>IF('Données projet'!$A$36&gt;35,N6+M7-V6,IF(A7&lt;'Données projet'!$A$36,$K$205^A7,IF(A7='Données projet'!$A$36,'Données projet'!$B$36,N6+M7-V6)))</f>
        <v>29.714285714285715</v>
      </c>
      <c r="O7" s="14">
        <f>N7*VLOOKUP('Données projet'!$B$9,Paramètres!$A$1:$I$89,3,0)*VLOOKUP('Données projet'!$B$9,Paramètres!$A$1:$I$89,5,0)</f>
        <v>13.906285714285715</v>
      </c>
      <c r="P7" s="14">
        <f t="shared" si="33"/>
        <v>4.7172993360762936</v>
      </c>
      <c r="Q7" s="22">
        <f t="shared" si="2"/>
        <v>32.436077296047166</v>
      </c>
      <c r="R7" s="62">
        <f t="shared" si="0"/>
        <v>325.7694106293805</v>
      </c>
      <c r="S7" s="62">
        <f ca="1">AVERAGE(OFFSET($R$3,0,0,'Données projet'!$E$9+1,1))-AVERAGE(OFFSET($H$3,0,0,'Données projet'!$E$9+1,1))</f>
        <v>242.7456246505439</v>
      </c>
      <c r="T7" s="62">
        <f t="shared" si="34"/>
        <v>195.88560859972426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6.2</v>
      </c>
      <c r="AI7" s="14">
        <f>IF('Données projet'!$A$62&gt;35,AI6+AH7-AQ6,IF(A7&lt;'Données projet'!$A$62,$AF$205^A7,IF(A7='Données projet'!$A$62,'Données projet'!$B$62,AI6+AH7-AQ6)))</f>
        <v>2.2410578720808942</v>
      </c>
      <c r="AJ7" s="14">
        <f>AI7*VLOOKUP('Données projet'!$B$10,Paramètres!$A$1:$I$89,3,0)*VLOOKUP('Données projet'!$B$10,Paramètres!$A$1:$I$89,5,0)</f>
        <v>1.0488150841338586</v>
      </c>
      <c r="AK7" s="14">
        <f t="shared" si="35"/>
        <v>0.48066404266601759</v>
      </c>
      <c r="AL7" s="22">
        <f t="shared" si="4"/>
        <v>2.6638428125097842</v>
      </c>
      <c r="AM7" s="62">
        <f t="shared" si="5"/>
        <v>295.99717614584307</v>
      </c>
      <c r="AN7" s="62">
        <f ca="1">AVERAGE(OFFSET($AM$3,0,0,'Données projet'!$E$10+1,1))-AVERAGE(OFFSET($H$3,0,0,'Données projet'!$E$10+1,1))</f>
        <v>211.93796316015613</v>
      </c>
      <c r="AO7" s="62">
        <f t="shared" si="36"/>
        <v>165.73212396548013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2.4700000000000002</v>
      </c>
      <c r="D8" s="12">
        <f t="shared" si="32"/>
        <v>1.0245640017032431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26.975581767533807</v>
      </c>
      <c r="H8" s="70">
        <f t="shared" si="1"/>
        <v>299.41969896963315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7.4285714285714288</v>
      </c>
      <c r="N8" s="14">
        <f>IF('Données projet'!$A$36&gt;35,N7+M8-V7,IF(A8&lt;'Données projet'!$A$36,$K$205^A8,IF(A8='Données projet'!$A$36,'Données projet'!$B$36,N7+M8-V7)))</f>
        <v>37.142857142857146</v>
      </c>
      <c r="O8" s="14">
        <f>N8*VLOOKUP('Données projet'!$B$9,Paramètres!$A$1:$I$89,3,0)*VLOOKUP('Données projet'!$B$9,Paramètres!$A$1:$I$89,5,0)</f>
        <v>17.382857142857144</v>
      </c>
      <c r="P8" s="14">
        <f t="shared" si="33"/>
        <v>5.7454377392766407</v>
      </c>
      <c r="Q8" s="22">
        <f t="shared" si="2"/>
        <v>40.281780253049675</v>
      </c>
      <c r="R8" s="62">
        <f t="shared" si="0"/>
        <v>333.61511358638302</v>
      </c>
      <c r="S8" s="62">
        <f ca="1">AVERAGE(OFFSET($R$3,0,0,'Données projet'!$E$9+1,1))-AVERAGE(OFFSET($H$3,0,0,'Données projet'!$E$9+1,1))</f>
        <v>242.7456246505439</v>
      </c>
      <c r="T8" s="62">
        <f t="shared" si="34"/>
        <v>195.88560859972426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6.2</v>
      </c>
      <c r="AI8" s="14">
        <f>IF('Données projet'!$A$62&gt;35,AI7+AH8-AQ7,IF(A8&lt;'Données projet'!$A$62,$AF$205^A8,IF(A8='Données projet'!$A$62,'Données projet'!$B$62,AI7+AH8-AQ7)))</f>
        <v>2.7419929866412671</v>
      </c>
      <c r="AJ8" s="14">
        <f>AI8*VLOOKUP('Données projet'!$B$10,Paramètres!$A$1:$I$89,3,0)*VLOOKUP('Données projet'!$B$10,Paramètres!$A$1:$I$89,5,0)</f>
        <v>1.283252717748113</v>
      </c>
      <c r="AK8" s="14">
        <f t="shared" si="35"/>
        <v>0.57445593186391197</v>
      </c>
      <c r="AL8" s="22">
        <f t="shared" si="4"/>
        <v>3.2355092314076099</v>
      </c>
      <c r="AM8" s="62">
        <f t="shared" si="5"/>
        <v>296.56884256474092</v>
      </c>
      <c r="AN8" s="62">
        <f ca="1">AVERAGE(OFFSET($AM$3,0,0,'Données projet'!$E$10+1,1))-AVERAGE(OFFSET($H$3,0,0,'Données projet'!$E$10+1,1))</f>
        <v>211.93796316015613</v>
      </c>
      <c r="AO8" s="62">
        <f t="shared" si="36"/>
        <v>165.73212396548013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2.9640000000000004</v>
      </c>
      <c r="D9" s="12">
        <f t="shared" si="32"/>
        <v>1.2036594830385248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32.17140653573599</v>
      </c>
      <c r="H9" s="70">
        <f t="shared" si="1"/>
        <v>300.59200693295872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7.4285714285714288</v>
      </c>
      <c r="N9" s="14">
        <f>IF('Données projet'!$A$36&gt;35,N8+M9-V8,IF(A9&lt;'Données projet'!$A$36,$K$205^A9,IF(A9='Données projet'!$A$36,'Données projet'!$B$36,N8+M9-V8)))</f>
        <v>44.571428571428577</v>
      </c>
      <c r="O9" s="14">
        <f>N9*VLOOKUP('Données projet'!$B$9,Paramètres!$A$1:$I$89,3,0)*VLOOKUP('Données projet'!$B$9,Paramètres!$A$1:$I$89,5,0)</f>
        <v>20.859428571428573</v>
      </c>
      <c r="P9" s="14">
        <f t="shared" si="33"/>
        <v>6.7497497546188301</v>
      </c>
      <c r="Q9" s="22">
        <f t="shared" si="2"/>
        <v>48.085985584532558</v>
      </c>
      <c r="R9" s="62">
        <f t="shared" si="0"/>
        <v>341.41931891786589</v>
      </c>
      <c r="S9" s="62">
        <f ca="1">AVERAGE(OFFSET($R$3,0,0,'Données projet'!$E$9+1,1))-AVERAGE(OFFSET($H$3,0,0,'Données projet'!$E$9+1,1))</f>
        <v>242.7456246505439</v>
      </c>
      <c r="T9" s="62">
        <f t="shared" si="34"/>
        <v>195.88560859972426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6.2</v>
      </c>
      <c r="AI9" s="14">
        <f>IF('Données projet'!$A$62&gt;35,AI8+AH9-AQ8,IF(A9&lt;'Données projet'!$A$62,$AF$205^A9,IF(A9='Données projet'!$A$62,'Données projet'!$B$62,AI8+AH9-AQ8)))</f>
        <v>3.3549002158559627</v>
      </c>
      <c r="AJ9" s="14">
        <f>AI9*VLOOKUP('Données projet'!$B$10,Paramètres!$A$1:$I$89,3,0)*VLOOKUP('Données projet'!$B$10,Paramètres!$A$1:$I$89,5,0)</f>
        <v>1.5700933010205904</v>
      </c>
      <c r="AK9" s="14">
        <f t="shared" si="35"/>
        <v>0.68654941572763117</v>
      </c>
      <c r="AL9" s="22">
        <f t="shared" si="4"/>
        <v>3.9303193983364859</v>
      </c>
      <c r="AM9" s="62">
        <f t="shared" si="5"/>
        <v>297.26365273166982</v>
      </c>
      <c r="AN9" s="62">
        <f ca="1">AVERAGE(OFFSET($AM$3,0,0,'Données projet'!$E$10+1,1))-AVERAGE(OFFSET($H$3,0,0,'Données projet'!$E$10+1,1))</f>
        <v>211.93796316015613</v>
      </c>
      <c r="AO9" s="62">
        <f t="shared" si="36"/>
        <v>165.73212396548013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3.4580000000000006</v>
      </c>
      <c r="D10" s="12">
        <f t="shared" si="32"/>
        <v>1.3792971063482828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37.340539066548153</v>
      </c>
      <c r="H10" s="70">
        <f t="shared" si="1"/>
        <v>301.75829246022323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7.4285714285714288</v>
      </c>
      <c r="N10" s="14">
        <f>IF('Données projet'!$A$36&gt;35,N9+M10-V9,IF(A10&lt;'Données projet'!$A$36,$K$205^A10,IF(A10='Données projet'!$A$36,'Données projet'!$B$36,N9+M10-V9)))</f>
        <v>52.000000000000007</v>
      </c>
      <c r="O10" s="14">
        <f>N10*VLOOKUP('Données projet'!$B$9,Paramètres!$A$1:$I$89,3,0)*VLOOKUP('Données projet'!$B$9,Paramètres!$A$1:$I$89,5,0)</f>
        <v>24.336000000000006</v>
      </c>
      <c r="P10" s="14">
        <f t="shared" si="33"/>
        <v>7.7346711726299802</v>
      </c>
      <c r="Q10" s="22">
        <f t="shared" si="2"/>
        <v>55.856418958997217</v>
      </c>
      <c r="R10" s="62">
        <f t="shared" si="0"/>
        <v>349.18975229233052</v>
      </c>
      <c r="S10" s="62">
        <f ca="1">AVERAGE(OFFSET($R$3,0,0,'Données projet'!$E$9+1,1))-AVERAGE(OFFSET($H$3,0,0,'Données projet'!$E$9+1,1))</f>
        <v>242.7456246505439</v>
      </c>
      <c r="T10" s="62">
        <f t="shared" si="34"/>
        <v>195.88560859972426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6.2</v>
      </c>
      <c r="AI10" s="14">
        <f>IF('Données projet'!$A$62&gt;35,AI9+AH10-AQ9,IF(A10&lt;'Données projet'!$A$62,$AF$205^A10,IF(A10='Données projet'!$A$62,'Données projet'!$B$62,AI9+AH10-AQ9)))</f>
        <v>4.1048082592426089</v>
      </c>
      <c r="AJ10" s="14">
        <f>AI10*VLOOKUP('Données projet'!$B$10,Paramètres!$A$1:$I$89,3,0)*VLOOKUP('Données projet'!$B$10,Paramètres!$A$1:$I$89,5,0)</f>
        <v>1.921050265325541</v>
      </c>
      <c r="AK10" s="14">
        <f t="shared" si="35"/>
        <v>0.8205156811708475</v>
      </c>
      <c r="AL10" s="22">
        <f t="shared" si="4"/>
        <v>4.7748940234812096</v>
      </c>
      <c r="AM10" s="62">
        <f t="shared" si="5"/>
        <v>298.1082273568145</v>
      </c>
      <c r="AN10" s="62">
        <f ca="1">AVERAGE(OFFSET($AM$3,0,0,'Données projet'!$E$10+1,1))-AVERAGE(OFFSET($H$3,0,0,'Données projet'!$E$10+1,1))</f>
        <v>211.93796316015613</v>
      </c>
      <c r="AO10" s="62">
        <f t="shared" si="36"/>
        <v>165.73212396548013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3.9520000000000008</v>
      </c>
      <c r="D11" s="12">
        <f t="shared" si="32"/>
        <v>1.5520278477018838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42.48723250857595</v>
      </c>
      <c r="H11" s="70">
        <f t="shared" si="1"/>
        <v>302.91951516808075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7.4285714285714288</v>
      </c>
      <c r="N11" s="14">
        <f>IF('Données projet'!$A$36&gt;35,N10+M11-V10,IF(A11&lt;'Données projet'!$A$36,$K$205^A11,IF(A11='Données projet'!$A$36,'Données projet'!$B$36,N10+M11-V10)))</f>
        <v>59.428571428571438</v>
      </c>
      <c r="O11" s="14">
        <f>N11*VLOOKUP('Données projet'!$B$9,Paramètres!$A$1:$I$89,3,0)*VLOOKUP('Données projet'!$B$9,Paramètres!$A$1:$I$89,5,0)</f>
        <v>27.812571428571431</v>
      </c>
      <c r="P11" s="14">
        <f t="shared" si="33"/>
        <v>8.7032916965371374</v>
      </c>
      <c r="Q11" s="22">
        <f t="shared" si="2"/>
        <v>63.598461609564083</v>
      </c>
      <c r="R11" s="62">
        <f t="shared" si="0"/>
        <v>356.9317949428974</v>
      </c>
      <c r="S11" s="62">
        <f ca="1">AVERAGE(OFFSET($R$3,0,0,'Données projet'!$E$9+1,1))-AVERAGE(OFFSET($H$3,0,0,'Données projet'!$E$9+1,1))</f>
        <v>242.7456246505439</v>
      </c>
      <c r="T11" s="62">
        <f t="shared" si="34"/>
        <v>195.88560859972426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6.2</v>
      </c>
      <c r="AI11" s="14">
        <f>IF('Données projet'!$A$62&gt;35,AI10+AH11-AQ10,IF(A11&lt;'Données projet'!$A$62,$AF$205^A11,IF(A11='Données projet'!$A$62,'Données projet'!$B$62,AI10+AH11-AQ10)))</f>
        <v>5.0223403860157454</v>
      </c>
      <c r="AJ11" s="14">
        <f>AI11*VLOOKUP('Données projet'!$B$10,Paramètres!$A$1:$I$89,3,0)*VLOOKUP('Données projet'!$B$10,Paramètres!$A$1:$I$89,5,0)</f>
        <v>2.3504553006553688</v>
      </c>
      <c r="AK11" s="14">
        <f t="shared" si="35"/>
        <v>0.98062276017484962</v>
      </c>
      <c r="AL11" s="22">
        <f t="shared" si="4"/>
        <v>5.8016276226126307</v>
      </c>
      <c r="AM11" s="62">
        <f t="shared" si="5"/>
        <v>299.13496095594593</v>
      </c>
      <c r="AN11" s="62">
        <f ca="1">AVERAGE(OFFSET($AM$3,0,0,'Données projet'!$E$10+1,1))-AVERAGE(OFFSET($H$3,0,0,'Données projet'!$E$10+1,1))</f>
        <v>211.93796316015613</v>
      </c>
      <c r="AO11" s="62">
        <f t="shared" si="36"/>
        <v>165.73212396548013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4.4460000000000006</v>
      </c>
      <c r="D12" s="12">
        <f t="shared" si="32"/>
        <v>1.7222566815192901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47.614612980148912</v>
      </c>
      <c r="H12" s="70">
        <f t="shared" si="1"/>
        <v>304.07638038697939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7.4285714285714288</v>
      </c>
      <c r="N12" s="14">
        <f>IF('Données projet'!$A$36&gt;35,N11+M12-V11,IF(A12&lt;'Données projet'!$A$36,$K$205^A12,IF(A12='Données projet'!$A$36,'Données projet'!$B$36,N11+M12-V11)))</f>
        <v>66.857142857142861</v>
      </c>
      <c r="O12" s="14">
        <f>N12*VLOOKUP('Données projet'!$B$9,Paramètres!$A$1:$I$89,3,0)*VLOOKUP('Données projet'!$B$9,Paramètres!$A$1:$I$89,5,0)</f>
        <v>31.289142857142856</v>
      </c>
      <c r="P12" s="14">
        <f t="shared" si="33"/>
        <v>9.6578822975163625</v>
      </c>
      <c r="Q12" s="22">
        <f t="shared" si="2"/>
        <v>71.316068811031457</v>
      </c>
      <c r="R12" s="62">
        <f t="shared" si="0"/>
        <v>364.64940214436479</v>
      </c>
      <c r="S12" s="62">
        <f ca="1">AVERAGE(OFFSET($R$3,0,0,'Données projet'!$E$9+1,1))-AVERAGE(OFFSET($H$3,0,0,'Données projet'!$E$9+1,1))</f>
        <v>242.7456246505439</v>
      </c>
      <c r="T12" s="62">
        <f t="shared" si="34"/>
        <v>195.88560859972426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6.2</v>
      </c>
      <c r="AI12" s="14">
        <f>IF('Données projet'!$A$62&gt;35,AI11+AH12-AQ11,IF(A12&lt;'Données projet'!$A$62,$AF$205^A12,IF(A12='Données projet'!$A$62,'Données projet'!$B$62,AI11+AH12-AQ11)))</f>
        <v>6.1449649679030136</v>
      </c>
      <c r="AJ12" s="14">
        <f>AI12*VLOOKUP('Données projet'!$B$10,Paramètres!$A$1:$I$89,3,0)*VLOOKUP('Données projet'!$B$10,Paramètres!$A$1:$I$89,5,0)</f>
        <v>2.87584360497861</v>
      </c>
      <c r="AK12" s="14">
        <f t="shared" si="35"/>
        <v>1.1719715050427075</v>
      </c>
      <c r="AL12" s="22">
        <f t="shared" si="4"/>
        <v>7.0499446499537939</v>
      </c>
      <c r="AM12" s="62">
        <f t="shared" si="5"/>
        <v>300.38327798328709</v>
      </c>
      <c r="AN12" s="62">
        <f ca="1">AVERAGE(OFFSET($AM$3,0,0,'Données projet'!$E$10+1,1))-AVERAGE(OFFSET($H$3,0,0,'Données projet'!$E$10+1,1))</f>
        <v>211.93796316015613</v>
      </c>
      <c r="AO12" s="62">
        <f t="shared" si="36"/>
        <v>165.73212396548013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4.9400000000000004</v>
      </c>
      <c r="D13" s="12">
        <f t="shared" si="32"/>
        <v>1.8902933083766646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52.725071152381275</v>
      </c>
      <c r="H13" s="70">
        <f t="shared" si="1"/>
        <v>305.22942751208933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7.4285714285714288</v>
      </c>
      <c r="N13" s="14">
        <f>IF('Données projet'!$A$36&gt;35,N12+M13-V12,IF(A13&lt;'Données projet'!$A$36,$K$205^A13,IF(A13='Données projet'!$A$36,'Données projet'!$B$36,N12+M13-V12)))</f>
        <v>74.285714285714292</v>
      </c>
      <c r="O13" s="14">
        <f>N13*VLOOKUP('Données projet'!$B$9,Paramètres!$A$1:$I$89,3,0)*VLOOKUP('Données projet'!$B$9,Paramètres!$A$1:$I$89,5,0)</f>
        <v>34.765714285714289</v>
      </c>
      <c r="P13" s="14">
        <f t="shared" si="33"/>
        <v>10.600179680522348</v>
      </c>
      <c r="Q13" s="22">
        <f t="shared" si="2"/>
        <v>79.012265324528812</v>
      </c>
      <c r="R13" s="62">
        <f t="shared" si="0"/>
        <v>372.34559865786213</v>
      </c>
      <c r="S13" s="62">
        <f ca="1">AVERAGE(OFFSET($R$3,0,0,'Données projet'!$E$9+1,1))-AVERAGE(OFFSET($H$3,0,0,'Données projet'!$E$9+1,1))</f>
        <v>242.7456246505439</v>
      </c>
      <c r="T13" s="62">
        <f t="shared" si="34"/>
        <v>195.88560859972426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6.2</v>
      </c>
      <c r="AI13" s="14">
        <f>IF('Données projet'!$A$62&gt;35,AI12+AH13-AQ12,IF(A13&lt;'Données projet'!$A$62,$AF$205^A13,IF(A13='Données projet'!$A$62,'Données projet'!$B$62,AI12+AH13-AQ12)))</f>
        <v>7.5185255387898957</v>
      </c>
      <c r="AJ13" s="14">
        <f>AI13*VLOOKUP('Données projet'!$B$10,Paramètres!$A$1:$I$89,3,0)*VLOOKUP('Données projet'!$B$10,Paramètres!$A$1:$I$89,5,0)</f>
        <v>3.5186699521536715</v>
      </c>
      <c r="AK13" s="14">
        <f t="shared" si="35"/>
        <v>1.4006580964806126</v>
      </c>
      <c r="AL13" s="22">
        <f t="shared" si="4"/>
        <v>8.5678296847047104</v>
      </c>
      <c r="AM13" s="62">
        <f t="shared" si="5"/>
        <v>301.90116301803801</v>
      </c>
      <c r="AN13" s="62">
        <f ca="1">AVERAGE(OFFSET($AM$3,0,0,'Données projet'!$E$10+1,1))-AVERAGE(OFFSET($H$3,0,0,'Données projet'!$E$10+1,1))</f>
        <v>211.93796316015613</v>
      </c>
      <c r="AO13" s="62">
        <f t="shared" si="36"/>
        <v>165.73212396548013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5.4340000000000002</v>
      </c>
      <c r="D14" s="12">
        <f t="shared" si="32"/>
        <v>2.0563819044260145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57.820491893814847</v>
      </c>
      <c r="H14" s="70">
        <f t="shared" si="1"/>
        <v>306.37908181687527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7.4285714285714288</v>
      </c>
      <c r="N14" s="14">
        <f>IF('Données projet'!$A$36&gt;35,N13+M14-V13,IF(A14&lt;'Données projet'!$A$36,$K$205^A14,IF(A14='Données projet'!$A$36,'Données projet'!$B$36,N13+M14-V13)))</f>
        <v>81.714285714285722</v>
      </c>
      <c r="O14" s="14">
        <f>N14*VLOOKUP('Données projet'!$B$9,Paramètres!$A$1:$I$89,3,0)*VLOOKUP('Données projet'!$B$9,Paramètres!$A$1:$I$89,5,0)</f>
        <v>38.242285714285721</v>
      </c>
      <c r="P14" s="14">
        <f t="shared" si="33"/>
        <v>11.531553109824037</v>
      </c>
      <c r="Q14" s="22">
        <f t="shared" si="2"/>
        <v>86.689435951991172</v>
      </c>
      <c r="R14" s="62">
        <f t="shared" si="0"/>
        <v>380.0227692853245</v>
      </c>
      <c r="S14" s="62">
        <f ca="1">AVERAGE(OFFSET($R$3,0,0,'Données projet'!$E$9+1,1))-AVERAGE(OFFSET($H$3,0,0,'Données projet'!$E$9+1,1))</f>
        <v>242.7456246505439</v>
      </c>
      <c r="T14" s="62">
        <f t="shared" si="34"/>
        <v>195.88560859972426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6.2</v>
      </c>
      <c r="AI14" s="14">
        <f>IF('Données projet'!$A$62&gt;35,AI13+AH14-AQ13,IF(A14&lt;'Données projet'!$A$62,$AF$205^A14,IF(A14='Données projet'!$A$62,'Données projet'!$B$62,AI13+AH14-AQ13)))</f>
        <v>9.1991128627583212</v>
      </c>
      <c r="AJ14" s="14">
        <f>AI14*VLOOKUP('Données projet'!$B$10,Paramètres!$A$1:$I$89,3,0)*VLOOKUP('Données projet'!$B$10,Paramètres!$A$1:$I$89,5,0)</f>
        <v>4.3051848197708944</v>
      </c>
      <c r="AK14" s="14">
        <f t="shared" si="35"/>
        <v>1.673968261852238</v>
      </c>
      <c r="AL14" s="22">
        <f t="shared" si="4"/>
        <v>10.413691617160287</v>
      </c>
      <c r="AM14" s="62">
        <f t="shared" si="5"/>
        <v>303.7470249504936</v>
      </c>
      <c r="AN14" s="62">
        <f ca="1">AVERAGE(OFFSET($AM$3,0,0,'Données projet'!$E$10+1,1))-AVERAGE(OFFSET($H$3,0,0,'Données projet'!$E$10+1,1))</f>
        <v>211.93796316015613</v>
      </c>
      <c r="AO14" s="62">
        <f t="shared" si="36"/>
        <v>165.73212396548013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5.9279999999999999</v>
      </c>
      <c r="D15" s="12">
        <f t="shared" si="32"/>
        <v>2.2207197037661022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62.902397713282191</v>
      </c>
      <c r="H15" s="70">
        <f t="shared" si="1"/>
        <v>307.52568681739263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7.4285714285714288</v>
      </c>
      <c r="N15" s="14">
        <f>IF('Données projet'!$A$36&gt;35,N14+M15-V14,IF(A15&lt;'Données projet'!$A$36,$K$205^A15,IF(A15='Données projet'!$A$36,'Données projet'!$B$36,N14+M15-V14)))</f>
        <v>89.142857142857153</v>
      </c>
      <c r="O15" s="14">
        <f>N15*VLOOKUP('Données projet'!$B$9,Paramètres!$A$1:$I$89,3,0)*VLOOKUP('Données projet'!$B$9,Paramètres!$A$1:$I$89,5,0)</f>
        <v>41.718857142857146</v>
      </c>
      <c r="P15" s="14">
        <f t="shared" si="33"/>
        <v>12.453108613187984</v>
      </c>
      <c r="Q15" s="22">
        <f t="shared" si="2"/>
        <v>94.349507025111919</v>
      </c>
      <c r="R15" s="62">
        <f t="shared" si="0"/>
        <v>387.68284035844522</v>
      </c>
      <c r="S15" s="62">
        <f ca="1">AVERAGE(OFFSET($R$3,0,0,'Données projet'!$E$9+1,1))-AVERAGE(OFFSET($H$3,0,0,'Données projet'!$E$9+1,1))</f>
        <v>242.7456246505439</v>
      </c>
      <c r="T15" s="62">
        <f t="shared" si="34"/>
        <v>195.88560859972426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6.2</v>
      </c>
      <c r="AI15" s="14">
        <f>IF('Données projet'!$A$62&gt;35,AI14+AH15-AQ14,IF(A15&lt;'Données projet'!$A$62,$AF$205^A15,IF(A15='Données projet'!$A$62,'Données projet'!$B$62,AI14+AH15-AQ14)))</f>
        <v>11.255355458350383</v>
      </c>
      <c r="AJ15" s="14">
        <f>AI15*VLOOKUP('Données projet'!$B$10,Paramètres!$A$1:$I$89,3,0)*VLOOKUP('Données projet'!$B$10,Paramètres!$A$1:$I$89,5,0)</f>
        <v>5.2675063545079794</v>
      </c>
      <c r="AK15" s="14">
        <f t="shared" si="35"/>
        <v>2.0006093912065501</v>
      </c>
      <c r="AL15" s="22">
        <f t="shared" si="4"/>
        <v>12.658634923786138</v>
      </c>
      <c r="AM15" s="62">
        <f t="shared" si="5"/>
        <v>305.99196825711942</v>
      </c>
      <c r="AN15" s="62">
        <f ca="1">AVERAGE(OFFSET($AM$3,0,0,'Données projet'!$E$10+1,1))-AVERAGE(OFFSET($H$3,0,0,'Données projet'!$E$10+1,1))</f>
        <v>211.93796316015613</v>
      </c>
      <c r="AO15" s="62">
        <f t="shared" si="36"/>
        <v>165.73212396548013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6.4219999999999997</v>
      </c>
      <c r="D16" s="12">
        <f t="shared" si="32"/>
        <v>2.3834691936258148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67.97204289816419</v>
      </c>
      <c r="H16" s="70">
        <f t="shared" si="1"/>
        <v>308.66952551223159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7.4285714285714288</v>
      </c>
      <c r="N16" s="14">
        <f>IF('Données projet'!$A$36&gt;35,N15+M16-V15,IF(A16&lt;'Données projet'!$A$36,$K$205^A16,IF(A16='Données projet'!$A$36,'Données projet'!$B$36,N15+M16-V15)))</f>
        <v>96.571428571428584</v>
      </c>
      <c r="O16" s="14">
        <f>N16*VLOOKUP('Données projet'!$B$9,Paramètres!$A$1:$I$89,3,0)*VLOOKUP('Données projet'!$B$9,Paramètres!$A$1:$I$89,5,0)</f>
        <v>45.195428571428579</v>
      </c>
      <c r="P16" s="14">
        <f t="shared" si="33"/>
        <v>13.36575736869135</v>
      </c>
      <c r="Q16" s="22">
        <f t="shared" si="2"/>
        <v>101.99406551237553</v>
      </c>
      <c r="R16" s="62">
        <f t="shared" si="0"/>
        <v>395.32739884570884</v>
      </c>
      <c r="S16" s="62">
        <f ca="1">AVERAGE(OFFSET($R$3,0,0,'Données projet'!$E$9+1,1))-AVERAGE(OFFSET($H$3,0,0,'Données projet'!$E$9+1,1))</f>
        <v>242.7456246505439</v>
      </c>
      <c r="T16" s="62">
        <f t="shared" si="34"/>
        <v>195.88560859972426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6.2</v>
      </c>
      <c r="AI16" s="14">
        <f>IF('Données projet'!$A$62&gt;35,AI15+AH16-AQ15,IF(A16&lt;'Données projet'!$A$62,$AF$205^A16,IF(A16='Données projet'!$A$62,'Données projet'!$B$62,AI15+AH16-AQ15)))</f>
        <v>13.771222114980368</v>
      </c>
      <c r="AJ16" s="14">
        <f>AI16*VLOOKUP('Données projet'!$B$10,Paramètres!$A$1:$I$89,3,0)*VLOOKUP('Données projet'!$B$10,Paramètres!$A$1:$I$89,5,0)</f>
        <v>6.4449319498108126</v>
      </c>
      <c r="AK16" s="14">
        <f t="shared" si="35"/>
        <v>2.390987946064858</v>
      </c>
      <c r="AL16" s="22">
        <f t="shared" si="4"/>
        <v>15.38922715198346</v>
      </c>
      <c r="AM16" s="62">
        <f t="shared" si="5"/>
        <v>308.72256048531676</v>
      </c>
      <c r="AN16" s="62">
        <f ca="1">AVERAGE(OFFSET($AM$3,0,0,'Données projet'!$E$10+1,1))-AVERAGE(OFFSET($H$3,0,0,'Données projet'!$E$10+1,1))</f>
        <v>211.93796316015613</v>
      </c>
      <c r="AO16" s="62">
        <f t="shared" si="36"/>
        <v>165.73212396548013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6.9159999999999995</v>
      </c>
      <c r="D17" s="12">
        <f t="shared" si="32"/>
        <v>2.5447664431495727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73.030477806768616</v>
      </c>
      <c r="H17" s="70">
        <f t="shared" si="1"/>
        <v>309.81083488848549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7.4285714285714288</v>
      </c>
      <c r="N17" s="14">
        <f>IF('Données projet'!$A$36&gt;35,N16+M17-V16,IF(A17&lt;'Données projet'!$A$36,$K$205^A17,IF(A17='Données projet'!$A$36,'Données projet'!$B$36,N16+M17-V16)))</f>
        <v>104.00000000000001</v>
      </c>
      <c r="O17" s="14">
        <f>N17*VLOOKUP('Données projet'!$B$9,Paramètres!$A$1:$I$89,3,0)*VLOOKUP('Données projet'!$B$9,Paramètres!$A$1:$I$89,5,0)</f>
        <v>48.672000000000011</v>
      </c>
      <c r="P17" s="14">
        <f t="shared" si="33"/>
        <v>14.270262409972061</v>
      </c>
      <c r="Q17" s="22">
        <f t="shared" si="2"/>
        <v>109.62444036403468</v>
      </c>
      <c r="R17" s="62">
        <f t="shared" si="0"/>
        <v>402.957773697368</v>
      </c>
      <c r="S17" s="62">
        <f ca="1">AVERAGE(OFFSET($R$3,0,0,'Données projet'!$E$9+1,1))-AVERAGE(OFFSET($H$3,0,0,'Données projet'!$E$9+1,1))</f>
        <v>242.7456246505439</v>
      </c>
      <c r="T17" s="62">
        <f t="shared" si="34"/>
        <v>195.88560859972426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6.2</v>
      </c>
      <c r="AI17" s="14">
        <f>IF('Données projet'!$A$62&gt;35,AI16+AH17-AQ16,IF(A17&lt;'Données projet'!$A$62,$AF$205^A17,IF(A17='Données projet'!$A$62,'Données projet'!$B$62,AI16+AH17-AQ16)))</f>
        <v>16.849450845146343</v>
      </c>
      <c r="AJ17" s="14">
        <f>AI17*VLOOKUP('Données projet'!$B$10,Paramètres!$A$1:$I$89,3,0)*VLOOKUP('Données projet'!$B$10,Paramètres!$A$1:$I$89,5,0)</f>
        <v>7.8855429955284881</v>
      </c>
      <c r="AK17" s="14">
        <f t="shared" si="35"/>
        <v>2.8575409989351699</v>
      </c>
      <c r="AL17" s="22">
        <f t="shared" si="4"/>
        <v>18.710871290357538</v>
      </c>
      <c r="AM17" s="62">
        <f t="shared" si="5"/>
        <v>312.04420462369086</v>
      </c>
      <c r="AN17" s="62">
        <f ca="1">AVERAGE(OFFSET($AM$3,0,0,'Données projet'!$E$10+1,1))-AVERAGE(OFFSET($H$3,0,0,'Données projet'!$E$10+1,1))</f>
        <v>211.93796316015613</v>
      </c>
      <c r="AO17" s="62">
        <f t="shared" si="36"/>
        <v>165.73212396548013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7.4099999999999993</v>
      </c>
      <c r="D18" s="12">
        <f t="shared" si="32"/>
        <v>2.7047269815583839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78.078594243608578</v>
      </c>
      <c r="H18" s="70">
        <f t="shared" si="1"/>
        <v>310.94981615954748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7.4285714285714288</v>
      </c>
      <c r="N18" s="14">
        <f>IF('Données projet'!$A$36&gt;35,N17+M18-V17,IF(A18&lt;'Données projet'!$A$36,$K$205^A18,IF(A18='Données projet'!$A$36,'Données projet'!$B$36,N17+M18-V17)))</f>
        <v>111.42857142857144</v>
      </c>
      <c r="O18" s="14">
        <f>N18*VLOOKUP('Données projet'!$B$9,Paramètres!$A$1:$I$89,3,0)*VLOOKUP('Données projet'!$B$9,Paramètres!$A$1:$I$89,5,0)</f>
        <v>52.148571428571437</v>
      </c>
      <c r="P18" s="14">
        <f t="shared" si="33"/>
        <v>15.167271589136245</v>
      </c>
      <c r="Q18" s="22">
        <f t="shared" si="2"/>
        <v>117.24175992250753</v>
      </c>
      <c r="R18" s="62">
        <f t="shared" si="0"/>
        <v>410.57509325584084</v>
      </c>
      <c r="S18" s="62">
        <f ca="1">AVERAGE(OFFSET($R$3,0,0,'Données projet'!$E$9+1,1))-AVERAGE(OFFSET($H$3,0,0,'Données projet'!$E$9+1,1))</f>
        <v>242.7456246505439</v>
      </c>
      <c r="T18" s="62">
        <f t="shared" si="34"/>
        <v>195.88560859972426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6.2</v>
      </c>
      <c r="AI18" s="14">
        <f>IF('Données projet'!$A$62&gt;35,AI17+AH18-AQ17,IF(A18&lt;'Données projet'!$A$62,$AF$205^A18,IF(A18='Données projet'!$A$62,'Données projet'!$B$62,AI17+AH18-AQ17)))</f>
        <v>20.615744297245143</v>
      </c>
      <c r="AJ18" s="14">
        <f>AI18*VLOOKUP('Données projet'!$B$10,Paramètres!$A$1:$I$89,3,0)*VLOOKUP('Données projet'!$B$10,Paramètres!$A$1:$I$89,5,0)</f>
        <v>9.6481683311107282</v>
      </c>
      <c r="AK18" s="14">
        <f t="shared" si="35"/>
        <v>3.4151324660730467</v>
      </c>
      <c r="AL18" s="22">
        <f t="shared" si="4"/>
        <v>22.751915555095071</v>
      </c>
      <c r="AM18" s="62">
        <f t="shared" si="5"/>
        <v>316.0852488884284</v>
      </c>
      <c r="AN18" s="62">
        <f ca="1">AVERAGE(OFFSET($AM$3,0,0,'Données projet'!$E$10+1,1))-AVERAGE(OFFSET($H$3,0,0,'Données projet'!$E$10+1,1))</f>
        <v>211.93796316015613</v>
      </c>
      <c r="AO18" s="62">
        <f t="shared" si="36"/>
        <v>165.73212396548013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7.903999999999999</v>
      </c>
      <c r="D19" s="12">
        <f t="shared" si="32"/>
        <v>2.863450062707606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83.117158378795551</v>
      </c>
      <c r="H19" s="70">
        <f t="shared" si="1"/>
        <v>312.08664219254905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7.4285714285714288</v>
      </c>
      <c r="N19" s="14">
        <f>IF('Données projet'!$A$36&gt;35,N18+M19-V18,IF(A19&lt;'Données projet'!$A$36,$K$205^A19,IF(A19='Données projet'!$A$36,'Données projet'!$B$36,N18+M19-V18)))</f>
        <v>118.85714285714288</v>
      </c>
      <c r="O19" s="14">
        <f>N19*VLOOKUP('Données projet'!$B$9,Paramètres!$A$1:$I$89,3,0)*VLOOKUP('Données projet'!$B$9,Paramètres!$A$1:$I$89,5,0)</f>
        <v>55.625142857142862</v>
      </c>
      <c r="P19" s="14">
        <f t="shared" si="33"/>
        <v>16.057341491077942</v>
      </c>
      <c r="Q19" s="22">
        <f t="shared" si="2"/>
        <v>124.84699357315124</v>
      </c>
      <c r="R19" s="62">
        <f t="shared" si="0"/>
        <v>418.18032690648454</v>
      </c>
      <c r="S19" s="62">
        <f ca="1">AVERAGE(OFFSET($R$3,0,0,'Données projet'!$E$9+1,1))-AVERAGE(OFFSET($H$3,0,0,'Données projet'!$E$9+1,1))</f>
        <v>242.7456246505439</v>
      </c>
      <c r="T19" s="62">
        <f t="shared" si="34"/>
        <v>195.88560859972426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6.2</v>
      </c>
      <c r="AI19" s="14">
        <f>IF('Données projet'!$A$62&gt;35,AI18+AH19-AQ18,IF(A19&lt;'Données projet'!$A$62,$AF$205^A19,IF(A19='Données projet'!$A$62,'Données projet'!$B$62,AI18+AH19-AQ18)))</f>
        <v>25.223902953004785</v>
      </c>
      <c r="AJ19" s="14">
        <f>AI19*VLOOKUP('Données projet'!$B$10,Paramètres!$A$1:$I$89,3,0)*VLOOKUP('Données projet'!$B$10,Paramètres!$A$1:$I$89,5,0)</f>
        <v>11.804786582006239</v>
      </c>
      <c r="AK19" s="14">
        <f t="shared" si="35"/>
        <v>4.0815266570706452</v>
      </c>
      <c r="AL19" s="22">
        <f t="shared" si="4"/>
        <v>27.668662224725569</v>
      </c>
      <c r="AM19" s="62">
        <f t="shared" si="5"/>
        <v>321.00199555805887</v>
      </c>
      <c r="AN19" s="62">
        <f ca="1">AVERAGE(OFFSET($AM$3,0,0,'Données projet'!$E$10+1,1))-AVERAGE(OFFSET($H$3,0,0,'Données projet'!$E$10+1,1))</f>
        <v>211.93796316015613</v>
      </c>
      <c r="AO19" s="62">
        <f t="shared" si="36"/>
        <v>165.73212396548013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8.3979999999999997</v>
      </c>
      <c r="D20" s="12">
        <f t="shared" si="32"/>
        <v>3.0210218324899247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88.146835198167835</v>
      </c>
      <c r="H20" s="70">
        <f t="shared" si="1"/>
        <v>313.22146302491996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7.4285714285714288</v>
      </c>
      <c r="N20" s="14">
        <f>IF('Données projet'!$A$36&gt;35,N19+M20-V19,IF(A20&lt;'Données projet'!$A$36,$K$205^A20,IF(A20='Données projet'!$A$36,'Données projet'!$B$36,N19+M20-V19)))</f>
        <v>126.28571428571431</v>
      </c>
      <c r="O20" s="14">
        <f>N20*VLOOKUP('Données projet'!$B$9,Paramètres!$A$1:$I$89,3,0)*VLOOKUP('Données projet'!$B$9,Paramètres!$A$1:$I$89,5,0)</f>
        <v>59.101714285714294</v>
      </c>
      <c r="P20" s="14">
        <f t="shared" si="33"/>
        <v>16.940955195294514</v>
      </c>
      <c r="Q20" s="22">
        <f t="shared" si="2"/>
        <v>132.44098267942363</v>
      </c>
      <c r="R20" s="62">
        <f t="shared" si="0"/>
        <v>425.77431601275691</v>
      </c>
      <c r="S20" s="62">
        <f ca="1">AVERAGE(OFFSET($R$3,0,0,'Données projet'!$E$9+1,1))-AVERAGE(OFFSET($H$3,0,0,'Données projet'!$E$9+1,1))</f>
        <v>242.7456246505439</v>
      </c>
      <c r="T20" s="62">
        <f t="shared" si="34"/>
        <v>195.88560859972426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6.2</v>
      </c>
      <c r="AI20" s="14">
        <f>IF('Données projet'!$A$62&gt;35,AI19+AH20-AQ19,IF(A20&lt;'Données projet'!$A$62,$AF$205^A20,IF(A20='Données projet'!$A$62,'Données projet'!$B$62,AI19+AH20-AQ19)))</f>
        <v>30.862105728951249</v>
      </c>
      <c r="AJ20" s="14">
        <f>AI20*VLOOKUP('Données projet'!$B$10,Paramètres!$A$1:$I$89,3,0)*VLOOKUP('Données projet'!$B$10,Paramètres!$A$1:$I$89,5,0)</f>
        <v>14.443465481149184</v>
      </c>
      <c r="AK20" s="14">
        <f t="shared" si="35"/>
        <v>4.877954228092876</v>
      </c>
      <c r="AL20" s="22">
        <f t="shared" si="4"/>
        <v>33.651472660263259</v>
      </c>
      <c r="AM20" s="62">
        <f t="shared" si="5"/>
        <v>326.98480599359658</v>
      </c>
      <c r="AN20" s="62">
        <f ca="1">AVERAGE(OFFSET($AM$3,0,0,'Données projet'!$E$10+1,1))-AVERAGE(OFFSET($H$3,0,0,'Données projet'!$E$10+1,1))</f>
        <v>211.93796316015613</v>
      </c>
      <c r="AO20" s="62">
        <f t="shared" si="36"/>
        <v>165.73212396548013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21" s="12">
        <f t="shared" si="32"/>
        <v>3.177517729464268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93.16820703446102</v>
      </c>
      <c r="H21" s="70">
        <f t="shared" si="1"/>
        <v>314.35441004548358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7.4285714285714288</v>
      </c>
      <c r="N21" s="14">
        <f>IF('Données projet'!$A$36&gt;35,N20+M21-V20,IF(A21&lt;'Données projet'!$A$36,$K$205^A21,IF(A21='Données projet'!$A$36,'Données projet'!$B$36,N20+M21-V20)))</f>
        <v>133.71428571428572</v>
      </c>
      <c r="O21" s="14">
        <f>N21*VLOOKUP('Données projet'!$B$9,Paramètres!$A$1:$I$89,3,0)*VLOOKUP('Données projet'!$B$9,Paramètres!$A$1:$I$89,5,0)</f>
        <v>62.578285714285713</v>
      </c>
      <c r="P21" s="14">
        <f t="shared" si="33"/>
        <v>17.818535737870285</v>
      </c>
      <c r="Q21" s="22">
        <f t="shared" si="2"/>
        <v>140.02446402917167</v>
      </c>
      <c r="R21" s="62">
        <f t="shared" si="0"/>
        <v>433.35779736250498</v>
      </c>
      <c r="S21" s="62">
        <f ca="1">AVERAGE(OFFSET($R$3,0,0,'Données projet'!$E$9+1,1))-AVERAGE(OFFSET($H$3,0,0,'Données projet'!$E$9+1,1))</f>
        <v>242.7456246505439</v>
      </c>
      <c r="T21" s="62">
        <f t="shared" si="34"/>
        <v>195.88560859972426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6.2</v>
      </c>
      <c r="AI21" s="14">
        <f>IF('Données projet'!$A$62&gt;35,AI20+AH21-AQ20,IF(A21&lt;'Données projet'!$A$62,$AF$205^A21,IF(A21='Données projet'!$A$62,'Données projet'!$B$62,AI20+AH21-AQ20)))</f>
        <v>37.760594456755285</v>
      </c>
      <c r="AJ21" s="14">
        <f>AI21*VLOOKUP('Données projet'!$B$10,Paramètres!$A$1:$I$89,3,0)*VLOOKUP('Données projet'!$B$10,Paramètres!$A$1:$I$89,5,0)</f>
        <v>17.671958205761474</v>
      </c>
      <c r="AK21" s="14">
        <f t="shared" si="35"/>
        <v>5.8297885694679463</v>
      </c>
      <c r="AL21" s="22">
        <f t="shared" si="4"/>
        <v>40.932208966857907</v>
      </c>
      <c r="AM21" s="62">
        <f t="shared" si="5"/>
        <v>334.26554230019121</v>
      </c>
      <c r="AN21" s="62">
        <f ca="1">AVERAGE(OFFSET($AM$3,0,0,'Données projet'!$E$10+1,1))-AVERAGE(OFFSET($H$3,0,0,'Données projet'!$E$10+1,1))</f>
        <v>211.93796316015613</v>
      </c>
      <c r="AO21" s="62">
        <f t="shared" si="36"/>
        <v>165.73212396548013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9.3859999999999992</v>
      </c>
      <c r="D22" s="12">
        <f t="shared" si="32"/>
        <v>3.3330043367174276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98.181787862380133</v>
      </c>
      <c r="H22" s="70">
        <f t="shared" si="1"/>
        <v>315.48559921978284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7.4285714285714288</v>
      </c>
      <c r="N22" s="14">
        <f>IF('Données projet'!$A$36&gt;35,N21+M22-V21,IF(A22&lt;'Données projet'!$A$36,$K$205^A22,IF(A22='Données projet'!$A$36,'Données projet'!$B$36,N21+M22-V21)))</f>
        <v>141.14285714285714</v>
      </c>
      <c r="O22" s="14">
        <f>N22*VLOOKUP('Données projet'!$B$9,Paramètres!$A$1:$I$89,3,0)*VLOOKUP('Données projet'!$B$9,Paramètres!$A$1:$I$89,5,0)</f>
        <v>66.054857142857145</v>
      </c>
      <c r="P22" s="14">
        <f t="shared" si="33"/>
        <v>18.690456496143355</v>
      </c>
      <c r="Q22" s="22">
        <f t="shared" si="2"/>
        <v>147.59808792125918</v>
      </c>
      <c r="R22" s="62">
        <f t="shared" si="0"/>
        <v>440.93142125459246</v>
      </c>
      <c r="S22" s="62">
        <f ca="1">AVERAGE(OFFSET($R$3,0,0,'Données projet'!$E$9+1,1))-AVERAGE(OFFSET($H$3,0,0,'Données projet'!$E$9+1,1))</f>
        <v>242.7456246505439</v>
      </c>
      <c r="T22" s="62">
        <f t="shared" si="34"/>
        <v>195.88560859972426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6.2</v>
      </c>
      <c r="AI22" s="14">
        <f>IF('Données projet'!$A$62&gt;35,AI21+AH22-AQ21,IF(A22&lt;'Données projet'!$A$62,$AF$205^A22,IF(A22='Données projet'!$A$62,'Données projet'!$B$62,AI21+AH22-AQ21)))</f>
        <v>46.201076046148032</v>
      </c>
      <c r="AJ22" s="14">
        <f>AI22*VLOOKUP('Données projet'!$B$10,Paramètres!$A$1:$I$89,3,0)*VLOOKUP('Données projet'!$B$10,Paramètres!$A$1:$I$89,5,0)</f>
        <v>21.62210358959728</v>
      </c>
      <c r="AK22" s="14">
        <f t="shared" si="35"/>
        <v>6.967354176668187</v>
      </c>
      <c r="AL22" s="22">
        <f t="shared" si="4"/>
        <v>49.793305609579022</v>
      </c>
      <c r="AM22" s="62">
        <f t="shared" si="5"/>
        <v>343.12663894291234</v>
      </c>
      <c r="AN22" s="62">
        <f ca="1">AVERAGE(OFFSET($AM$3,0,0,'Données projet'!$E$10+1,1))-AVERAGE(OFFSET($H$3,0,0,'Données projet'!$E$10+1,1))</f>
        <v>211.93796316015613</v>
      </c>
      <c r="AO22" s="62">
        <f t="shared" si="36"/>
        <v>165.73212396548013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9.879999999999999</v>
      </c>
      <c r="D23" s="12">
        <f t="shared" si="32"/>
        <v>3.4875408327380875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103.1880344983291</v>
      </c>
      <c r="H23" s="70">
        <f t="shared" si="1"/>
        <v>316.61513361701884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7.4285714285714288</v>
      </c>
      <c r="N23" s="14">
        <f>IF('Données projet'!$A$36&gt;35,N22+M23-V22,IF(A23&lt;'Données projet'!$A$36,$K$205^A23,IF(A23='Données projet'!$A$36,'Données projet'!$B$36,N22+M23-V22)))</f>
        <v>148.57142857142856</v>
      </c>
      <c r="O23" s="14">
        <f>N23*VLOOKUP('Données projet'!$B$9,Paramètres!$A$1:$I$89,3,0)*VLOOKUP('Données projet'!$B$9,Paramètres!$A$1:$I$89,5,0)</f>
        <v>69.531428571428563</v>
      </c>
      <c r="P23" s="14">
        <f t="shared" si="33"/>
        <v>19.557049324757912</v>
      </c>
      <c r="Q23" s="22">
        <f t="shared" si="2"/>
        <v>155.16243233585811</v>
      </c>
      <c r="R23" s="62">
        <f t="shared" si="0"/>
        <v>448.49576566919143</v>
      </c>
      <c r="S23" s="62">
        <f ca="1">AVERAGE(OFFSET($R$3,0,0,'Données projet'!$E$9+1,1))-AVERAGE(OFFSET($H$3,0,0,'Données projet'!$E$9+1,1))</f>
        <v>242.7456246505439</v>
      </c>
      <c r="T23" s="62">
        <f t="shared" si="34"/>
        <v>195.88560859972426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6.2</v>
      </c>
      <c r="AI23" s="14">
        <f>IF('Données projet'!$A$62&gt;35,AI22+AH23-AQ22,IF(A23&lt;'Données projet'!$A$62,$AF$205^A23,IF(A23='Données projet'!$A$62,'Données projet'!$B$62,AI22+AH23-AQ22)))</f>
        <v>56.528226277435891</v>
      </c>
      <c r="AJ23" s="14">
        <f>AI23*VLOOKUP('Données projet'!$B$10,Paramètres!$A$1:$I$89,3,0)*VLOOKUP('Données projet'!$B$10,Paramètres!$A$1:$I$89,5,0)</f>
        <v>26.455209897839996</v>
      </c>
      <c r="AK23" s="14">
        <f t="shared" si="35"/>
        <v>8.3268927585766548</v>
      </c>
      <c r="AL23" s="22">
        <f t="shared" si="4"/>
        <v>60.578828793259014</v>
      </c>
      <c r="AM23" s="62">
        <f t="shared" si="5"/>
        <v>353.91216212659231</v>
      </c>
      <c r="AN23" s="62">
        <f ca="1">AVERAGE(OFFSET($AM$3,0,0,'Données projet'!$E$10+1,1))-AVERAGE(OFFSET($H$3,0,0,'Données projet'!$E$10+1,1))</f>
        <v>211.93796316015613</v>
      </c>
      <c r="AO23" s="62">
        <f t="shared" si="36"/>
        <v>165.73212396548013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10.373999999999999</v>
      </c>
      <c r="D24" s="12">
        <f t="shared" si="32"/>
        <v>3.6411801438697711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108.18735549653859</v>
      </c>
      <c r="H24" s="70">
        <f t="shared" si="1"/>
        <v>317.7431054172398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7.4285714285714288</v>
      </c>
      <c r="N24" s="14">
        <f>IF('Données projet'!$A$36&gt;35,N23+M24-V23,IF(A24&lt;'Données projet'!$A$36,$K$205^A24,IF(A24='Données projet'!$A$36,'Données projet'!$B$36,N23+M24-V23)))</f>
        <v>155.99999999999997</v>
      </c>
      <c r="O24" s="14">
        <f>N24*VLOOKUP('Données projet'!$B$9,Paramètres!$A$1:$I$89,3,0)*VLOOKUP('Données projet'!$B$9,Paramètres!$A$1:$I$89,5,0)</f>
        <v>73.007999999999996</v>
      </c>
      <c r="P24" s="14">
        <f t="shared" si="33"/>
        <v>20.418611018263636</v>
      </c>
      <c r="Q24" s="22">
        <f t="shared" si="2"/>
        <v>162.7180141901425</v>
      </c>
      <c r="R24" s="62">
        <f t="shared" si="0"/>
        <v>456.05134752347578</v>
      </c>
      <c r="S24" s="62">
        <f ca="1">AVERAGE(OFFSET($R$3,0,0,'Données projet'!$E$9+1,1))-AVERAGE(OFFSET($H$3,0,0,'Données projet'!$E$9+1,1))</f>
        <v>242.7456246505439</v>
      </c>
      <c r="T24" s="62">
        <f t="shared" si="34"/>
        <v>195.88560859972426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6.2</v>
      </c>
      <c r="AI24" s="14">
        <f>IF('Données projet'!$A$62&gt;35,AI23+AH24-AQ23,IF(A24&lt;'Données projet'!$A$62,$AF$205^A24,IF(A24='Données projet'!$A$62,'Données projet'!$B$62,AI23+AH24-AQ23)))</f>
        <v>69.163764992859072</v>
      </c>
      <c r="AJ24" s="14">
        <f>AI24*VLOOKUP('Données projet'!$B$10,Paramètres!$A$1:$I$89,3,0)*VLOOKUP('Données projet'!$B$10,Paramètres!$A$1:$I$89,5,0)</f>
        <v>32.368642016658043</v>
      </c>
      <c r="AK24" s="14">
        <f t="shared" si="35"/>
        <v>9.9517178622880955</v>
      </c>
      <c r="AL24" s="22">
        <f t="shared" si="4"/>
        <v>73.707960122497852</v>
      </c>
      <c r="AM24" s="62">
        <f t="shared" si="5"/>
        <v>367.04129345583118</v>
      </c>
      <c r="AN24" s="62">
        <f ca="1">AVERAGE(OFFSET($AM$3,0,0,'Données projet'!$E$10+1,1))-AVERAGE(OFFSET($H$3,0,0,'Données projet'!$E$10+1,1))</f>
        <v>211.93796316015613</v>
      </c>
      <c r="AO24" s="62">
        <f t="shared" si="36"/>
        <v>165.73212396548013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10.867999999999999</v>
      </c>
      <c r="D25" s="12">
        <f t="shared" si="32"/>
        <v>3.7939698710293386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113.18011830268262</v>
      </c>
      <c r="H25" s="70">
        <f t="shared" si="1"/>
        <v>318.86959752537609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7.4285714285714288</v>
      </c>
      <c r="N25" s="14">
        <f>IF('Données projet'!$A$36&gt;35,N24+M25-V24,IF(A25&lt;'Données projet'!$A$36,$K$205^A25,IF(A25='Données projet'!$A$36,'Données projet'!$B$36,N24+M25-V24)))</f>
        <v>163.42857142857139</v>
      </c>
      <c r="O25" s="14">
        <f>N25*VLOOKUP('Données projet'!$B$9,Paramètres!$A$1:$I$89,3,0)*VLOOKUP('Données projet'!$B$9,Paramètres!$A$1:$I$89,5,0)</f>
        <v>76.484571428571414</v>
      </c>
      <c r="P25" s="14">
        <f t="shared" si="33"/>
        <v>21.275408507866057</v>
      </c>
      <c r="Q25" s="22">
        <f t="shared" si="2"/>
        <v>170.26529838929525</v>
      </c>
      <c r="R25" s="62">
        <f t="shared" si="0"/>
        <v>463.59863172262857</v>
      </c>
      <c r="S25" s="62">
        <f ca="1">AVERAGE(OFFSET($R$3,0,0,'Données projet'!$E$9+1,1))-AVERAGE(OFFSET($H$3,0,0,'Données projet'!$E$9+1,1))</f>
        <v>242.7456246505439</v>
      </c>
      <c r="T25" s="62">
        <f t="shared" si="34"/>
        <v>195.88560859972426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6.2</v>
      </c>
      <c r="AI25" s="14">
        <f>IF('Données projet'!$A$62&gt;35,AI24+AH25-AQ24,IF(A25&lt;'Données projet'!$A$62,$AF$205^A25,IF(A25='Données projet'!$A$62,'Données projet'!$B$62,AI24+AH25-AQ24)))</f>
        <v>84.62367746176561</v>
      </c>
      <c r="AJ25" s="14">
        <f>AI25*VLOOKUP('Données projet'!$B$10,Paramètres!$A$1:$I$89,3,0)*VLOOKUP('Données projet'!$B$10,Paramètres!$A$1:$I$89,5,0)</f>
        <v>39.603881052106303</v>
      </c>
      <c r="AK25" s="14">
        <f t="shared" si="35"/>
        <v>11.893594799641999</v>
      </c>
      <c r="AL25" s="22">
        <f t="shared" si="4"/>
        <v>89.691437108461628</v>
      </c>
      <c r="AM25" s="62">
        <f t="shared" si="5"/>
        <v>383.02477044179494</v>
      </c>
      <c r="AN25" s="62">
        <f ca="1">AVERAGE(OFFSET($AM$3,0,0,'Données projet'!$E$10+1,1))-AVERAGE(OFFSET($H$3,0,0,'Données projet'!$E$10+1,1))</f>
        <v>211.93796316015613</v>
      </c>
      <c r="AO25" s="62">
        <f t="shared" si="36"/>
        <v>165.73212396548013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11.361999999999998</v>
      </c>
      <c r="D26" s="12">
        <f t="shared" si="32"/>
        <v>3.945953043168259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118.16665507007077</v>
      </c>
      <c r="H26" s="70">
        <f t="shared" si="1"/>
        <v>319.994684883518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7.4285714285714288</v>
      </c>
      <c r="N26" s="14">
        <f>IF('Données projet'!$A$36&gt;35,N25+M26-V25,IF(A26&lt;'Données projet'!$A$36,$K$205^A26,IF(A26='Données projet'!$A$36,'Données projet'!$B$36,N25+M26-V25)))</f>
        <v>170.8571428571428</v>
      </c>
      <c r="O26" s="14">
        <f>N26*VLOOKUP('Données projet'!$B$9,Paramètres!$A$1:$I$89,3,0)*VLOOKUP('Données projet'!$B$9,Paramètres!$A$1:$I$89,5,0)</f>
        <v>79.961142857142832</v>
      </c>
      <c r="P26" s="14">
        <f t="shared" si="33"/>
        <v>22.127683086604236</v>
      </c>
      <c r="Q26" s="22">
        <f t="shared" si="2"/>
        <v>177.80470518535947</v>
      </c>
      <c r="R26" s="62">
        <f t="shared" si="0"/>
        <v>471.13803851869278</v>
      </c>
      <c r="S26" s="62">
        <f ca="1">AVERAGE(OFFSET($R$3,0,0,'Données projet'!$E$9+1,1))-AVERAGE(OFFSET($H$3,0,0,'Données projet'!$E$9+1,1))</f>
        <v>242.7456246505439</v>
      </c>
      <c r="T26" s="62">
        <f t="shared" si="34"/>
        <v>195.88560859972426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6.2</v>
      </c>
      <c r="AI26" s="14">
        <f>IF('Données projet'!$A$62&gt;35,AI25+AH26-AQ25,IF(A26&lt;'Données projet'!$A$62,$AF$205^A26,IF(A26='Données projet'!$A$62,'Données projet'!$B$62,AI25+AH26-AQ25)))</f>
        <v>103.53928517182807</v>
      </c>
      <c r="AJ26" s="14">
        <f>AI26*VLOOKUP('Données projet'!$B$10,Paramètres!$A$1:$I$89,3,0)*VLOOKUP('Données projet'!$B$10,Paramètres!$A$1:$I$89,5,0)</f>
        <v>48.456385460415532</v>
      </c>
      <c r="AK26" s="14">
        <f t="shared" si="35"/>
        <v>14.214389838574796</v>
      </c>
      <c r="AL26" s="22">
        <f t="shared" si="4"/>
        <v>109.15160031240815</v>
      </c>
      <c r="AM26" s="62">
        <f t="shared" si="5"/>
        <v>402.48493364574148</v>
      </c>
      <c r="AN26" s="62">
        <f ca="1">AVERAGE(OFFSET($AM$3,0,0,'Données projet'!$E$10+1,1))-AVERAGE(OFFSET($H$3,0,0,'Données projet'!$E$10+1,1))</f>
        <v>211.93796316015613</v>
      </c>
      <c r="AO26" s="62">
        <f t="shared" si="36"/>
        <v>165.73212396548013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11.855999999999998</v>
      </c>
      <c r="D27" s="12">
        <f t="shared" si="32"/>
        <v>4.0971687359996993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123.14726743578713</v>
      </c>
      <c r="H27" s="70">
        <f t="shared" si="1"/>
        <v>321.11843554853277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7.4285714285714288</v>
      </c>
      <c r="N27" s="14">
        <f>IF('Données projet'!$A$36&gt;35,N26+M27-V26,IF(A27&lt;'Données projet'!$A$36,$K$205^A27,IF(A27='Données projet'!$A$36,'Données projet'!$B$36,N26+M27-V26)))</f>
        <v>178.28571428571422</v>
      </c>
      <c r="O27" s="14">
        <f>N27*VLOOKUP('Données projet'!$B$9,Paramètres!$A$1:$I$89,3,0)*VLOOKUP('Données projet'!$B$9,Paramètres!$A$1:$I$89,5,0)</f>
        <v>83.43771428571425</v>
      </c>
      <c r="P27" s="14">
        <f t="shared" si="33"/>
        <v>22.975653878980633</v>
      </c>
      <c r="Q27" s="22">
        <f t="shared" si="2"/>
        <v>185.33661622017692</v>
      </c>
      <c r="R27" s="62">
        <f t="shared" si="0"/>
        <v>478.66994955351026</v>
      </c>
      <c r="S27" s="62">
        <f ca="1">AVERAGE(OFFSET($R$3,0,0,'Données projet'!$E$9+1,1))-AVERAGE(OFFSET($H$3,0,0,'Données projet'!$E$9+1,1))</f>
        <v>242.7456246505439</v>
      </c>
      <c r="T27" s="62">
        <f t="shared" si="34"/>
        <v>195.88560859972426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6.2</v>
      </c>
      <c r="AI27" s="14">
        <f>IF('Données projet'!$A$62&gt;35,AI26+AH27-AQ26,IF(A27&lt;'Données projet'!$A$62,$AF$205^A27,IF(A27='Données projet'!$A$62,'Données projet'!$B$62,AI26+AH27-AQ26)))</f>
        <v>126.68302649381775</v>
      </c>
      <c r="AJ27" s="14">
        <f>AI27*VLOOKUP('Données projet'!$B$10,Paramètres!$A$1:$I$89,3,0)*VLOOKUP('Données projet'!$B$10,Paramètres!$A$1:$I$89,5,0)</f>
        <v>59.287656399106709</v>
      </c>
      <c r="AK27" s="14">
        <f t="shared" si="35"/>
        <v>16.988041200887402</v>
      </c>
      <c r="AL27" s="22">
        <f t="shared" si="4"/>
        <v>132.84683998665642</v>
      </c>
      <c r="AM27" s="62">
        <f t="shared" si="5"/>
        <v>426.18017331998976</v>
      </c>
      <c r="AN27" s="62">
        <f ca="1">AVERAGE(OFFSET($AM$3,0,0,'Données projet'!$E$10+1,1))-AVERAGE(OFFSET($H$3,0,0,'Données projet'!$E$10+1,1))</f>
        <v>211.93796316015613</v>
      </c>
      <c r="AO27" s="62">
        <f t="shared" si="36"/>
        <v>165.73212396548013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12.349999999999998</v>
      </c>
      <c r="D28" s="12">
        <f t="shared" si="32"/>
        <v>4.2476525846986481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128.12223047837551</v>
      </c>
      <c r="H28" s="70">
        <f t="shared" si="1"/>
        <v>322.24091158501676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7.4285714285714288</v>
      </c>
      <c r="N28" s="14">
        <f>IF('Données projet'!$A$36&gt;35,N27+M28-V27,IF(A28&lt;'Données projet'!$A$36,$K$205^A28,IF(A28='Données projet'!$A$36,'Données projet'!$B$36,N27+M28-V27)))</f>
        <v>185.71428571428564</v>
      </c>
      <c r="O28" s="14">
        <f>N28*VLOOKUP('Données projet'!$B$9,Paramètres!$A$1:$I$89,3,0)*VLOOKUP('Données projet'!$B$9,Paramètres!$A$1:$I$89,5,0)</f>
        <v>86.914285714285683</v>
      </c>
      <c r="P28" s="14">
        <f t="shared" si="33"/>
        <v>23.819520716024705</v>
      </c>
      <c r="Q28" s="22">
        <f t="shared" si="2"/>
        <v>192.86137953279058</v>
      </c>
      <c r="R28" s="62">
        <f t="shared" si="0"/>
        <v>486.19471286612389</v>
      </c>
      <c r="S28" s="62">
        <f ca="1">AVERAGE(OFFSET($R$3,0,0,'Données projet'!$E$9+1,1))-AVERAGE(OFFSET($H$3,0,0,'Données projet'!$E$9+1,1))</f>
        <v>242.7456246505439</v>
      </c>
      <c r="T28" s="62">
        <f t="shared" si="34"/>
        <v>195.88560859972426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155</v>
      </c>
      <c r="AG28" s="13">
        <f>VLOOKUP(A28,'Données projet'!$A$61:$I$81,9,0)</f>
        <v>6.2</v>
      </c>
      <c r="AH28" s="13">
        <f t="array" ref="AH28">INDEX(AG:AG,MIN(IF(ISNUMBER(AG28:AG224),ROW(AG28:AG224),"")))</f>
        <v>6.2</v>
      </c>
      <c r="AI28" s="14">
        <f>IF('Données projet'!$A$62&gt;35,AI27+AH28-AQ27,IF(A28&lt;'Données projet'!$A$62,$AF$205^A28,IF(A28='Données projet'!$A$62,'Données projet'!$B$62,AI27+AH28-AQ27)))</f>
        <v>155</v>
      </c>
      <c r="AJ28" s="14">
        <f>AI28*VLOOKUP('Données projet'!$B$10,Paramètres!$A$1:$I$89,3,0)*VLOOKUP('Données projet'!$B$10,Paramètres!$A$1:$I$89,5,0)</f>
        <v>72.539999999999992</v>
      </c>
      <c r="AK28" s="14">
        <f t="shared" si="35"/>
        <v>20.302914660456786</v>
      </c>
      <c r="AL28" s="22">
        <f t="shared" si="4"/>
        <v>161.70140970029556</v>
      </c>
      <c r="AM28" s="62">
        <f t="shared" si="5"/>
        <v>455.03474303362884</v>
      </c>
      <c r="AN28" s="62">
        <f ca="1">AVERAGE(OFFSET($AM$3,0,0,'Données projet'!$E$10+1,1))-AVERAGE(OFFSET($H$3,0,0,'Données projet'!$E$10+1,1))</f>
        <v>211.93796316015613</v>
      </c>
      <c r="AO28" s="62">
        <f t="shared" si="36"/>
        <v>165.73212396548013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52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0.5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13.777002596302035</v>
      </c>
      <c r="AX28" s="23">
        <f t="shared" si="6"/>
        <v>13.777002596302035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12.843999999999998</v>
      </c>
      <c r="D29" s="12">
        <f t="shared" si="32"/>
        <v>4.3974372122609191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133.09179602447026</v>
      </c>
      <c r="H29" s="70">
        <f t="shared" si="1"/>
        <v>323.36216981135442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7.4285714285714288</v>
      </c>
      <c r="N29" s="14">
        <f>IF('Données projet'!$A$36&gt;35,N28+M29-V28,IF(A29&lt;'Données projet'!$A$36,$K$205^A29,IF(A29='Données projet'!$A$36,'Données projet'!$B$36,N28+M29-V28)))</f>
        <v>193.14285714285705</v>
      </c>
      <c r="O29" s="14">
        <f>N29*VLOOKUP('Données projet'!$B$9,Paramètres!$A$1:$I$89,3,0)*VLOOKUP('Données projet'!$B$9,Paramètres!$A$1:$I$89,5,0)</f>
        <v>90.390857142857101</v>
      </c>
      <c r="P29" s="14">
        <f t="shared" si="33"/>
        <v>24.659466537397652</v>
      </c>
      <c r="Q29" s="22">
        <f t="shared" si="2"/>
        <v>200.37931374311032</v>
      </c>
      <c r="R29" s="62">
        <f t="shared" si="0"/>
        <v>493.71264707644366</v>
      </c>
      <c r="S29" s="62">
        <f ca="1">AVERAGE(OFFSET($R$3,0,0,'Données projet'!$E$9+1,1))-AVERAGE(OFFSET($H$3,0,0,'Données projet'!$E$9+1,1))</f>
        <v>242.7456246505439</v>
      </c>
      <c r="T29" s="62">
        <f t="shared" si="34"/>
        <v>195.88560859972426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27.5</v>
      </c>
      <c r="AI29" s="14">
        <f>IF('Données projet'!$A$62&gt;35,AI28+AH29-AQ28,IF(A29&lt;'Données projet'!$A$62,$AF$205^A29,IF(A29='Données projet'!$A$62,'Données projet'!$B$62,AI28+AH29-AQ28)))</f>
        <v>130.5</v>
      </c>
      <c r="AJ29" s="14">
        <f>AI29*VLOOKUP('Données projet'!$B$10,Paramètres!$A$1:$I$89,3,0)*VLOOKUP('Données projet'!$B$10,Paramètres!$A$1:$I$89,5,0)</f>
        <v>61.073999999999998</v>
      </c>
      <c r="AK29" s="14">
        <f t="shared" si="35"/>
        <v>17.439528890067717</v>
      </c>
      <c r="AL29" s="22">
        <f t="shared" si="4"/>
        <v>136.74439615020125</v>
      </c>
      <c r="AM29" s="62">
        <f t="shared" si="5"/>
        <v>430.07772948353454</v>
      </c>
      <c r="AN29" s="62">
        <f ca="1">AVERAGE(OFFSET($AM$3,0,0,'Données projet'!$E$10+1,1))-AVERAGE(OFFSET($H$3,0,0,'Données projet'!$E$10+1,1))</f>
        <v>211.93796316015613</v>
      </c>
      <c r="AO29" s="62">
        <f t="shared" si="36"/>
        <v>165.73212396548013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9.7418119602698408</v>
      </c>
      <c r="AX29" s="23">
        <f t="shared" si="6"/>
        <v>9.7418119602698408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13.337999999999997</v>
      </c>
      <c r="D30" s="12">
        <f t="shared" si="32"/>
        <v>4.5465525901071517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138.05619543240607</v>
      </c>
      <c r="H30" s="70">
        <f t="shared" si="1"/>
        <v>324.48226242776991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7.4285714285714288</v>
      </c>
      <c r="N30" s="14">
        <f>IF('Données projet'!$A$36&gt;35,N29+M30-V29,IF(A30&lt;'Données projet'!$A$36,$K$205^A30,IF(A30='Données projet'!$A$36,'Données projet'!$B$36,N29+M30-V29)))</f>
        <v>200.57142857142847</v>
      </c>
      <c r="O30" s="14">
        <f>N30*VLOOKUP('Données projet'!$B$9,Paramètres!$A$1:$I$89,3,0)*VLOOKUP('Données projet'!$B$9,Paramètres!$A$1:$I$89,5,0)</f>
        <v>93.867428571428533</v>
      </c>
      <c r="P30" s="14">
        <f t="shared" si="33"/>
        <v>25.495659413547877</v>
      </c>
      <c r="Q30" s="22">
        <f t="shared" si="2"/>
        <v>207.89071157383387</v>
      </c>
      <c r="R30" s="62">
        <f t="shared" si="0"/>
        <v>501.22404490716718</v>
      </c>
      <c r="S30" s="62">
        <f ca="1">AVERAGE(OFFSET($R$3,0,0,'Données projet'!$E$9+1,1))-AVERAGE(OFFSET($H$3,0,0,'Données projet'!$E$9+1,1))</f>
        <v>242.7456246505439</v>
      </c>
      <c r="T30" s="62">
        <f t="shared" si="34"/>
        <v>195.88560859972426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27.5</v>
      </c>
      <c r="AI30" s="14">
        <f>IF('Données projet'!$A$62&gt;35,AI29+AH30-AQ29,IF(A30&lt;'Données projet'!$A$62,$AF$205^A30,IF(A30='Données projet'!$A$62,'Données projet'!$B$62,AI29+AH30-AQ29)))</f>
        <v>158</v>
      </c>
      <c r="AJ30" s="14">
        <f>AI30*VLOOKUP('Données projet'!$B$10,Paramètres!$A$1:$I$89,3,0)*VLOOKUP('Données projet'!$B$10,Paramètres!$A$1:$I$89,5,0)</f>
        <v>73.944000000000003</v>
      </c>
      <c r="AK30" s="14">
        <f t="shared" si="35"/>
        <v>20.649745460165708</v>
      </c>
      <c r="AL30" s="22">
        <f t="shared" si="4"/>
        <v>164.75077334312192</v>
      </c>
      <c r="AM30" s="62">
        <f t="shared" si="5"/>
        <v>458.08410667645524</v>
      </c>
      <c r="AN30" s="62">
        <f ca="1">AVERAGE(OFFSET($AM$3,0,0,'Données projet'!$E$10+1,1))-AVERAGE(OFFSET($H$3,0,0,'Données projet'!$E$10+1,1))</f>
        <v>211.93796316015613</v>
      </c>
      <c r="AO30" s="62">
        <f t="shared" si="36"/>
        <v>165.73212396548013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6.8885012981510183</v>
      </c>
      <c r="AX30" s="23">
        <f t="shared" si="6"/>
        <v>6.8885012981510183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13.831999999999997</v>
      </c>
      <c r="D31" s="12">
        <f t="shared" si="32"/>
        <v>4.6950263437621773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143.01564195184838</v>
      </c>
      <c r="H31" s="70">
        <f t="shared" si="1"/>
        <v>325.6012375487191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7.4285714285714288</v>
      </c>
      <c r="N31" s="14">
        <f>IF('Données projet'!$A$36&gt;35,N30+M31-V30,IF(A31&lt;'Données projet'!$A$36,$K$205^A31,IF(A31='Données projet'!$A$36,'Données projet'!$B$36,N30+M31-V30)))</f>
        <v>207.99999999999989</v>
      </c>
      <c r="O31" s="14">
        <f>N31*VLOOKUP('Données projet'!$B$9,Paramètres!$A$1:$I$89,3,0)*VLOOKUP('Données projet'!$B$9,Paramètres!$A$1:$I$89,5,0)</f>
        <v>97.343999999999937</v>
      </c>
      <c r="P31" s="14">
        <f t="shared" si="33"/>
        <v>26.328254259866451</v>
      </c>
      <c r="Q31" s="22">
        <f t="shared" si="2"/>
        <v>215.39584283593396</v>
      </c>
      <c r="R31" s="62">
        <f t="shared" si="0"/>
        <v>508.72917616926725</v>
      </c>
      <c r="S31" s="62">
        <f ca="1">AVERAGE(OFFSET($R$3,0,0,'Données projet'!$E$9+1,1))-AVERAGE(OFFSET($H$3,0,0,'Données projet'!$E$9+1,1))</f>
        <v>242.7456246505439</v>
      </c>
      <c r="T31" s="62">
        <f t="shared" si="34"/>
        <v>195.88560859972426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27.5</v>
      </c>
      <c r="AI31" s="14">
        <f>IF('Données projet'!$A$62&gt;35,AI30+AH31-AQ30,IF(A31&lt;'Données projet'!$A$62,$AF$205^A31,IF(A31='Données projet'!$A$62,'Données projet'!$B$62,AI30+AH31-AQ30)))</f>
        <v>185.5</v>
      </c>
      <c r="AJ31" s="14">
        <f>AI31*VLOOKUP('Données projet'!$B$10,Paramètres!$A$1:$I$89,3,0)*VLOOKUP('Données projet'!$B$10,Paramètres!$A$1:$I$89,5,0)</f>
        <v>86.814000000000007</v>
      </c>
      <c r="AK31" s="14">
        <f t="shared" si="35"/>
        <v>23.79523416699303</v>
      </c>
      <c r="AL31" s="22">
        <f t="shared" si="4"/>
        <v>192.6444161741795</v>
      </c>
      <c r="AM31" s="62">
        <f t="shared" si="5"/>
        <v>485.97774950751284</v>
      </c>
      <c r="AN31" s="62">
        <f ca="1">AVERAGE(OFFSET($AM$3,0,0,'Données projet'!$E$10+1,1))-AVERAGE(OFFSET($H$3,0,0,'Données projet'!$E$10+1,1))</f>
        <v>211.93796316015613</v>
      </c>
      <c r="AO31" s="62">
        <f t="shared" si="36"/>
        <v>165.73212396548013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4.8709059801349213</v>
      </c>
      <c r="AX31" s="23">
        <f t="shared" si="6"/>
        <v>4.8709059801349213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14.325999999999997</v>
      </c>
      <c r="D32" s="12">
        <f t="shared" si="32"/>
        <v>4.8428840136387867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147.9703327368608</v>
      </c>
      <c r="H32" s="70">
        <f t="shared" si="1"/>
        <v>326.71913965708751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7.4285714285714288</v>
      </c>
      <c r="N32" s="14">
        <f>IF('Données projet'!$A$36&gt;35,N31+M32-V31,IF(A32&lt;'Données projet'!$A$36,$K$205^A32,IF(A32='Données projet'!$A$36,'Données projet'!$B$36,N31+M32-V31)))</f>
        <v>215.4285714285713</v>
      </c>
      <c r="O32" s="14">
        <f>N32*VLOOKUP('Données projet'!$B$9,Paramètres!$A$1:$I$89,3,0)*VLOOKUP('Données projet'!$B$9,Paramètres!$A$1:$I$89,5,0)</f>
        <v>100.82057142857137</v>
      </c>
      <c r="P32" s="14">
        <f t="shared" si="33"/>
        <v>27.157394299081524</v>
      </c>
      <c r="Q32" s="22">
        <f t="shared" si="2"/>
        <v>222.89495697566213</v>
      </c>
      <c r="R32" s="62">
        <f t="shared" si="0"/>
        <v>516.22829030899538</v>
      </c>
      <c r="S32" s="62">
        <f ca="1">AVERAGE(OFFSET($R$3,0,0,'Données projet'!$E$9+1,1))-AVERAGE(OFFSET($H$3,0,0,'Données projet'!$E$9+1,1))</f>
        <v>242.7456246505439</v>
      </c>
      <c r="T32" s="62">
        <f t="shared" si="34"/>
        <v>195.88560859972426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>
        <f>VLOOKUP(A32,'Données projet'!$A$61:$I$81,2,0)</f>
        <v>213</v>
      </c>
      <c r="AG32" s="13">
        <f>VLOOKUP(A32,'Données projet'!$A$61:$I$81,9,0)</f>
        <v>27.5</v>
      </c>
      <c r="AH32" s="13">
        <f t="array" ref="AH32">INDEX(AG:AG,MIN(IF(ISNUMBER(AG32:AG228),ROW(AG32:AG228),"")))</f>
        <v>27.5</v>
      </c>
      <c r="AI32" s="14">
        <f>IF('Données projet'!$A$62&gt;35,AI31+AH32-AQ31,IF(A32&lt;'Données projet'!$A$62,$AF$205^A32,IF(A32='Données projet'!$A$62,'Données projet'!$B$62,AI31+AH32-AQ31)))</f>
        <v>213</v>
      </c>
      <c r="AJ32" s="14">
        <f>AI32*VLOOKUP('Données projet'!$B$10,Paramètres!$A$1:$I$89,3,0)*VLOOKUP('Données projet'!$B$10,Paramètres!$A$1:$I$89,5,0)</f>
        <v>99.683999999999997</v>
      </c>
      <c r="AK32" s="14">
        <f t="shared" si="35"/>
        <v>26.886701044194457</v>
      </c>
      <c r="AL32" s="22">
        <f t="shared" si="4"/>
        <v>220.44397098530533</v>
      </c>
      <c r="AM32" s="62">
        <f t="shared" si="5"/>
        <v>513.7773043186387</v>
      </c>
      <c r="AN32" s="62">
        <f ca="1">AVERAGE(OFFSET($AM$3,0,0,'Données projet'!$E$10+1,1))-AVERAGE(OFFSET($H$3,0,0,'Données projet'!$E$10+1,1))</f>
        <v>211.93796316015613</v>
      </c>
      <c r="AO32" s="62">
        <f t="shared" si="36"/>
        <v>165.73212396548013</v>
      </c>
      <c r="AP32" s="16">
        <f>IF(ISNA(VLOOKUP(A32,'Données projet'!$A$61:$I$81,3,0)),0,VLOOKUP(A32,'Données projet'!$A$61:$I$81,3,0))</f>
        <v>2</v>
      </c>
      <c r="AQ32" s="16">
        <f>IF(ISNA(VLOOKUP(A32,'Données projet'!$A$61:$I$81,4,0)),0,VLOOKUP(A32,'Données projet'!$A$61:$I$81,4,0))</f>
        <v>52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0.5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17.221253245377543</v>
      </c>
      <c r="AX32" s="23">
        <f t="shared" si="6"/>
        <v>17.221253245377543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14.819999999999997</v>
      </c>
      <c r="D33" s="12">
        <f t="shared" si="32"/>
        <v>4.9901492788407467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152.92045057350751</v>
      </c>
      <c r="H33" s="70">
        <f t="shared" si="1"/>
        <v>327.83600999398095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7.4285714285714288</v>
      </c>
      <c r="N33" s="14">
        <f>IF('Données projet'!$A$36&gt;35,N32+M33-V32,IF(A33&lt;'Données projet'!$A$36,$K$205^A33,IF(A33='Données projet'!$A$36,'Données projet'!$B$36,N32+M33-V32)))</f>
        <v>222.85714285714272</v>
      </c>
      <c r="O33" s="14">
        <f>N33*VLOOKUP('Données projet'!$B$9,Paramètres!$A$1:$I$89,3,0)*VLOOKUP('Données projet'!$B$9,Paramètres!$A$1:$I$89,5,0)</f>
        <v>104.29714285714279</v>
      </c>
      <c r="P33" s="14">
        <f t="shared" si="33"/>
        <v>27.983212316276475</v>
      </c>
      <c r="Q33" s="22">
        <f t="shared" si="2"/>
        <v>230.38828526037184</v>
      </c>
      <c r="R33" s="62">
        <f t="shared" si="0"/>
        <v>523.72161859370522</v>
      </c>
      <c r="S33" s="62">
        <f ca="1">AVERAGE(OFFSET($R$3,0,0,'Données projet'!$E$9+1,1))-AVERAGE(OFFSET($H$3,0,0,'Données projet'!$E$9+1,1))</f>
        <v>242.7456246505439</v>
      </c>
      <c r="T33" s="62">
        <f t="shared" si="34"/>
        <v>195.88560859972426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32</v>
      </c>
      <c r="AI33" s="14">
        <f>IF('Données projet'!$A$62&gt;35,AI32+AH33-AQ32,IF(A33&lt;'Données projet'!$A$62,$AF$205^A33,IF(A33='Données projet'!$A$62,'Données projet'!$B$62,AI32+AH33-AQ32)))</f>
        <v>193</v>
      </c>
      <c r="AJ33" s="14">
        <f>AI33*VLOOKUP('Données projet'!$B$10,Paramètres!$A$1:$I$89,3,0)*VLOOKUP('Données projet'!$B$10,Paramètres!$A$1:$I$89,5,0)</f>
        <v>90.324000000000012</v>
      </c>
      <c r="AK33" s="14">
        <f t="shared" si="35"/>
        <v>24.643349641795833</v>
      </c>
      <c r="AL33" s="22">
        <f t="shared" si="4"/>
        <v>200.23480062612774</v>
      </c>
      <c r="AM33" s="62">
        <f t="shared" si="5"/>
        <v>493.56813395946108</v>
      </c>
      <c r="AN33" s="62">
        <f ca="1">AVERAGE(OFFSET($AM$3,0,0,'Données projet'!$E$10+1,1))-AVERAGE(OFFSET($H$3,0,0,'Données projet'!$E$10+1,1))</f>
        <v>211.93796316015613</v>
      </c>
      <c r="AO33" s="62">
        <f t="shared" si="36"/>
        <v>165.73212396548013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12.177264950337301</v>
      </c>
      <c r="AX33" s="23">
        <f t="shared" si="6"/>
        <v>12.177264950337301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15.313999999999997</v>
      </c>
      <c r="D34" s="12">
        <f t="shared" si="32"/>
        <v>5.1368441502871578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157.86616537063767</v>
      </c>
      <c r="H34" s="70">
        <f t="shared" si="1"/>
        <v>328.95188689508342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7.4285714285714288</v>
      </c>
      <c r="N34" s="14">
        <f>IF('Données projet'!$A$36&gt;35,N33+M34-V33,IF(A34&lt;'Données projet'!$A$36,$K$205^A34,IF(A34='Données projet'!$A$36,'Données projet'!$B$36,N33+M34-V33)))</f>
        <v>230.28571428571414</v>
      </c>
      <c r="O34" s="14">
        <f>N34*VLOOKUP('Données projet'!$B$9,Paramètres!$A$1:$I$89,3,0)*VLOOKUP('Données projet'!$B$9,Paramètres!$A$1:$I$89,5,0)</f>
        <v>107.77371428571422</v>
      </c>
      <c r="P34" s="14">
        <f t="shared" si="33"/>
        <v>28.805831741871607</v>
      </c>
      <c r="Q34" s="22">
        <f t="shared" si="2"/>
        <v>237.87604266471195</v>
      </c>
      <c r="R34" s="62">
        <f t="shared" si="0"/>
        <v>531.20937599804529</v>
      </c>
      <c r="S34" s="62">
        <f ca="1">AVERAGE(OFFSET($R$3,0,0,'Données projet'!$E$9+1,1))-AVERAGE(OFFSET($H$3,0,0,'Données projet'!$E$9+1,1))</f>
        <v>242.7456246505439</v>
      </c>
      <c r="T34" s="62">
        <f t="shared" si="34"/>
        <v>195.88560859972426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32</v>
      </c>
      <c r="AI34" s="14">
        <f>IF('Données projet'!$A$62&gt;35,AI33+AH34-AQ33,IF(A34&lt;'Données projet'!$A$62,$AF$205^A34,IF(A34='Données projet'!$A$62,'Données projet'!$B$62,AI33+AH34-AQ33)))</f>
        <v>225</v>
      </c>
      <c r="AJ34" s="14">
        <f>AI34*VLOOKUP('Données projet'!$B$10,Paramètres!$A$1:$I$89,3,0)*VLOOKUP('Données projet'!$B$10,Paramètres!$A$1:$I$89,5,0)</f>
        <v>105.3</v>
      </c>
      <c r="AK34" s="14">
        <f t="shared" si="35"/>
        <v>28.220829418515034</v>
      </c>
      <c r="AL34" s="22">
        <f t="shared" si="4"/>
        <v>232.54877790391367</v>
      </c>
      <c r="AM34" s="62">
        <f t="shared" si="5"/>
        <v>525.88211123724705</v>
      </c>
      <c r="AN34" s="62">
        <f ca="1">AVERAGE(OFFSET($AM$3,0,0,'Données projet'!$E$10+1,1))-AVERAGE(OFFSET($H$3,0,0,'Données projet'!$E$10+1,1))</f>
        <v>211.93796316015613</v>
      </c>
      <c r="AO34" s="62">
        <f t="shared" si="36"/>
        <v>165.73212396548013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8.6106266226887733</v>
      </c>
      <c r="AX34" s="23">
        <f t="shared" si="6"/>
        <v>8.6106266226887733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15.807999999999996</v>
      </c>
      <c r="D35" s="12">
        <f t="shared" si="32"/>
        <v>5.2829891382175349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162.80763545290725</v>
      </c>
      <c r="H35" s="70">
        <f t="shared" si="1"/>
        <v>330.06680608239549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7.4285714285714288</v>
      </c>
      <c r="N35" s="14">
        <f>IF('Données projet'!$A$36&gt;35,N34+M35-V34,IF(A35&lt;'Données projet'!$A$36,$K$205^A35,IF(A35='Données projet'!$A$36,'Données projet'!$B$36,N34+M35-V34)))</f>
        <v>237.71428571428555</v>
      </c>
      <c r="O35" s="14">
        <f>N35*VLOOKUP('Données projet'!$B$9,Paramètres!$A$1:$I$89,3,0)*VLOOKUP('Données projet'!$B$9,Paramètres!$A$1:$I$89,5,0)</f>
        <v>111.25028571428562</v>
      </c>
      <c r="P35" s="14">
        <f t="shared" si="33"/>
        <v>29.625367590940503</v>
      </c>
      <c r="Q35" s="22">
        <f t="shared" ref="Q35:Q66" si="53">(O35+P35)*0.475*44/12</f>
        <v>245.35842950660216</v>
      </c>
      <c r="R35" s="62">
        <f t="shared" si="0"/>
        <v>538.69176283993545</v>
      </c>
      <c r="S35" s="62">
        <f ca="1">AVERAGE(OFFSET($R$3,0,0,'Données projet'!$E$9+1,1))-AVERAGE(OFFSET($H$3,0,0,'Données projet'!$E$9+1,1))</f>
        <v>242.7456246505439</v>
      </c>
      <c r="T35" s="62">
        <f t="shared" si="34"/>
        <v>195.88560859972426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32</v>
      </c>
      <c r="AI35" s="14">
        <f>IF('Données projet'!$A$62&gt;35,AI34+AH35-AQ34,IF(A35&lt;'Données projet'!$A$62,$AF$205^A35,IF(A35='Données projet'!$A$62,'Données projet'!$B$62,AI34+AH35-AQ34)))</f>
        <v>257</v>
      </c>
      <c r="AJ35" s="14">
        <f>AI35*VLOOKUP('Données projet'!$B$10,Paramètres!$A$1:$I$89,3,0)*VLOOKUP('Données projet'!$B$10,Paramètres!$A$1:$I$89,5,0)</f>
        <v>120.276</v>
      </c>
      <c r="AK35" s="14">
        <f t="shared" si="35"/>
        <v>31.739363152156315</v>
      </c>
      <c r="AL35" s="22">
        <f t="shared" si="4"/>
        <v>264.76009082333889</v>
      </c>
      <c r="AM35" s="62">
        <f t="shared" si="5"/>
        <v>558.0934241566722</v>
      </c>
      <c r="AN35" s="62">
        <f ca="1">AVERAGE(OFFSET($AM$3,0,0,'Données projet'!$E$10+1,1))-AVERAGE(OFFSET($H$3,0,0,'Données projet'!$E$10+1,1))</f>
        <v>211.93796316015613</v>
      </c>
      <c r="AO35" s="62">
        <f t="shared" si="36"/>
        <v>165.73212396548013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6.0886324751686516</v>
      </c>
      <c r="AX35" s="23">
        <f t="shared" si="6"/>
        <v>6.0886324751686516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16.301999999999996</v>
      </c>
      <c r="D36" s="12">
        <f t="shared" si="32"/>
        <v>5.4286033981705613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167.74500868763238</v>
      </c>
      <c r="H36" s="70">
        <f t="shared" si="1"/>
        <v>331.18080091848037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7.4285714285714288</v>
      </c>
      <c r="N36" s="14">
        <f>IF('Données projet'!$A$36&gt;35,N35+M36-V35,IF(A36&lt;'Données projet'!$A$36,$K$205^A36,IF(A36='Données projet'!$A$36,'Données projet'!$B$36,N35+M36-V35)))</f>
        <v>245.14285714285697</v>
      </c>
      <c r="O36" s="14">
        <f>N36*VLOOKUP('Données projet'!$B$9,Paramètres!$A$1:$I$89,3,0)*VLOOKUP('Données projet'!$B$9,Paramètres!$A$1:$I$89,5,0)</f>
        <v>114.72685714285706</v>
      </c>
      <c r="P36" s="14">
        <f t="shared" si="33"/>
        <v>30.441927281814039</v>
      </c>
      <c r="Q36" s="22">
        <f t="shared" si="53"/>
        <v>252.83563287296877</v>
      </c>
      <c r="R36" s="62">
        <f t="shared" si="0"/>
        <v>546.16896620630212</v>
      </c>
      <c r="S36" s="62">
        <f ca="1">AVERAGE(OFFSET($R$3,0,0,'Données projet'!$E$9+1,1))-AVERAGE(OFFSET($H$3,0,0,'Données projet'!$E$9+1,1))</f>
        <v>242.7456246505439</v>
      </c>
      <c r="T36" s="62">
        <f t="shared" si="34"/>
        <v>195.88560859972426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32</v>
      </c>
      <c r="AI36" s="14">
        <f>IF('Données projet'!$A$62&gt;35,AI35+AH36-AQ35,IF(A36&lt;'Données projet'!$A$62,$AF$205^A36,IF(A36='Données projet'!$A$62,'Données projet'!$B$62,AI35+AH36-AQ35)))</f>
        <v>289</v>
      </c>
      <c r="AJ36" s="14">
        <f>AI36*VLOOKUP('Données projet'!$B$10,Paramètres!$A$1:$I$89,3,0)*VLOOKUP('Données projet'!$B$10,Paramètres!$A$1:$I$89,5,0)</f>
        <v>135.25199999999998</v>
      </c>
      <c r="AK36" s="14">
        <f t="shared" si="35"/>
        <v>35.207130861518152</v>
      </c>
      <c r="AL36" s="22">
        <f t="shared" si="4"/>
        <v>296.88298625047742</v>
      </c>
      <c r="AM36" s="62">
        <f t="shared" si="5"/>
        <v>590.21631958381067</v>
      </c>
      <c r="AN36" s="62">
        <f ca="1">AVERAGE(OFFSET($AM$3,0,0,'Données projet'!$E$10+1,1))-AVERAGE(OFFSET($H$3,0,0,'Données projet'!$E$10+1,1))</f>
        <v>211.93796316015613</v>
      </c>
      <c r="AO36" s="62">
        <f t="shared" si="36"/>
        <v>165.73212396548013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4.3053133113443876</v>
      </c>
      <c r="AX36" s="23">
        <f t="shared" si="6"/>
        <v>4.3053133113443876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16.795999999999996</v>
      </c>
      <c r="D37" s="12">
        <f t="shared" si="32"/>
        <v>5.5737048587712827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172.67842347121689</v>
      </c>
      <c r="H37" s="70">
        <f t="shared" si="1"/>
        <v>332.2939026290266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7.4285714285714288</v>
      </c>
      <c r="N37" s="14">
        <f>IF('Données projet'!$A$36&gt;35,N36+M37-V36,IF(A37&lt;'Données projet'!$A$36,$K$205^A37,IF(A37='Données projet'!$A$36,'Données projet'!$B$36,N36+M37-V36)))</f>
        <v>252.57142857142838</v>
      </c>
      <c r="O37" s="14">
        <f>N37*VLOOKUP('Données projet'!$B$9,Paramètres!$A$1:$I$89,3,0)*VLOOKUP('Données projet'!$B$9,Paramètres!$A$1:$I$89,5,0)</f>
        <v>118.20342857142849</v>
      </c>
      <c r="P37" s="14">
        <f t="shared" si="33"/>
        <v>31.25561135267116</v>
      </c>
      <c r="Q37" s="22">
        <f t="shared" si="53"/>
        <v>260.30782786780691</v>
      </c>
      <c r="R37" s="62">
        <f t="shared" si="0"/>
        <v>553.64116120114022</v>
      </c>
      <c r="S37" s="62">
        <f ca="1">AVERAGE(OFFSET($R$3,0,0,'Données projet'!$E$9+1,1))-AVERAGE(OFFSET($H$3,0,0,'Données projet'!$E$9+1,1))</f>
        <v>242.7456246505439</v>
      </c>
      <c r="T37" s="62">
        <f t="shared" si="34"/>
        <v>195.88560859972426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>
        <f>VLOOKUP(A37,'Données projet'!$A$61:$I$81,2,0)</f>
        <v>321</v>
      </c>
      <c r="AG37" s="13">
        <f>VLOOKUP(A37,'Données projet'!$A$61:$I$81,9,0)</f>
        <v>32</v>
      </c>
      <c r="AH37" s="13">
        <f t="array" ref="AH37">INDEX(AG:AG,MIN(IF(ISNUMBER(AG37:AG233),ROW(AG37:AG233),"")))</f>
        <v>32</v>
      </c>
      <c r="AI37" s="14">
        <f>IF('Données projet'!$A$62&gt;35,AI36+AH37-AQ36,IF(A37&lt;'Données projet'!$A$62,$AF$205^A37,IF(A37='Données projet'!$A$62,'Données projet'!$B$62,AI36+AH37-AQ36)))</f>
        <v>321</v>
      </c>
      <c r="AJ37" s="14">
        <f>AI37*VLOOKUP('Données projet'!$B$10,Paramètres!$A$1:$I$89,3,0)*VLOOKUP('Données projet'!$B$10,Paramètres!$A$1:$I$89,5,0)</f>
        <v>150.22800000000001</v>
      </c>
      <c r="AK37" s="14">
        <f t="shared" si="35"/>
        <v>38.630394857933659</v>
      </c>
      <c r="AL37" s="22">
        <f t="shared" si="4"/>
        <v>328.92837104423444</v>
      </c>
      <c r="AM37" s="62">
        <f t="shared" si="5"/>
        <v>622.26170437756775</v>
      </c>
      <c r="AN37" s="62">
        <f ca="1">AVERAGE(OFFSET($AM$3,0,0,'Données projet'!$E$10+1,1))-AVERAGE(OFFSET($H$3,0,0,'Données projet'!$E$10+1,1))</f>
        <v>211.93796316015613</v>
      </c>
      <c r="AO37" s="62">
        <f t="shared" si="36"/>
        <v>165.73212396548013</v>
      </c>
      <c r="AP37" s="16">
        <f>IF(ISNA(VLOOKUP(A37,'Données projet'!$A$61:$I$81,3,0)),0,VLOOKUP(A37,'Données projet'!$A$61:$I$81,3,0))</f>
        <v>3</v>
      </c>
      <c r="AQ37" s="16">
        <f>IF(ISNA(VLOOKUP(A37,'Données projet'!$A$61:$I$81,4,0)),0,VLOOKUP(A37,'Données projet'!$A$61:$I$81,4,0))</f>
        <v>65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3.0443162375843262</v>
      </c>
      <c r="AX37" s="23">
        <f t="shared" si="6"/>
        <v>3.0443162375843262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17.289999999999996</v>
      </c>
      <c r="D38" s="12">
        <f t="shared" si="32"/>
        <v>5.7183103340620756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177.60800959626863</v>
      </c>
      <c r="H38" s="70">
        <f t="shared" si="1"/>
        <v>333.40614049849142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7.4285714285714288</v>
      </c>
      <c r="N38" s="14">
        <f>IF('Données projet'!$A$36&gt;35,N37+M38-V37,IF(A38&lt;'Données projet'!$A$36,$K$205^A38,IF(A38='Données projet'!$A$36,'Données projet'!$B$36,N37+M38-V37)))</f>
        <v>259.99999999999983</v>
      </c>
      <c r="O38" s="14">
        <f>N38*VLOOKUP('Données projet'!$B$9,Paramètres!$A$1:$I$89,3,0)*VLOOKUP('Données projet'!$B$9,Paramètres!$A$1:$I$89,5,0)</f>
        <v>121.67999999999992</v>
      </c>
      <c r="P38" s="14">
        <f t="shared" si="33"/>
        <v>32.066514091456256</v>
      </c>
      <c r="Q38" s="22">
        <f t="shared" si="53"/>
        <v>267.77517870928608</v>
      </c>
      <c r="R38" s="62">
        <f t="shared" si="0"/>
        <v>561.1085120426194</v>
      </c>
      <c r="S38" s="62">
        <f ca="1">AVERAGE(OFFSET($R$3,0,0,'Données projet'!$E$9+1,1))-AVERAGE(OFFSET($H$3,0,0,'Données projet'!$E$9+1,1))</f>
        <v>242.7456246505439</v>
      </c>
      <c r="T38" s="62">
        <f t="shared" si="34"/>
        <v>195.88560859972426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32.4</v>
      </c>
      <c r="AI38" s="14">
        <f>IF('Données projet'!$A$62&gt;35,AI37+AH38-AQ37,IF(A38&lt;'Données projet'!$A$62,$AF$205^A38,IF(A38='Données projet'!$A$62,'Données projet'!$B$62,AI37+AH38-AQ37)))</f>
        <v>288.39999999999998</v>
      </c>
      <c r="AJ38" s="14">
        <f>AI38*VLOOKUP('Données projet'!$B$10,Paramètres!$A$1:$I$89,3,0)*VLOOKUP('Données projet'!$B$10,Paramètres!$A$1:$I$89,5,0)</f>
        <v>134.97119999999998</v>
      </c>
      <c r="AK38" s="14">
        <f t="shared" si="35"/>
        <v>35.142536849088657</v>
      </c>
      <c r="AL38" s="22">
        <f t="shared" si="4"/>
        <v>296.28142501216269</v>
      </c>
      <c r="AM38" s="62">
        <f t="shared" si="5"/>
        <v>589.61475834549606</v>
      </c>
      <c r="AN38" s="62">
        <f ca="1">AVERAGE(OFFSET($AM$3,0,0,'Données projet'!$E$10+1,1))-AVERAGE(OFFSET($H$3,0,0,'Données projet'!$E$10+1,1))</f>
        <v>211.93796316015613</v>
      </c>
      <c r="AO38" s="62">
        <f t="shared" si="36"/>
        <v>165.73212396548013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2.1526566556721938</v>
      </c>
      <c r="AX38" s="23">
        <f t="shared" si="6"/>
        <v>2.1526566556721938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17.783999999999995</v>
      </c>
      <c r="D39" s="12">
        <f t="shared" si="32"/>
        <v>5.8624356226349592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182.53388901683124</v>
      </c>
      <c r="H39" s="70">
        <f t="shared" si="1"/>
        <v>334.51754204275585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7.4285714285714288</v>
      </c>
      <c r="N39" s="14">
        <f>IF('Données projet'!$A$36&gt;35,N38+M39-V38,IF(A39&lt;'Données projet'!$A$36,$K$205^A39,IF(A39='Données projet'!$A$36,'Données projet'!$B$36,N38+M39-V38)))</f>
        <v>267.42857142857127</v>
      </c>
      <c r="O39" s="14">
        <f>N39*VLOOKUP('Données projet'!$B$9,Paramètres!$A$1:$I$89,3,0)*VLOOKUP('Données projet'!$B$9,Paramètres!$A$1:$I$89,5,0)</f>
        <v>125.15657142857135</v>
      </c>
      <c r="P39" s="14">
        <f t="shared" si="33"/>
        <v>32.874724091782426</v>
      </c>
      <c r="Q39" s="22">
        <f t="shared" si="53"/>
        <v>275.23783969794948</v>
      </c>
      <c r="R39" s="62">
        <f t="shared" si="0"/>
        <v>568.5711730312828</v>
      </c>
      <c r="S39" s="62">
        <f ca="1">AVERAGE(OFFSET($R$3,0,0,'Données projet'!$E$9+1,1))-AVERAGE(OFFSET($H$3,0,0,'Données projet'!$E$9+1,1))</f>
        <v>242.7456246505439</v>
      </c>
      <c r="T39" s="62">
        <f t="shared" si="34"/>
        <v>195.88560859972426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32.4</v>
      </c>
      <c r="AI39" s="14">
        <f>IF('Données projet'!$A$62&gt;35,AI38+AH39-AQ38,IF(A39&lt;'Données projet'!$A$62,$AF$205^A39,IF(A39='Données projet'!$A$62,'Données projet'!$B$62,AI38+AH39-AQ38)))</f>
        <v>320.79999999999995</v>
      </c>
      <c r="AJ39" s="14">
        <f>AI39*VLOOKUP('Données projet'!$B$10,Paramètres!$A$1:$I$89,3,0)*VLOOKUP('Données projet'!$B$10,Paramètres!$A$1:$I$89,5,0)</f>
        <v>150.1344</v>
      </c>
      <c r="AK39" s="14">
        <f t="shared" si="35"/>
        <v>38.609126910934812</v>
      </c>
      <c r="AL39" s="22">
        <f t="shared" si="4"/>
        <v>328.7283093698781</v>
      </c>
      <c r="AM39" s="62">
        <f t="shared" si="5"/>
        <v>622.06164270321142</v>
      </c>
      <c r="AN39" s="62">
        <f ca="1">AVERAGE(OFFSET($AM$3,0,0,'Données projet'!$E$10+1,1))-AVERAGE(OFFSET($H$3,0,0,'Données projet'!$E$10+1,1))</f>
        <v>211.93796316015613</v>
      </c>
      <c r="AO39" s="62">
        <f t="shared" si="36"/>
        <v>165.73212396548013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1.5221581187921631</v>
      </c>
      <c r="AX39" s="23">
        <f t="shared" si="6"/>
        <v>1.5221581187921631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18.277999999999995</v>
      </c>
      <c r="D40" s="12">
        <f t="shared" si="32"/>
        <v>6.0060955954395308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187.45617652619987</v>
      </c>
      <c r="H40" s="70">
        <f t="shared" si="1"/>
        <v>335.62813316205717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7.4285714285714288</v>
      </c>
      <c r="N40" s="14">
        <f>IF('Données projet'!$A$36&gt;35,N39+M40-V39,IF(A40&lt;'Données projet'!$A$36,$K$205^A40,IF(A40='Données projet'!$A$36,'Données projet'!$B$36,N39+M40-V39)))</f>
        <v>274.85714285714272</v>
      </c>
      <c r="O40" s="14">
        <f>N40*VLOOKUP('Données projet'!$B$9,Paramètres!$A$1:$I$89,3,0)*VLOOKUP('Données projet'!$B$9,Paramètres!$A$1:$I$89,5,0)</f>
        <v>128.63314285714279</v>
      </c>
      <c r="P40" s="14">
        <f t="shared" si="33"/>
        <v>33.68032474533139</v>
      </c>
      <c r="Q40" s="22">
        <f t="shared" si="53"/>
        <v>282.69595607430921</v>
      </c>
      <c r="R40" s="62">
        <f t="shared" si="0"/>
        <v>576.02928940764252</v>
      </c>
      <c r="S40" s="62">
        <f ca="1">AVERAGE(OFFSET($R$3,0,0,'Données projet'!$E$9+1,1))-AVERAGE(OFFSET($H$3,0,0,'Données projet'!$E$9+1,1))</f>
        <v>242.7456246505439</v>
      </c>
      <c r="T40" s="62">
        <f t="shared" si="34"/>
        <v>195.88560859972426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32.4</v>
      </c>
      <c r="AI40" s="14">
        <f>IF('Données projet'!$A$62&gt;35,AI39+AH40-AQ39,IF(A40&lt;'Données projet'!$A$62,$AF$205^A40,IF(A40='Données projet'!$A$62,'Données projet'!$B$62,AI39+AH40-AQ39)))</f>
        <v>353.19999999999993</v>
      </c>
      <c r="AJ40" s="14">
        <f>AI40*VLOOKUP('Données projet'!$B$10,Paramètres!$A$1:$I$89,3,0)*VLOOKUP('Données projet'!$B$10,Paramètres!$A$1:$I$89,5,0)</f>
        <v>165.29759999999996</v>
      </c>
      <c r="AK40" s="14">
        <f t="shared" si="35"/>
        <v>42.035129205137387</v>
      </c>
      <c r="AL40" s="22">
        <f t="shared" si="4"/>
        <v>361.10450336561422</v>
      </c>
      <c r="AM40" s="62">
        <f t="shared" si="5"/>
        <v>654.43783669894754</v>
      </c>
      <c r="AN40" s="62">
        <f ca="1">AVERAGE(OFFSET($AM$3,0,0,'Données projet'!$E$10+1,1))-AVERAGE(OFFSET($H$3,0,0,'Données projet'!$E$10+1,1))</f>
        <v>211.93796316015613</v>
      </c>
      <c r="AO40" s="62">
        <f t="shared" si="36"/>
        <v>165.73212396548013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1.0763283278360969</v>
      </c>
      <c r="AX40" s="23">
        <f t="shared" si="6"/>
        <v>1.0763283278360969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18.771999999999995</v>
      </c>
      <c r="D41" s="12">
        <f t="shared" si="32"/>
        <v>6.1493042738312038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192.37498035939871</v>
      </c>
      <c r="H41" s="70">
        <f t="shared" si="1"/>
        <v>336.73793827692265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7.4285714285714288</v>
      </c>
      <c r="N41" s="14">
        <f>IF('Données projet'!$A$36&gt;35,N40+M41-V40,IF(A41&lt;'Données projet'!$A$36,$K$205^A41,IF(A41='Données projet'!$A$36,'Données projet'!$B$36,N40+M41-V40)))</f>
        <v>282.28571428571416</v>
      </c>
      <c r="O41" s="14">
        <f>N41*VLOOKUP('Données projet'!$B$9,Paramètres!$A$1:$I$89,3,0)*VLOOKUP('Données projet'!$B$9,Paramètres!$A$1:$I$89,5,0)</f>
        <v>132.10971428571423</v>
      </c>
      <c r="P41" s="14">
        <f t="shared" si="33"/>
        <v>34.483394679523492</v>
      </c>
      <c r="Q41" s="22">
        <f t="shared" si="53"/>
        <v>290.14966478112234</v>
      </c>
      <c r="R41" s="62">
        <f t="shared" si="0"/>
        <v>583.48299811445565</v>
      </c>
      <c r="S41" s="62">
        <f ca="1">AVERAGE(OFFSET($R$3,0,0,'Données projet'!$E$9+1,1))-AVERAGE(OFFSET($H$3,0,0,'Données projet'!$E$9+1,1))</f>
        <v>242.7456246505439</v>
      </c>
      <c r="T41" s="62">
        <f t="shared" si="34"/>
        <v>195.88560859972426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32.4</v>
      </c>
      <c r="AI41" s="14">
        <f>IF('Données projet'!$A$62&gt;35,AI40+AH41-AQ40,IF(A41&lt;'Données projet'!$A$62,$AF$205^A41,IF(A41='Données projet'!$A$62,'Données projet'!$B$62,AI40+AH41-AQ40)))</f>
        <v>385.59999999999991</v>
      </c>
      <c r="AJ41" s="14">
        <f>AI41*VLOOKUP('Données projet'!$B$10,Paramètres!$A$1:$I$89,3,0)*VLOOKUP('Données projet'!$B$10,Paramètres!$A$1:$I$89,5,0)</f>
        <v>180.46079999999998</v>
      </c>
      <c r="AK41" s="14">
        <f t="shared" si="35"/>
        <v>45.424690416772727</v>
      </c>
      <c r="AL41" s="22">
        <f t="shared" si="4"/>
        <v>393.41722914254575</v>
      </c>
      <c r="AM41" s="62">
        <f t="shared" si="5"/>
        <v>686.75056247587906</v>
      </c>
      <c r="AN41" s="62">
        <f ca="1">AVERAGE(OFFSET($AM$3,0,0,'Données projet'!$E$10+1,1))-AVERAGE(OFFSET($H$3,0,0,'Données projet'!$E$10+1,1))</f>
        <v>211.93796316015613</v>
      </c>
      <c r="AO41" s="62">
        <f t="shared" si="36"/>
        <v>165.73212396548013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0.76107905939608156</v>
      </c>
      <c r="AX41" s="23">
        <f t="shared" si="6"/>
        <v>0.76107905939608156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19.265999999999995</v>
      </c>
      <c r="D42" s="12">
        <f t="shared" si="32"/>
        <v>6.2920748991727322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197.29040273045618</v>
      </c>
      <c r="H42" s="70">
        <f t="shared" si="1"/>
        <v>337.8469804493925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7.4285714285714288</v>
      </c>
      <c r="N42" s="14">
        <f>IF('Données projet'!$A$36&gt;35,N41+M42-V41,IF(A42&lt;'Données projet'!$A$36,$K$205^A42,IF(A42='Données projet'!$A$36,'Données projet'!$B$36,N41+M42-V41)))</f>
        <v>289.71428571428561</v>
      </c>
      <c r="O42" s="14">
        <f>N42*VLOOKUP('Données projet'!$B$9,Paramètres!$A$1:$I$89,3,0)*VLOOKUP('Données projet'!$B$9,Paramètres!$A$1:$I$89,5,0)</f>
        <v>135.58628571428568</v>
      </c>
      <c r="P42" s="14">
        <f t="shared" si="33"/>
        <v>35.284008147821943</v>
      </c>
      <c r="Q42" s="22">
        <f t="shared" si="53"/>
        <v>297.59909514317076</v>
      </c>
      <c r="R42" s="62">
        <f t="shared" si="0"/>
        <v>590.93242847650413</v>
      </c>
      <c r="S42" s="62">
        <f ca="1">AVERAGE(OFFSET($R$3,0,0,'Données projet'!$E$9+1,1))-AVERAGE(OFFSET($H$3,0,0,'Données projet'!$E$9+1,1))</f>
        <v>242.7456246505439</v>
      </c>
      <c r="T42" s="62">
        <f t="shared" si="34"/>
        <v>195.88560859972426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>
        <f>VLOOKUP(A42,'Données projet'!$A$61:$I$81,2,0)</f>
        <v>418</v>
      </c>
      <c r="AG42" s="13">
        <f>VLOOKUP(A42,'Données projet'!$A$61:$I$81,9,0)</f>
        <v>32.4</v>
      </c>
      <c r="AH42" s="13">
        <f t="array" ref="AH42">INDEX(AG:AG,MIN(IF(ISNUMBER(AG42:AG238),ROW(AG42:AG238),"")))</f>
        <v>32.4</v>
      </c>
      <c r="AI42" s="14">
        <f>IF('Données projet'!$A$62&gt;35,AI41+AH42-AQ41,IF(A42&lt;'Données projet'!$A$62,$AF$205^A42,IF(A42='Données projet'!$A$62,'Données projet'!$B$62,AI41+AH42-AQ41)))</f>
        <v>417.99999999999989</v>
      </c>
      <c r="AJ42" s="14">
        <f>AI42*VLOOKUP('Données projet'!$B$10,Paramètres!$A$1:$I$89,3,0)*VLOOKUP('Données projet'!$B$10,Paramètres!$A$1:$I$89,5,0)</f>
        <v>195.62399999999997</v>
      </c>
      <c r="AK42" s="14">
        <f t="shared" si="35"/>
        <v>48.781220625276006</v>
      </c>
      <c r="AL42" s="22">
        <f t="shared" si="4"/>
        <v>425.67242592235561</v>
      </c>
      <c r="AM42" s="62">
        <f t="shared" si="5"/>
        <v>719.00575925568887</v>
      </c>
      <c r="AN42" s="62">
        <f ca="1">AVERAGE(OFFSET($AM$3,0,0,'Données projet'!$E$10+1,1))-AVERAGE(OFFSET($H$3,0,0,'Données projet'!$E$10+1,1))</f>
        <v>211.93796316015613</v>
      </c>
      <c r="AO42" s="62">
        <f t="shared" si="36"/>
        <v>165.73212396548013</v>
      </c>
      <c r="AP42" s="16">
        <f>IF(ISNA(VLOOKUP(A42,'Données projet'!$A$61:$I$81,3,0)),0,VLOOKUP(A42,'Données projet'!$A$61:$I$81,3,0))</f>
        <v>4</v>
      </c>
      <c r="AQ42" s="16">
        <f>IF(ISNA(VLOOKUP(A42,'Données projet'!$A$61:$I$81,4,0)),0,VLOOKUP(A42,'Données projet'!$A$61:$I$81,4,0))</f>
        <v>70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0.53816416391804844</v>
      </c>
      <c r="AX42" s="23">
        <f t="shared" si="6"/>
        <v>0.53816416391804844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19.759999999999994</v>
      </c>
      <c r="D43" s="12">
        <f t="shared" si="32"/>
        <v>6.4344199950962579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202.20254031302375</v>
      </c>
      <c r="H43" s="70">
        <f t="shared" si="1"/>
        <v>338.95528149145929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7.4285714285714288</v>
      </c>
      <c r="N43" s="14">
        <f>IF('Données projet'!$A$36&gt;35,N42+M43-V42,IF(A43&lt;'Données projet'!$A$36,$K$205^A43,IF(A43='Données projet'!$A$36,'Données projet'!$B$36,N42+M43-V42)))</f>
        <v>297.14285714285705</v>
      </c>
      <c r="O43" s="14">
        <f>N43*VLOOKUP('Données projet'!$B$9,Paramètres!$A$1:$I$89,3,0)*VLOOKUP('Données projet'!$B$9,Paramètres!$A$1:$I$89,5,0)</f>
        <v>139.0628571428571</v>
      </c>
      <c r="P43" s="14">
        <f t="shared" si="33"/>
        <v>36.08223537887865</v>
      </c>
      <c r="Q43" s="22">
        <f t="shared" si="53"/>
        <v>305.04436947535646</v>
      </c>
      <c r="R43" s="62">
        <f t="shared" si="0"/>
        <v>598.37770280868972</v>
      </c>
      <c r="S43" s="62">
        <f ca="1">AVERAGE(OFFSET($R$3,0,0,'Données projet'!$E$9+1,1))-AVERAGE(OFFSET($H$3,0,0,'Données projet'!$E$9+1,1))</f>
        <v>242.7456246505439</v>
      </c>
      <c r="T43" s="62">
        <f t="shared" si="34"/>
        <v>195.88560859972426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29.8</v>
      </c>
      <c r="AI43" s="14">
        <f>IF('Données projet'!$A$62&gt;35,AI42+AH43-AQ42,IF(A43&lt;'Données projet'!$A$62,$AF$205^A43,IF(A43='Données projet'!$A$62,'Données projet'!$B$62,AI42+AH43-AQ42)))</f>
        <v>377.7999999999999</v>
      </c>
      <c r="AJ43" s="14">
        <f>AI43*VLOOKUP('Données projet'!$B$10,Paramètres!$A$1:$I$89,3,0)*VLOOKUP('Données projet'!$B$10,Paramètres!$A$1:$I$89,5,0)</f>
        <v>176.81039999999996</v>
      </c>
      <c r="AK43" s="14">
        <f t="shared" si="35"/>
        <v>44.611822218388589</v>
      </c>
      <c r="AL43" s="22">
        <f t="shared" si="4"/>
        <v>385.64370369702669</v>
      </c>
      <c r="AM43" s="62">
        <f t="shared" si="5"/>
        <v>678.97703703035995</v>
      </c>
      <c r="AN43" s="62">
        <f ca="1">AVERAGE(OFFSET($AM$3,0,0,'Données projet'!$E$10+1,1))-AVERAGE(OFFSET($H$3,0,0,'Données projet'!$E$10+1,1))</f>
        <v>211.93796316015613</v>
      </c>
      <c r="AO43" s="62">
        <f t="shared" si="36"/>
        <v>165.73212396548013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0.38053952969804078</v>
      </c>
      <c r="AX43" s="23">
        <f t="shared" si="6"/>
        <v>0.38053952969804078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20.253999999999994</v>
      </c>
      <c r="D44" s="12">
        <f t="shared" si="32"/>
        <v>6.5763514233638816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207.1114846715808</v>
      </c>
      <c r="H44" s="70">
        <f t="shared" si="1"/>
        <v>340.0628620623587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7.4285714285714288</v>
      </c>
      <c r="N44" s="14">
        <f>IF('Données projet'!$A$36&gt;35,N43+M44-V43,IF(A44&lt;'Données projet'!$A$36,$K$205^A44,IF(A44='Données projet'!$A$36,'Données projet'!$B$36,N43+M44-V43)))</f>
        <v>304.5714285714285</v>
      </c>
      <c r="O44" s="14">
        <f>N44*VLOOKUP('Données projet'!$B$9,Paramètres!$A$1:$I$89,3,0)*VLOOKUP('Données projet'!$B$9,Paramètres!$A$1:$I$89,5,0)</f>
        <v>142.53942857142852</v>
      </c>
      <c r="P44" s="14">
        <f t="shared" si="33"/>
        <v>36.878142889783405</v>
      </c>
      <c r="Q44" s="22">
        <f t="shared" si="53"/>
        <v>312.48560362827743</v>
      </c>
      <c r="R44" s="62">
        <f t="shared" si="0"/>
        <v>605.81893696161069</v>
      </c>
      <c r="S44" s="62">
        <f ca="1">AVERAGE(OFFSET($R$3,0,0,'Données projet'!$E$9+1,1))-AVERAGE(OFFSET($H$3,0,0,'Données projet'!$E$9+1,1))</f>
        <v>242.7456246505439</v>
      </c>
      <c r="T44" s="62">
        <f t="shared" si="34"/>
        <v>195.88560859972426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29.8</v>
      </c>
      <c r="AI44" s="14">
        <f>IF('Données projet'!$A$62&gt;35,AI43+AH44-AQ43,IF(A44&lt;'Données projet'!$A$62,$AF$205^A44,IF(A44='Données projet'!$A$62,'Données projet'!$B$62,AI43+AH44-AQ43)))</f>
        <v>407.59999999999991</v>
      </c>
      <c r="AJ44" s="14">
        <f>AI44*VLOOKUP('Données projet'!$B$10,Paramètres!$A$1:$I$89,3,0)*VLOOKUP('Données projet'!$B$10,Paramètres!$A$1:$I$89,5,0)</f>
        <v>190.75679999999997</v>
      </c>
      <c r="AK44" s="14">
        <f t="shared" si="35"/>
        <v>47.707231855830237</v>
      </c>
      <c r="AL44" s="22">
        <f t="shared" si="4"/>
        <v>415.32485548223758</v>
      </c>
      <c r="AM44" s="62">
        <f t="shared" si="5"/>
        <v>708.65818881557084</v>
      </c>
      <c r="AN44" s="62">
        <f ca="1">AVERAGE(OFFSET($AM$3,0,0,'Données projet'!$E$10+1,1))-AVERAGE(OFFSET($H$3,0,0,'Données projet'!$E$10+1,1))</f>
        <v>211.93796316015613</v>
      </c>
      <c r="AO44" s="62">
        <f t="shared" si="36"/>
        <v>165.73212396548013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0.26908208195902422</v>
      </c>
      <c r="AX44" s="23">
        <f t="shared" si="6"/>
        <v>0.26908208195902422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20.747999999999994</v>
      </c>
      <c r="D45" s="12">
        <f t="shared" si="32"/>
        <v>6.7178804341249787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212.01732264938576</v>
      </c>
      <c r="H45" s="70">
        <f t="shared" si="1"/>
        <v>341.16974175610096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7.4285714285714288</v>
      </c>
      <c r="N45" s="14">
        <f>IF('Données projet'!$A$36&gt;35,N44+M45-V44,IF(A45&lt;'Données projet'!$A$36,$K$205^A45,IF(A45='Données projet'!$A$36,'Données projet'!$B$36,N44+M45-V44)))</f>
        <v>311.99999999999994</v>
      </c>
      <c r="O45" s="14">
        <f>N45*VLOOKUP('Données projet'!$B$9,Paramètres!$A$1:$I$89,3,0)*VLOOKUP('Données projet'!$B$9,Paramètres!$A$1:$I$89,5,0)</f>
        <v>146.01599999999999</v>
      </c>
      <c r="P45" s="14">
        <f t="shared" si="33"/>
        <v>37.671793767891103</v>
      </c>
      <c r="Q45" s="22">
        <f t="shared" si="53"/>
        <v>319.92290747907697</v>
      </c>
      <c r="R45" s="62">
        <f t="shared" si="0"/>
        <v>613.25624081241028</v>
      </c>
      <c r="S45" s="62">
        <f ca="1">AVERAGE(OFFSET($R$3,0,0,'Données projet'!$E$9+1,1))-AVERAGE(OFFSET($H$3,0,0,'Données projet'!$E$9+1,1))</f>
        <v>242.7456246505439</v>
      </c>
      <c r="T45" s="62">
        <f t="shared" si="34"/>
        <v>195.88560859972426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29.8</v>
      </c>
      <c r="AI45" s="14">
        <f>IF('Données projet'!$A$62&gt;35,AI44+AH45-AQ44,IF(A45&lt;'Données projet'!$A$62,$AF$205^A45,IF(A45='Données projet'!$A$62,'Données projet'!$B$62,AI44+AH45-AQ44)))</f>
        <v>437.39999999999992</v>
      </c>
      <c r="AJ45" s="14">
        <f>AI45*VLOOKUP('Données projet'!$B$10,Paramètres!$A$1:$I$89,3,0)*VLOOKUP('Données projet'!$B$10,Paramètres!$A$1:$I$89,5,0)</f>
        <v>204.70319999999998</v>
      </c>
      <c r="AK45" s="14">
        <f t="shared" si="35"/>
        <v>50.776386315598728</v>
      </c>
      <c r="AL45" s="22">
        <f t="shared" si="4"/>
        <v>444.96027949966771</v>
      </c>
      <c r="AM45" s="62">
        <f t="shared" si="5"/>
        <v>738.29361283300102</v>
      </c>
      <c r="AN45" s="62">
        <f ca="1">AVERAGE(OFFSET($AM$3,0,0,'Données projet'!$E$10+1,1))-AVERAGE(OFFSET($H$3,0,0,'Données projet'!$E$10+1,1))</f>
        <v>211.93796316015613</v>
      </c>
      <c r="AO45" s="62">
        <f t="shared" si="36"/>
        <v>165.73212396548013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0.19026976484902039</v>
      </c>
      <c r="AX45" s="23">
        <f t="shared" si="6"/>
        <v>0.19026976484902039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21.241999999999994</v>
      </c>
      <c r="D46" s="12">
        <f t="shared" si="32"/>
        <v>6.8590177112522763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216.92013671843858</v>
      </c>
      <c r="H46" s="70">
        <f t="shared" si="1"/>
        <v>342.27593918043101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7.4285714285714288</v>
      </c>
      <c r="N46" s="14">
        <f>IF('Données projet'!$A$36&gt;35,N45+M46-V45,IF(A46&lt;'Données projet'!$A$36,$K$205^A46,IF(A46='Données projet'!$A$36,'Données projet'!$B$36,N45+M46-V45)))</f>
        <v>319.42857142857139</v>
      </c>
      <c r="O46" s="14">
        <f>N46*VLOOKUP('Données projet'!$B$9,Paramètres!$A$1:$I$89,3,0)*VLOOKUP('Données projet'!$B$9,Paramètres!$A$1:$I$89,5,0)</f>
        <v>149.49257142857141</v>
      </c>
      <c r="P46" s="14">
        <f t="shared" si="33"/>
        <v>38.463247925052471</v>
      </c>
      <c r="Q46" s="22">
        <f t="shared" si="53"/>
        <v>327.3563853742283</v>
      </c>
      <c r="R46" s="62">
        <f t="shared" si="0"/>
        <v>620.68971870756161</v>
      </c>
      <c r="S46" s="62">
        <f ca="1">AVERAGE(OFFSET($R$3,0,0,'Données projet'!$E$9+1,1))-AVERAGE(OFFSET($H$3,0,0,'Données projet'!$E$9+1,1))</f>
        <v>242.7456246505439</v>
      </c>
      <c r="T46" s="62">
        <f t="shared" si="34"/>
        <v>195.88560859972426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29.8</v>
      </c>
      <c r="AI46" s="14">
        <f>IF('Données projet'!$A$62&gt;35,AI45+AH46-AQ45,IF(A46&lt;'Données projet'!$A$62,$AF$205^A46,IF(A46='Données projet'!$A$62,'Données projet'!$B$62,AI45+AH46-AQ45)))</f>
        <v>467.19999999999993</v>
      </c>
      <c r="AJ46" s="14">
        <f>AI46*VLOOKUP('Données projet'!$B$10,Paramètres!$A$1:$I$89,3,0)*VLOOKUP('Données projet'!$B$10,Paramètres!$A$1:$I$89,5,0)</f>
        <v>218.64959999999999</v>
      </c>
      <c r="AK46" s="14">
        <f t="shared" si="35"/>
        <v>53.821277860805893</v>
      </c>
      <c r="AL46" s="22">
        <f t="shared" si="4"/>
        <v>474.55344560757021</v>
      </c>
      <c r="AM46" s="62">
        <f t="shared" si="5"/>
        <v>767.88677894090347</v>
      </c>
      <c r="AN46" s="62">
        <f ca="1">AVERAGE(OFFSET($AM$3,0,0,'Données projet'!$E$10+1,1))-AVERAGE(OFFSET($H$3,0,0,'Données projet'!$E$10+1,1))</f>
        <v>211.93796316015613</v>
      </c>
      <c r="AO46" s="62">
        <f t="shared" si="36"/>
        <v>165.73212396548013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0.13454104097951211</v>
      </c>
      <c r="AX46" s="23">
        <f t="shared" si="6"/>
        <v>0.13454104097951211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21.735999999999994</v>
      </c>
      <c r="D47" s="12">
        <f t="shared" si="32"/>
        <v>6.9997734133417886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221.82000529597167</v>
      </c>
      <c r="H47" s="70">
        <f t="shared" si="1"/>
        <v>343.38147202823689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7.4285714285714288</v>
      </c>
      <c r="N47" s="14">
        <f>IF('Données projet'!$A$36&gt;35,N46+M47-V46,IF(A47&lt;'Données projet'!$A$36,$K$205^A47,IF(A47='Données projet'!$A$36,'Données projet'!$B$36,N46+M47-V46)))</f>
        <v>326.85714285714283</v>
      </c>
      <c r="O47" s="14">
        <f>N47*VLOOKUP('Données projet'!$B$9,Paramètres!$A$1:$I$89,3,0)*VLOOKUP('Données projet'!$B$9,Paramètres!$A$1:$I$89,5,0)</f>
        <v>152.96914285714283</v>
      </c>
      <c r="P47" s="14">
        <f t="shared" si="33"/>
        <v>39.252562327529084</v>
      </c>
      <c r="Q47" s="22">
        <f t="shared" si="53"/>
        <v>334.78613652997024</v>
      </c>
      <c r="R47" s="62">
        <f t="shared" si="0"/>
        <v>628.11946986330349</v>
      </c>
      <c r="S47" s="62">
        <f ca="1">AVERAGE(OFFSET($R$3,0,0,'Données projet'!$E$9+1,1))-AVERAGE(OFFSET($H$3,0,0,'Données projet'!$E$9+1,1))</f>
        <v>242.7456246505439</v>
      </c>
      <c r="T47" s="62">
        <f t="shared" si="34"/>
        <v>195.88560859972426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>
        <f>VLOOKUP(A47,'Données projet'!$A$61:$I$81,2,0)</f>
        <v>497</v>
      </c>
      <c r="AG47" s="13">
        <f>VLOOKUP(A47,'Données projet'!$A$61:$I$81,9,0)</f>
        <v>29.8</v>
      </c>
      <c r="AH47" s="13">
        <f t="array" ref="AH47">INDEX(AG:AG,MIN(IF(ISNUMBER(AG47:AG243),ROW(AG47:AG243),"")))</f>
        <v>29.8</v>
      </c>
      <c r="AI47" s="14">
        <f>IF('Données projet'!$A$62&gt;35,AI46+AH47-AQ46,IF(A47&lt;'Données projet'!$A$62,$AF$205^A47,IF(A47='Données projet'!$A$62,'Données projet'!$B$62,AI46+AH47-AQ46)))</f>
        <v>496.99999999999994</v>
      </c>
      <c r="AJ47" s="14">
        <f>AI47*VLOOKUP('Données projet'!$B$10,Paramètres!$A$1:$I$89,3,0)*VLOOKUP('Données projet'!$B$10,Paramètres!$A$1:$I$89,5,0)</f>
        <v>232.59599999999995</v>
      </c>
      <c r="AK47" s="14">
        <f t="shared" si="35"/>
        <v>56.843630236302218</v>
      </c>
      <c r="AL47" s="22">
        <f t="shared" si="4"/>
        <v>504.10735599489294</v>
      </c>
      <c r="AM47" s="62">
        <f t="shared" si="5"/>
        <v>797.4406893282262</v>
      </c>
      <c r="AN47" s="62">
        <f ca="1">AVERAGE(OFFSET($AM$3,0,0,'Données projet'!$E$10+1,1))-AVERAGE(OFFSET($H$3,0,0,'Données projet'!$E$10+1,1))</f>
        <v>211.93796316015613</v>
      </c>
      <c r="AO47" s="62">
        <f t="shared" si="36"/>
        <v>165.73212396548013</v>
      </c>
      <c r="AP47" s="16">
        <f>IF(ISNA(VLOOKUP(A47,'Données projet'!$A$61:$I$81,3,0)),0,VLOOKUP(A47,'Données projet'!$A$61:$I$81,3,0))</f>
        <v>5</v>
      </c>
      <c r="AQ47" s="16">
        <f>IF(ISNA(VLOOKUP(A47,'Données projet'!$A$61:$I$81,4,0)),0,VLOOKUP(A47,'Données projet'!$A$61:$I$81,4,0))</f>
        <v>53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9.5134882424510195E-2</v>
      </c>
      <c r="AX47" s="23">
        <f t="shared" si="6"/>
        <v>9.5134882424510195E-2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22.229999999999993</v>
      </c>
      <c r="D48" s="12">
        <f t="shared" si="32"/>
        <v>7.140157210880437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226.71700303135768</v>
      </c>
      <c r="H48" s="70">
        <f t="shared" si="1"/>
        <v>344.4863571422834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7.4285714285714288</v>
      </c>
      <c r="N48" s="14">
        <f>IF('Données projet'!$A$36&gt;35,N47+M48-V47,IF(A48&lt;'Données projet'!$A$36,$K$205^A48,IF(A48='Données projet'!$A$36,'Données projet'!$B$36,N47+M48-V47)))</f>
        <v>334.28571428571428</v>
      </c>
      <c r="O48" s="14">
        <f>N48*VLOOKUP('Données projet'!$B$9,Paramètres!$A$1:$I$89,3,0)*VLOOKUP('Données projet'!$B$9,Paramètres!$A$1:$I$89,5,0)</f>
        <v>156.4457142857143</v>
      </c>
      <c r="P48" s="14">
        <f t="shared" si="33"/>
        <v>40.039791204417888</v>
      </c>
      <c r="Q48" s="22">
        <f t="shared" si="53"/>
        <v>342.21225539531355</v>
      </c>
      <c r="R48" s="62">
        <f t="shared" si="0"/>
        <v>635.54558872864686</v>
      </c>
      <c r="S48" s="62">
        <f ca="1">AVERAGE(OFFSET($R$3,0,0,'Données projet'!$E$9+1,1))-AVERAGE(OFFSET($H$3,0,0,'Données projet'!$E$9+1,1))</f>
        <v>242.7456246505439</v>
      </c>
      <c r="T48" s="62">
        <f t="shared" si="34"/>
        <v>195.88560859972426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25.333333333333332</v>
      </c>
      <c r="AI48" s="14">
        <f>IF('Données projet'!$A$62&gt;35,AI47+AH48-AQ47,IF(A48&lt;'Données projet'!$A$62,$AF$205^A48,IF(A48='Données projet'!$A$62,'Données projet'!$B$62,AI47+AH48-AQ47)))</f>
        <v>469.33333333333326</v>
      </c>
      <c r="AJ48" s="14">
        <f>AI48*VLOOKUP('Données projet'!$B$10,Paramètres!$A$1:$I$89,3,0)*VLOOKUP('Données projet'!$B$10,Paramètres!$A$1:$I$89,5,0)</f>
        <v>219.64799999999997</v>
      </c>
      <c r="AK48" s="14">
        <f t="shared" si="35"/>
        <v>54.03837313132572</v>
      </c>
      <c r="AL48" s="22">
        <f t="shared" si="4"/>
        <v>476.67043320372562</v>
      </c>
      <c r="AM48" s="62">
        <f t="shared" si="5"/>
        <v>770.00376653705894</v>
      </c>
      <c r="AN48" s="62">
        <f ca="1">AVERAGE(OFFSET($AM$3,0,0,'Données projet'!$E$10+1,1))-AVERAGE(OFFSET($H$3,0,0,'Données projet'!$E$10+1,1))</f>
        <v>211.93796316015613</v>
      </c>
      <c r="AO48" s="62">
        <f t="shared" si="36"/>
        <v>165.73212396548013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6.7270520489756055E-2</v>
      </c>
      <c r="AX48" s="23">
        <f t="shared" si="6"/>
        <v>6.7270520489756055E-2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22.723999999999993</v>
      </c>
      <c r="D49" s="12">
        <f t="shared" si="32"/>
        <v>7.2801783200166916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231.6112010667955</v>
      </c>
      <c r="H49" s="70">
        <f t="shared" si="1"/>
        <v>345.59061057402903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7.4285714285714288</v>
      </c>
      <c r="N49" s="14">
        <f>IF('Données projet'!$A$36&gt;35,N48+M49-V48,IF(A49&lt;'Données projet'!$A$36,$K$205^A49,IF(A49='Données projet'!$A$36,'Données projet'!$B$36,N48+M49-V48)))</f>
        <v>341.71428571428572</v>
      </c>
      <c r="O49" s="14">
        <f>N49*VLOOKUP('Données projet'!$B$9,Paramètres!$A$1:$I$89,3,0)*VLOOKUP('Données projet'!$B$9,Paramètres!$A$1:$I$89,5,0)</f>
        <v>159.92228571428572</v>
      </c>
      <c r="P49" s="14">
        <f t="shared" si="33"/>
        <v>40.82498623702633</v>
      </c>
      <c r="Q49" s="22">
        <f t="shared" si="53"/>
        <v>349.6348319818685</v>
      </c>
      <c r="R49" s="62">
        <f t="shared" si="0"/>
        <v>642.96816531520176</v>
      </c>
      <c r="S49" s="62">
        <f ca="1">AVERAGE(OFFSET($R$3,0,0,'Données projet'!$E$9+1,1))-AVERAGE(OFFSET($H$3,0,0,'Données projet'!$E$9+1,1))</f>
        <v>242.7456246505439</v>
      </c>
      <c r="T49" s="62">
        <f t="shared" si="34"/>
        <v>195.88560859972426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25.333333333333332</v>
      </c>
      <c r="AI49" s="14">
        <f>IF('Données projet'!$A$62&gt;35,AI48+AH49-AQ48,IF(A49&lt;'Données projet'!$A$62,$AF$205^A49,IF(A49='Données projet'!$A$62,'Données projet'!$B$62,AI48+AH49-AQ48)))</f>
        <v>494.66666666666657</v>
      </c>
      <c r="AJ49" s="14">
        <f>AI49*VLOOKUP('Données projet'!$B$10,Paramètres!$A$1:$I$89,3,0)*VLOOKUP('Données projet'!$B$10,Paramètres!$A$1:$I$89,5,0)</f>
        <v>231.50399999999996</v>
      </c>
      <c r="AK49" s="14">
        <f t="shared" si="35"/>
        <v>56.607758031045634</v>
      </c>
      <c r="AL49" s="22">
        <f t="shared" si="4"/>
        <v>501.79464523740444</v>
      </c>
      <c r="AM49" s="62">
        <f t="shared" si="5"/>
        <v>795.1279785707377</v>
      </c>
      <c r="AN49" s="62">
        <f ca="1">AVERAGE(OFFSET($AM$3,0,0,'Données projet'!$E$10+1,1))-AVERAGE(OFFSET($H$3,0,0,'Données projet'!$E$10+1,1))</f>
        <v>211.93796316015613</v>
      </c>
      <c r="AO49" s="62">
        <f t="shared" si="36"/>
        <v>165.73212396548013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4.7567441212255097E-2</v>
      </c>
      <c r="AX49" s="23">
        <f t="shared" si="6"/>
        <v>4.7567441212255097E-2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23.217999999999993</v>
      </c>
      <c r="D50" s="12">
        <f t="shared" si="32"/>
        <v>7.4198455333118369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236.50266727468784</v>
      </c>
      <c r="H50" s="70">
        <f t="shared" si="1"/>
        <v>346.69424763718473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7.4285714285714288</v>
      </c>
      <c r="N50" s="14">
        <f>IF('Données projet'!$A$36&gt;35,N49+M50-V49,IF(A50&lt;'Données projet'!$A$36,$K$205^A50,IF(A50='Données projet'!$A$36,'Données projet'!$B$36,N49+M50-V49)))</f>
        <v>349.14285714285717</v>
      </c>
      <c r="O50" s="14">
        <f>N50*VLOOKUP('Données projet'!$B$9,Paramètres!$A$1:$I$89,3,0)*VLOOKUP('Données projet'!$B$9,Paramètres!$A$1:$I$89,5,0)</f>
        <v>163.39885714285714</v>
      </c>
      <c r="P50" s="14">
        <f t="shared" si="33"/>
        <v>41.608196731316134</v>
      </c>
      <c r="Q50" s="22">
        <f t="shared" si="53"/>
        <v>357.05395216418509</v>
      </c>
      <c r="R50" s="62">
        <f t="shared" si="0"/>
        <v>650.38728549751841</v>
      </c>
      <c r="S50" s="62">
        <f ca="1">AVERAGE(OFFSET($R$3,0,0,'Données projet'!$E$9+1,1))-AVERAGE(OFFSET($H$3,0,0,'Données projet'!$E$9+1,1))</f>
        <v>242.7456246505439</v>
      </c>
      <c r="T50" s="62">
        <f t="shared" si="34"/>
        <v>195.88560859972426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25.333333333333332</v>
      </c>
      <c r="AI50" s="14">
        <f>IF('Données projet'!$A$62&gt;35,AI49+AH50-AQ49,IF(A50&lt;'Données projet'!$A$62,$AF$205^A50,IF(A50='Données projet'!$A$62,'Données projet'!$B$62,AI49+AH50-AQ49)))</f>
        <v>519.99999999999989</v>
      </c>
      <c r="AJ50" s="14">
        <f>AI50*VLOOKUP('Données projet'!$B$10,Paramètres!$A$1:$I$89,3,0)*VLOOKUP('Données projet'!$B$10,Paramètres!$A$1:$I$89,5,0)</f>
        <v>243.35999999999996</v>
      </c>
      <c r="AK50" s="14">
        <f t="shared" si="35"/>
        <v>59.161864860837127</v>
      </c>
      <c r="AL50" s="22">
        <f t="shared" si="4"/>
        <v>526.89224796595784</v>
      </c>
      <c r="AM50" s="62">
        <f t="shared" si="5"/>
        <v>820.22558129929121</v>
      </c>
      <c r="AN50" s="62">
        <f ca="1">AVERAGE(OFFSET($AM$3,0,0,'Données projet'!$E$10+1,1))-AVERAGE(OFFSET($H$3,0,0,'Données projet'!$E$10+1,1))</f>
        <v>211.93796316015613</v>
      </c>
      <c r="AO50" s="62">
        <f t="shared" si="36"/>
        <v>165.73212396548013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3.3635260244878028E-2</v>
      </c>
      <c r="AX50" s="23">
        <f t="shared" si="6"/>
        <v>3.3635260244878028E-2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23.711999999999993</v>
      </c>
      <c r="D51" s="12">
        <f t="shared" si="32"/>
        <v>7.5591672478002421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241.39146647424749</v>
      </c>
      <c r="H51" s="70">
        <f t="shared" si="1"/>
        <v>347.79728295658538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7.4285714285714288</v>
      </c>
      <c r="N51" s="14">
        <f>IF('Données projet'!$A$36&gt;35,N50+M51-V50,IF(A51&lt;'Données projet'!$A$36,$K$205^A51,IF(A51='Données projet'!$A$36,'Données projet'!$B$36,N50+M51-V50)))</f>
        <v>356.57142857142861</v>
      </c>
      <c r="O51" s="14">
        <f>N51*VLOOKUP('Données projet'!$B$9,Paramètres!$A$1:$I$89,3,0)*VLOOKUP('Données projet'!$B$9,Paramètres!$A$1:$I$89,5,0)</f>
        <v>166.87542857142859</v>
      </c>
      <c r="P51" s="14">
        <f t="shared" si="33"/>
        <v>42.389469775256472</v>
      </c>
      <c r="Q51" s="22">
        <f t="shared" si="53"/>
        <v>364.46969795380983</v>
      </c>
      <c r="R51" s="62">
        <f t="shared" si="0"/>
        <v>657.80303128714309</v>
      </c>
      <c r="S51" s="62">
        <f ca="1">AVERAGE(OFFSET($R$3,0,0,'Données projet'!$E$9+1,1))-AVERAGE(OFFSET($H$3,0,0,'Données projet'!$E$9+1,1))</f>
        <v>242.7456246505439</v>
      </c>
      <c r="T51" s="62">
        <f t="shared" si="34"/>
        <v>195.88560859972426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25.333333333333332</v>
      </c>
      <c r="AI51" s="14">
        <f>IF('Données projet'!$A$62&gt;35,AI50+AH51-AQ50,IF(A51&lt;'Données projet'!$A$62,$AF$205^A51,IF(A51='Données projet'!$A$62,'Données projet'!$B$62,AI50+AH51-AQ50)))</f>
        <v>545.33333333333326</v>
      </c>
      <c r="AJ51" s="14">
        <f>AI51*VLOOKUP('Données projet'!$B$10,Paramètres!$A$1:$I$89,3,0)*VLOOKUP('Données projet'!$B$10,Paramètres!$A$1:$I$89,5,0)</f>
        <v>255.21599999999995</v>
      </c>
      <c r="AK51" s="14">
        <f t="shared" si="35"/>
        <v>61.701522895151371</v>
      </c>
      <c r="AL51" s="22">
        <f t="shared" si="4"/>
        <v>551.96468570905517</v>
      </c>
      <c r="AM51" s="62">
        <f t="shared" si="5"/>
        <v>845.29801904238843</v>
      </c>
      <c r="AN51" s="62">
        <f ca="1">AVERAGE(OFFSET($AM$3,0,0,'Données projet'!$E$10+1,1))-AVERAGE(OFFSET($H$3,0,0,'Données projet'!$E$10+1,1))</f>
        <v>211.93796316015613</v>
      </c>
      <c r="AO51" s="62">
        <f t="shared" si="36"/>
        <v>165.73212396548013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2.3783720606127549E-2</v>
      </c>
      <c r="AX51" s="23">
        <f t="shared" si="6"/>
        <v>2.3783720606127549E-2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24.205999999999992</v>
      </c>
      <c r="D52" s="12">
        <f t="shared" si="32"/>
        <v>7.6981514906452606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246.27766062954234</v>
      </c>
      <c r="H52" s="70">
        <f t="shared" si="1"/>
        <v>348.89973051287382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>
        <f>VLOOKUP(A52,'Données projet'!$A$35:$I$55,2,0)</f>
        <v>364</v>
      </c>
      <c r="L52" s="13">
        <f>VLOOKUP(A52,'Données projet'!$A$35:$I$55,9,0)</f>
        <v>7.4285714285714288</v>
      </c>
      <c r="M52" s="13">
        <f t="array" ref="M52">INDEX(L:L,MIN(IF(ISNUMBER(L52:L248),ROW(L52:L248),"")))</f>
        <v>7.4285714285714288</v>
      </c>
      <c r="N52" s="14">
        <f>IF('Données projet'!$A$36&gt;35,N51+M52-V51,IF(A52&lt;'Données projet'!$A$36,$K$205^A52,IF(A52='Données projet'!$A$36,'Données projet'!$B$36,N51+M52-V51)))</f>
        <v>364.00000000000006</v>
      </c>
      <c r="O52" s="14">
        <f>N52*VLOOKUP('Données projet'!$B$9,Paramètres!$A$1:$I$89,3,0)*VLOOKUP('Données projet'!$B$9,Paramètres!$A$1:$I$89,5,0)</f>
        <v>170.35200000000003</v>
      </c>
      <c r="P52" s="14">
        <f t="shared" si="33"/>
        <v>43.168850382694487</v>
      </c>
      <c r="Q52" s="22">
        <f t="shared" si="53"/>
        <v>371.88214774985954</v>
      </c>
      <c r="R52" s="62">
        <f t="shared" si="0"/>
        <v>665.2154810831928</v>
      </c>
      <c r="S52" s="62">
        <f ca="1">AVERAGE(OFFSET($R$3,0,0,'Données projet'!$E$9+1,1))-AVERAGE(OFFSET($H$3,0,0,'Données projet'!$E$9+1,1))</f>
        <v>242.7456246505439</v>
      </c>
      <c r="T52" s="62">
        <f t="shared" si="34"/>
        <v>195.88560859972426</v>
      </c>
      <c r="U52" s="16">
        <f>IF(ISNA(VLOOKUP(A52,'Données projet'!$A$35:$I$55,3,0)),0,VLOOKUP(A52,'Données projet'!$A$35:$I$55,3,0))</f>
        <v>1</v>
      </c>
      <c r="V52" s="16">
        <f>IF(ISNA(VLOOKUP(A52,'Données projet'!$A$35:$I$55,4,0)),0,VLOOKUP(A52,'Données projet'!$A$35:$I$55,4,0))</f>
        <v>105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25.333333333333332</v>
      </c>
      <c r="AI52" s="14">
        <f>IF('Données projet'!$A$62&gt;35,AI51+AH52-AQ51,IF(A52&lt;'Données projet'!$A$62,$AF$205^A52,IF(A52='Données projet'!$A$62,'Données projet'!$B$62,AI51+AH52-AQ51)))</f>
        <v>570.66666666666663</v>
      </c>
      <c r="AJ52" s="14">
        <f>AI52*VLOOKUP('Données projet'!$B$10,Paramètres!$A$1:$I$89,3,0)*VLOOKUP('Données projet'!$B$10,Paramètres!$A$1:$I$89,5,0)</f>
        <v>267.07199999999995</v>
      </c>
      <c r="AK52" s="14">
        <f t="shared" si="35"/>
        <v>64.227480006516572</v>
      </c>
      <c r="AL52" s="22">
        <f t="shared" si="4"/>
        <v>577.01326101134964</v>
      </c>
      <c r="AM52" s="62">
        <f t="shared" si="5"/>
        <v>870.3465943446829</v>
      </c>
      <c r="AN52" s="62">
        <f ca="1">AVERAGE(OFFSET($AM$3,0,0,'Données projet'!$E$10+1,1))-AVERAGE(OFFSET($H$3,0,0,'Données projet'!$E$10+1,1))</f>
        <v>211.93796316015613</v>
      </c>
      <c r="AO52" s="62">
        <f t="shared" si="36"/>
        <v>165.73212396548013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1.6817630122439014E-2</v>
      </c>
      <c r="AX52" s="23">
        <f t="shared" si="6"/>
        <v>1.6817630122439014E-2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24.699999999999992</v>
      </c>
      <c r="D53" s="12">
        <f t="shared" si="32"/>
        <v>7.8368059426416599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251.16130903091798</v>
      </c>
      <c r="H53" s="70">
        <f t="shared" si="1"/>
        <v>350.00160368343415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16</v>
      </c>
      <c r="N53" s="14">
        <f>IF('Données projet'!$A$36&gt;35,N52+M53-V52,IF(A53&lt;'Données projet'!$A$36,$K$205^A53,IF(A53='Données projet'!$A$36,'Données projet'!$B$36,N52+M53-V52)))</f>
        <v>275.00000000000006</v>
      </c>
      <c r="O53" s="14">
        <f>N53*VLOOKUP('Données projet'!$B$9,Paramètres!$A$1:$I$89,3,0)*VLOOKUP('Données projet'!$B$9,Paramètres!$A$1:$I$89,5,0)</f>
        <v>128.70000000000002</v>
      </c>
      <c r="P53" s="14">
        <f t="shared" si="33"/>
        <v>33.695792019186115</v>
      </c>
      <c r="Q53" s="22">
        <f t="shared" si="53"/>
        <v>282.83933776674917</v>
      </c>
      <c r="R53" s="62">
        <f t="shared" si="0"/>
        <v>576.17267110008243</v>
      </c>
      <c r="S53" s="62">
        <f ca="1">AVERAGE(OFFSET($R$3,0,0,'Données projet'!$E$9+1,1))-AVERAGE(OFFSET($H$3,0,0,'Données projet'!$E$9+1,1))</f>
        <v>242.7456246505439</v>
      </c>
      <c r="T53" s="62">
        <f t="shared" si="34"/>
        <v>195.88560859972426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596</v>
      </c>
      <c r="AG53" s="13">
        <f>VLOOKUP(A53,'Données projet'!$A$61:$I$81,9,0)</f>
        <v>25.333333333333332</v>
      </c>
      <c r="AH53" s="13">
        <f t="array" ref="AH53">INDEX(AG:AG,MIN(IF(ISNUMBER(AG53:AG249),ROW(AG53:AG249),"")))</f>
        <v>25.333333333333332</v>
      </c>
      <c r="AI53" s="14">
        <f>IF('Données projet'!$A$62&gt;35,AI52+AH53-AQ52,IF(A53&lt;'Données projet'!$A$62,$AF$205^A53,IF(A53='Données projet'!$A$62,'Données projet'!$B$62,AI52+AH53-AQ52)))</f>
        <v>596</v>
      </c>
      <c r="AJ53" s="14">
        <f>AI53*VLOOKUP('Données projet'!$B$10,Paramètres!$A$1:$I$89,3,0)*VLOOKUP('Données projet'!$B$10,Paramètres!$A$1:$I$89,5,0)</f>
        <v>278.928</v>
      </c>
      <c r="AK53" s="14">
        <f t="shared" si="35"/>
        <v>66.740413913415367</v>
      </c>
      <c r="AL53" s="22">
        <f t="shared" si="4"/>
        <v>602.0391542325317</v>
      </c>
      <c r="AM53" s="62">
        <f t="shared" si="5"/>
        <v>895.37248756586496</v>
      </c>
      <c r="AN53" s="62">
        <f ca="1">AVERAGE(OFFSET($AM$3,0,0,'Données projet'!$E$10+1,1))-AVERAGE(OFFSET($H$3,0,0,'Données projet'!$E$10+1,1))</f>
        <v>211.93796316015613</v>
      </c>
      <c r="AO53" s="62">
        <f t="shared" si="36"/>
        <v>165.73212396548013</v>
      </c>
      <c r="AP53" s="16">
        <f>IF(ISNA(VLOOKUP(A53,'Données projet'!$A$61:$I$81,3,0)),0,VLOOKUP(A53,'Données projet'!$A$61:$I$81,3,0))</f>
        <v>6</v>
      </c>
      <c r="AQ53" s="16">
        <f>IF(ISNA(VLOOKUP(A53,'Données projet'!$A$61:$I$81,4,0)),0,VLOOKUP(A53,'Données projet'!$A$61:$I$81,4,0))</f>
        <v>55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1.1891860303063774E-2</v>
      </c>
      <c r="AX53" s="23">
        <f t="shared" si="6"/>
        <v>1.1891860303063774E-2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25.193999999999992</v>
      </c>
      <c r="D54" s="12">
        <f t="shared" si="32"/>
        <v>7.9751379597846981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256.04246846149584</v>
      </c>
      <c r="H54" s="70">
        <f t="shared" si="1"/>
        <v>351.10291527995832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16</v>
      </c>
      <c r="N54" s="14">
        <f>IF('Données projet'!$A$36&gt;35,N53+M54-V53,IF(A54&lt;'Données projet'!$A$36,$K$205^A54,IF(A54='Données projet'!$A$36,'Données projet'!$B$36,N53+M54-V53)))</f>
        <v>291.00000000000006</v>
      </c>
      <c r="O54" s="14">
        <f>N54*VLOOKUP('Données projet'!$B$9,Paramètres!$A$1:$I$89,3,0)*VLOOKUP('Données projet'!$B$9,Paramètres!$A$1:$I$89,5,0)</f>
        <v>136.18800000000002</v>
      </c>
      <c r="P54" s="14">
        <f t="shared" si="33"/>
        <v>35.42233171450318</v>
      </c>
      <c r="Q54" s="22">
        <f t="shared" si="53"/>
        <v>298.88799440275972</v>
      </c>
      <c r="R54" s="62">
        <f t="shared" si="0"/>
        <v>592.22132773609303</v>
      </c>
      <c r="S54" s="62">
        <f ca="1">AVERAGE(OFFSET($R$3,0,0,'Données projet'!$E$9+1,1))-AVERAGE(OFFSET($H$3,0,0,'Données projet'!$E$9+1,1))</f>
        <v>242.7456246505439</v>
      </c>
      <c r="T54" s="62">
        <f t="shared" si="34"/>
        <v>195.88560859972426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20.166666666666668</v>
      </c>
      <c r="AI54" s="14">
        <f>IF('Données projet'!$A$62&gt;35,AI53+AH54-AQ53,IF(A54&lt;'Données projet'!$A$62,$AF$205^A54,IF(A54='Données projet'!$A$62,'Données projet'!$B$62,AI53+AH54-AQ53)))</f>
        <v>561.16666666666663</v>
      </c>
      <c r="AJ54" s="14">
        <f>AI54*VLOOKUP('Données projet'!$B$10,Paramètres!$A$1:$I$89,3,0)*VLOOKUP('Données projet'!$B$10,Paramètres!$A$1:$I$89,5,0)</f>
        <v>262.62599999999998</v>
      </c>
      <c r="AK54" s="14">
        <f t="shared" si="35"/>
        <v>63.281807230823453</v>
      </c>
      <c r="AL54" s="22">
        <f t="shared" si="4"/>
        <v>567.62276426035078</v>
      </c>
      <c r="AM54" s="62">
        <f t="shared" si="5"/>
        <v>860.95609759368404</v>
      </c>
      <c r="AN54" s="62">
        <f ca="1">AVERAGE(OFFSET($AM$3,0,0,'Données projet'!$E$10+1,1))-AVERAGE(OFFSET($H$3,0,0,'Données projet'!$E$10+1,1))</f>
        <v>211.93796316015613</v>
      </c>
      <c r="AO54" s="62">
        <f t="shared" si="36"/>
        <v>165.73212396548013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8.4088150612195069E-3</v>
      </c>
      <c r="AX54" s="23">
        <f t="shared" si="6"/>
        <v>8.4088150612195069E-3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25.687999999999992</v>
      </c>
      <c r="D55" s="12">
        <f t="shared" si="32"/>
        <v>8.1131545930997699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260.92119335024375</v>
      </c>
      <c r="H55" s="70">
        <f t="shared" si="1"/>
        <v>352.20367758298204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16</v>
      </c>
      <c r="N55" s="14">
        <f>IF('Données projet'!$A$36&gt;35,N54+M55-V54,IF(A55&lt;'Données projet'!$A$36,$K$205^A55,IF(A55='Données projet'!$A$36,'Données projet'!$B$36,N54+M55-V54)))</f>
        <v>307.00000000000006</v>
      </c>
      <c r="O55" s="14">
        <f>N55*VLOOKUP('Données projet'!$B$9,Paramètres!$A$1:$I$89,3,0)*VLOOKUP('Données projet'!$B$9,Paramètres!$A$1:$I$89,5,0)</f>
        <v>143.67600000000002</v>
      </c>
      <c r="P55" s="14">
        <f t="shared" si="33"/>
        <v>37.137850978646654</v>
      </c>
      <c r="Q55" s="22">
        <f t="shared" si="53"/>
        <v>314.91745712114295</v>
      </c>
      <c r="R55" s="62">
        <f t="shared" si="0"/>
        <v>608.25079045447626</v>
      </c>
      <c r="S55" s="62">
        <f ca="1">AVERAGE(OFFSET($R$3,0,0,'Données projet'!$E$9+1,1))-AVERAGE(OFFSET($H$3,0,0,'Données projet'!$E$9+1,1))</f>
        <v>242.7456246505439</v>
      </c>
      <c r="T55" s="62">
        <f t="shared" si="34"/>
        <v>195.88560859972426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20.166666666666668</v>
      </c>
      <c r="AI55" s="14">
        <f>IF('Données projet'!$A$62&gt;35,AI54+AH55-AQ54,IF(A55&lt;'Données projet'!$A$62,$AF$205^A55,IF(A55='Données projet'!$A$62,'Données projet'!$B$62,AI54+AH55-AQ54)))</f>
        <v>581.33333333333326</v>
      </c>
      <c r="AJ55" s="14">
        <f>AI55*VLOOKUP('Données projet'!$B$10,Paramètres!$A$1:$I$89,3,0)*VLOOKUP('Données projet'!$B$10,Paramètres!$A$1:$I$89,5,0)</f>
        <v>272.06399999999996</v>
      </c>
      <c r="AK55" s="14">
        <f t="shared" si="35"/>
        <v>65.287107848113664</v>
      </c>
      <c r="AL55" s="22">
        <f t="shared" si="4"/>
        <v>587.55317950213123</v>
      </c>
      <c r="AM55" s="62">
        <f t="shared" si="5"/>
        <v>880.8865128354646</v>
      </c>
      <c r="AN55" s="62">
        <f ca="1">AVERAGE(OFFSET($AM$3,0,0,'Données projet'!$E$10+1,1))-AVERAGE(OFFSET($H$3,0,0,'Données projet'!$E$10+1,1))</f>
        <v>211.93796316015613</v>
      </c>
      <c r="AO55" s="62">
        <f t="shared" si="36"/>
        <v>165.73212396548013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5.9459301515318872E-3</v>
      </c>
      <c r="AX55" s="23">
        <f t="shared" si="6"/>
        <v>5.9459301515318872E-3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26.181999999999992</v>
      </c>
      <c r="D56" s="12">
        <f t="shared" si="32"/>
        <v>8.250862606903512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265.7975359129394</v>
      </c>
      <c r="H56" s="70">
        <f t="shared" si="1"/>
        <v>353.30390237369022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16</v>
      </c>
      <c r="N56" s="14">
        <f>IF('Données projet'!$A$36&gt;35,N55+M56-V55,IF(A56&lt;'Données projet'!$A$36,$K$205^A56,IF(A56='Données projet'!$A$36,'Données projet'!$B$36,N55+M56-V55)))</f>
        <v>323.00000000000006</v>
      </c>
      <c r="O56" s="14">
        <f>N56*VLOOKUP('Données projet'!$B$9,Paramètres!$A$1:$I$89,3,0)*VLOOKUP('Données projet'!$B$9,Paramètres!$A$1:$I$89,5,0)</f>
        <v>151.16400000000002</v>
      </c>
      <c r="P56" s="14">
        <f t="shared" si="33"/>
        <v>38.84298967415998</v>
      </c>
      <c r="Q56" s="22">
        <f t="shared" si="53"/>
        <v>330.92884034916193</v>
      </c>
      <c r="R56" s="62">
        <f t="shared" si="0"/>
        <v>624.26217368249524</v>
      </c>
      <c r="S56" s="62">
        <f ca="1">AVERAGE(OFFSET($R$3,0,0,'Données projet'!$E$9+1,1))-AVERAGE(OFFSET($H$3,0,0,'Données projet'!$E$9+1,1))</f>
        <v>242.7456246505439</v>
      </c>
      <c r="T56" s="62">
        <f t="shared" si="34"/>
        <v>195.88560859972426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20.166666666666668</v>
      </c>
      <c r="AI56" s="14">
        <f>IF('Données projet'!$A$62&gt;35,AI55+AH56-AQ55,IF(A56&lt;'Données projet'!$A$62,$AF$205^A56,IF(A56='Données projet'!$A$62,'Données projet'!$B$62,AI55+AH56-AQ55)))</f>
        <v>601.49999999999989</v>
      </c>
      <c r="AJ56" s="14">
        <f>AI56*VLOOKUP('Données projet'!$B$10,Paramètres!$A$1:$I$89,3,0)*VLOOKUP('Données projet'!$B$10,Paramètres!$A$1:$I$89,5,0)</f>
        <v>281.50199999999995</v>
      </c>
      <c r="AK56" s="14">
        <f t="shared" si="35"/>
        <v>67.28432575810065</v>
      </c>
      <c r="AL56" s="22">
        <f t="shared" si="4"/>
        <v>607.46951736202516</v>
      </c>
      <c r="AM56" s="62">
        <f t="shared" si="5"/>
        <v>900.80285069535853</v>
      </c>
      <c r="AN56" s="62">
        <f ca="1">AVERAGE(OFFSET($AM$3,0,0,'Données projet'!$E$10+1,1))-AVERAGE(OFFSET($H$3,0,0,'Données projet'!$E$10+1,1))</f>
        <v>211.93796316015613</v>
      </c>
      <c r="AO56" s="62">
        <f t="shared" si="36"/>
        <v>165.73212396548013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4.2044075306097535E-3</v>
      </c>
      <c r="AX56" s="23">
        <f t="shared" si="6"/>
        <v>4.2044075306097535E-3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57" s="12">
        <f t="shared" si="32"/>
        <v>8.388268495647786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270.67154628219339</v>
      </c>
      <c r="H57" s="70">
        <f t="shared" si="1"/>
        <v>354.40360096325321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16</v>
      </c>
      <c r="N57" s="14">
        <f>IF('Données projet'!$A$36&gt;35,N56+M57-V56,IF(A57&lt;'Données projet'!$A$36,$K$205^A57,IF(A57='Données projet'!$A$36,'Données projet'!$B$36,N56+M57-V56)))</f>
        <v>339.00000000000006</v>
      </c>
      <c r="O57" s="14">
        <f>N57*VLOOKUP('Données projet'!$B$9,Paramètres!$A$1:$I$89,3,0)*VLOOKUP('Données projet'!$B$9,Paramètres!$A$1:$I$89,5,0)</f>
        <v>158.65200000000004</v>
      </c>
      <c r="P57" s="14">
        <f t="shared" si="33"/>
        <v>40.538320690487296</v>
      </c>
      <c r="Q57" s="22">
        <f t="shared" si="53"/>
        <v>346.92314186926546</v>
      </c>
      <c r="R57" s="62">
        <f t="shared" si="0"/>
        <v>640.25647520259872</v>
      </c>
      <c r="S57" s="62">
        <f ca="1">AVERAGE(OFFSET($R$3,0,0,'Données projet'!$E$9+1,1))-AVERAGE(OFFSET($H$3,0,0,'Données projet'!$E$9+1,1))</f>
        <v>242.7456246505439</v>
      </c>
      <c r="T57" s="62">
        <f t="shared" si="34"/>
        <v>195.88560859972426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20.166666666666668</v>
      </c>
      <c r="AI57" s="14">
        <f>IF('Données projet'!$A$62&gt;35,AI56+AH57-AQ56,IF(A57&lt;'Données projet'!$A$62,$AF$205^A57,IF(A57='Données projet'!$A$62,'Données projet'!$B$62,AI56+AH57-AQ56)))</f>
        <v>621.66666666666652</v>
      </c>
      <c r="AJ57" s="14">
        <f>AI57*VLOOKUP('Données projet'!$B$10,Paramètres!$A$1:$I$89,3,0)*VLOOKUP('Données projet'!$B$10,Paramètres!$A$1:$I$89,5,0)</f>
        <v>290.93999999999994</v>
      </c>
      <c r="AK57" s="14">
        <f t="shared" si="35"/>
        <v>69.27376302085473</v>
      </c>
      <c r="AL57" s="22">
        <f t="shared" si="4"/>
        <v>627.37230392798858</v>
      </c>
      <c r="AM57" s="62">
        <f t="shared" si="5"/>
        <v>920.70563726132195</v>
      </c>
      <c r="AN57" s="62">
        <f ca="1">AVERAGE(OFFSET($AM$3,0,0,'Données projet'!$E$10+1,1))-AVERAGE(OFFSET($H$3,0,0,'Données projet'!$E$10+1,1))</f>
        <v>211.93796316015613</v>
      </c>
      <c r="AO57" s="62">
        <f t="shared" si="36"/>
        <v>165.73212396548013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2.9729650757659436E-3</v>
      </c>
      <c r="AX57" s="23">
        <f t="shared" si="6"/>
        <v>2.9729650757659436E-3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27.169999999999991</v>
      </c>
      <c r="D58" s="12">
        <f t="shared" si="32"/>
        <v>8.5253784994806487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275.54327262756988</v>
      </c>
      <c r="H58" s="70">
        <f t="shared" si="1"/>
        <v>355.50278421992874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16</v>
      </c>
      <c r="N58" s="14">
        <f>IF('Données projet'!$A$36&gt;35,N57+M58-V57,IF(A58&lt;'Données projet'!$A$36,$K$205^A58,IF(A58='Données projet'!$A$36,'Données projet'!$B$36,N57+M58-V57)))</f>
        <v>355.00000000000006</v>
      </c>
      <c r="O58" s="14">
        <f>N58*VLOOKUP('Données projet'!$B$9,Paramètres!$A$1:$I$89,3,0)*VLOOKUP('Données projet'!$B$9,Paramètres!$A$1:$I$89,5,0)</f>
        <v>166.14000000000001</v>
      </c>
      <c r="P58" s="14">
        <f t="shared" si="33"/>
        <v>42.224359783104845</v>
      </c>
      <c r="Q58" s="22">
        <f t="shared" si="53"/>
        <v>362.90125995557429</v>
      </c>
      <c r="R58" s="62">
        <f t="shared" si="0"/>
        <v>656.2345932889076</v>
      </c>
      <c r="S58" s="62">
        <f ca="1">AVERAGE(OFFSET($R$3,0,0,'Données projet'!$E$9+1,1))-AVERAGE(OFFSET($H$3,0,0,'Données projet'!$E$9+1,1))</f>
        <v>242.7456246505439</v>
      </c>
      <c r="T58" s="62">
        <f t="shared" si="34"/>
        <v>195.88560859972426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20.166666666666668</v>
      </c>
      <c r="AI58" s="14">
        <f>IF('Données projet'!$A$62&gt;35,AI57+AH58-AQ57,IF(A58&lt;'Données projet'!$A$62,$AF$205^A58,IF(A58='Données projet'!$A$62,'Données projet'!$B$62,AI57+AH58-AQ57)))</f>
        <v>641.83333333333314</v>
      </c>
      <c r="AJ58" s="14">
        <f>AI58*VLOOKUP('Données projet'!$B$10,Paramètres!$A$1:$I$89,3,0)*VLOOKUP('Données projet'!$B$10,Paramètres!$A$1:$I$89,5,0)</f>
        <v>300.37799999999993</v>
      </c>
      <c r="AK58" s="14">
        <f t="shared" si="35"/>
        <v>71.255700986480306</v>
      </c>
      <c r="AL58" s="22">
        <f t="shared" si="4"/>
        <v>647.26202921811966</v>
      </c>
      <c r="AM58" s="62">
        <f t="shared" si="5"/>
        <v>940.59536255145304</v>
      </c>
      <c r="AN58" s="62">
        <f ca="1">AVERAGE(OFFSET($AM$3,0,0,'Données projet'!$E$10+1,1))-AVERAGE(OFFSET($H$3,0,0,'Données projet'!$E$10+1,1))</f>
        <v>211.93796316015613</v>
      </c>
      <c r="AO58" s="62">
        <f t="shared" si="36"/>
        <v>165.73212396548013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2.1022037653048767E-3</v>
      </c>
      <c r="AX58" s="23">
        <f t="shared" si="6"/>
        <v>2.1022037653048767E-3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27.663999999999991</v>
      </c>
      <c r="D59" s="12">
        <f t="shared" si="32"/>
        <v>8.6621986186436022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280.4127612667225</v>
      </c>
      <c r="H59" s="70">
        <f t="shared" si="1"/>
        <v>356.60146259413756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>
        <f>VLOOKUP(A59,'Données projet'!$A$35:$I$55,2,0)</f>
        <v>371</v>
      </c>
      <c r="L59" s="13">
        <f>VLOOKUP(A59,'Données projet'!$A$35:$I$55,9,0)</f>
        <v>16</v>
      </c>
      <c r="M59" s="13">
        <f t="array" ref="M59">INDEX(L:L,MIN(IF(ISNUMBER(L59:L255),ROW(L59:L255),"")))</f>
        <v>16</v>
      </c>
      <c r="N59" s="14">
        <f>IF('Données projet'!$A$36&gt;35,N58+M59-V58,IF(A59&lt;'Données projet'!$A$36,$K$205^A59,IF(A59='Données projet'!$A$36,'Données projet'!$B$36,N58+M59-V58)))</f>
        <v>371.00000000000006</v>
      </c>
      <c r="O59" s="14">
        <f>N59*VLOOKUP('Données projet'!$B$9,Paramètres!$A$1:$I$89,3,0)*VLOOKUP('Données projet'!$B$9,Paramètres!$A$1:$I$89,5,0)</f>
        <v>173.62800000000001</v>
      </c>
      <c r="P59" s="14">
        <f t="shared" si="33"/>
        <v>43.901573588714463</v>
      </c>
      <c r="Q59" s="22">
        <f t="shared" si="53"/>
        <v>378.86400733367765</v>
      </c>
      <c r="R59" s="62">
        <f t="shared" si="0"/>
        <v>672.19734066701096</v>
      </c>
      <c r="S59" s="62">
        <f ca="1">AVERAGE(OFFSET($R$3,0,0,'Données projet'!$E$9+1,1))-AVERAGE(OFFSET($H$3,0,0,'Données projet'!$E$9+1,1))</f>
        <v>242.7456246505439</v>
      </c>
      <c r="T59" s="62">
        <f t="shared" si="34"/>
        <v>195.88560859972426</v>
      </c>
      <c r="U59" s="16">
        <f>IF(ISNA(VLOOKUP(A59,'Données projet'!$A$35:$I$55,3,0)),0,VLOOKUP(A59,'Données projet'!$A$35:$I$55,3,0))</f>
        <v>2</v>
      </c>
      <c r="V59" s="16">
        <f>IF(ISNA(VLOOKUP(A59,'Données projet'!$A$35:$I$55,4,0)),0,VLOOKUP(A59,'Données projet'!$A$35:$I$55,4,0))</f>
        <v>74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>
        <f>VLOOKUP(A59,'Données projet'!$A$61:$I$81,2,0)</f>
        <v>662</v>
      </c>
      <c r="AG59" s="13">
        <f>VLOOKUP(A59,'Données projet'!$A$61:$I$81,9,0)</f>
        <v>20.166666666666668</v>
      </c>
      <c r="AH59" s="13">
        <f t="array" ref="AH59">INDEX(AG:AG,MIN(IF(ISNUMBER(AG59:AG255),ROW(AG59:AG255),"")))</f>
        <v>20.166666666666668</v>
      </c>
      <c r="AI59" s="14">
        <f>IF('Données projet'!$A$62&gt;35,AI58+AH59-AQ58,IF(A59&lt;'Données projet'!$A$62,$AF$205^A59,IF(A59='Données projet'!$A$62,'Données projet'!$B$62,AI58+AH59-AQ58)))</f>
        <v>661.99999999999977</v>
      </c>
      <c r="AJ59" s="14">
        <f>AI59*VLOOKUP('Données projet'!$B$10,Paramètres!$A$1:$I$89,3,0)*VLOOKUP('Données projet'!$B$10,Paramètres!$A$1:$I$89,5,0)</f>
        <v>309.81599999999992</v>
      </c>
      <c r="AK59" s="14">
        <f t="shared" si="35"/>
        <v>73.230402320660119</v>
      </c>
      <c r="AL59" s="22">
        <f t="shared" si="4"/>
        <v>667.13915070848282</v>
      </c>
      <c r="AM59" s="62">
        <f t="shared" si="5"/>
        <v>960.47248404181619</v>
      </c>
      <c r="AN59" s="62">
        <f ca="1">AVERAGE(OFFSET($AM$3,0,0,'Données projet'!$E$10+1,1))-AVERAGE(OFFSET($H$3,0,0,'Données projet'!$E$10+1,1))</f>
        <v>211.93796316015613</v>
      </c>
      <c r="AO59" s="62">
        <f t="shared" si="36"/>
        <v>165.73212396548013</v>
      </c>
      <c r="AP59" s="16">
        <f>IF(ISNA(VLOOKUP(A59,'Données projet'!$A$61:$I$81,3,0)),0,VLOOKUP(A59,'Données projet'!$A$61:$I$81,3,0))</f>
        <v>7</v>
      </c>
      <c r="AQ59" s="16">
        <f>IF(ISNA(VLOOKUP(A59,'Données projet'!$A$61:$I$81,4,0)),0,VLOOKUP(A59,'Données projet'!$A$61:$I$81,4,0))</f>
        <v>662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1.4864825378829718E-3</v>
      </c>
      <c r="AX59" s="23">
        <f t="shared" si="6"/>
        <v>1.4864825378829718E-3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28.157999999999991</v>
      </c>
      <c r="D60" s="12">
        <f t="shared" si="32"/>
        <v>8.7987346268113527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285.28005676836824</v>
      </c>
      <c r="H60" s="70">
        <f t="shared" si="1"/>
        <v>357.69964614169641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15.714285714285714</v>
      </c>
      <c r="N60" s="14">
        <f>IF('Données projet'!$A$36&gt;35,N59+M60-V59,IF(A60&lt;'Données projet'!$A$36,$K$205^A60,IF(A60='Données projet'!$A$36,'Données projet'!$B$36,N59+M60-V59)))</f>
        <v>312.71428571428578</v>
      </c>
      <c r="O60" s="14">
        <f>N60*VLOOKUP('Données projet'!$B$9,Paramètres!$A$1:$I$89,3,0)*VLOOKUP('Données projet'!$B$9,Paramètres!$A$1:$I$89,5,0)</f>
        <v>146.35028571428575</v>
      </c>
      <c r="P60" s="14">
        <f t="shared" si="33"/>
        <v>37.747989659731687</v>
      </c>
      <c r="Q60" s="22">
        <f t="shared" si="53"/>
        <v>320.63782960974697</v>
      </c>
      <c r="R60" s="62">
        <f t="shared" si="0"/>
        <v>613.97116294308034</v>
      </c>
      <c r="S60" s="62">
        <f ca="1">AVERAGE(OFFSET($R$3,0,0,'Données projet'!$E$9+1,1))-AVERAGE(OFFSET($H$3,0,0,'Données projet'!$E$9+1,1))</f>
        <v>242.7456246505439</v>
      </c>
      <c r="T60" s="62">
        <f t="shared" si="34"/>
        <v>195.88560859972426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-2.2737367544323206E-13</v>
      </c>
      <c r="AJ60" s="14">
        <f>AI60*VLOOKUP('Données projet'!$B$10,Paramètres!$A$1:$I$89,3,0)*VLOOKUP('Données projet'!$B$10,Paramètres!$A$1:$I$89,5,0)</f>
        <v>-1.064108801074326E-13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211.93796316015613</v>
      </c>
      <c r="AO60" s="62">
        <f t="shared" si="36"/>
        <v>165.73212396548013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1.0511018826524384E-3</v>
      </c>
      <c r="AX60" s="23">
        <f t="shared" si="6"/>
        <v>1.0511018826524384E-3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28.65199999999999</v>
      </c>
      <c r="D61" s="12">
        <f t="shared" si="32"/>
        <v>8.9349920834689218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290.1452020478302</v>
      </c>
      <c r="H61" s="70">
        <f t="shared" si="1"/>
        <v>358.79734454537498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15.714285714285714</v>
      </c>
      <c r="N61" s="14">
        <f>IF('Données projet'!$A$36&gt;35,N60+M61-V60,IF(A61&lt;'Données projet'!$A$36,$K$205^A61,IF(A61='Données projet'!$A$36,'Données projet'!$B$36,N60+M61-V60)))</f>
        <v>328.4285714285715</v>
      </c>
      <c r="O61" s="14">
        <f>N61*VLOOKUP('Données projet'!$B$9,Paramètres!$A$1:$I$89,3,0)*VLOOKUP('Données projet'!$B$9,Paramètres!$A$1:$I$89,5,0)</f>
        <v>153.70457142857146</v>
      </c>
      <c r="P61" s="14">
        <f t="shared" si="33"/>
        <v>39.419263657641153</v>
      </c>
      <c r="Q61" s="22">
        <f t="shared" si="53"/>
        <v>336.35734610848698</v>
      </c>
      <c r="R61" s="62">
        <f t="shared" si="0"/>
        <v>629.69067944182029</v>
      </c>
      <c r="S61" s="62">
        <f ca="1">AVERAGE(OFFSET($R$3,0,0,'Données projet'!$E$9+1,1))-AVERAGE(OFFSET($H$3,0,0,'Données projet'!$E$9+1,1))</f>
        <v>242.7456246505439</v>
      </c>
      <c r="T61" s="62">
        <f t="shared" si="34"/>
        <v>195.88560859972426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-2.2737367544323206E-13</v>
      </c>
      <c r="AJ61" s="14">
        <f>AI61*VLOOKUP('Données projet'!$B$10,Paramètres!$A$1:$I$89,3,0)*VLOOKUP('Données projet'!$B$10,Paramètres!$A$1:$I$89,5,0)</f>
        <v>-1.064108801074326E-13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211.93796316015613</v>
      </c>
      <c r="AO61" s="62">
        <f t="shared" si="36"/>
        <v>165.73212396548013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7.432412689414859E-4</v>
      </c>
      <c r="AX61" s="23">
        <f t="shared" si="6"/>
        <v>7.432412689414859E-4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29.14599999999999</v>
      </c>
      <c r="D62" s="12">
        <f t="shared" si="32"/>
        <v>9.0709763454110508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295.00823845580453</v>
      </c>
      <c r="H62" s="70">
        <f t="shared" si="1"/>
        <v>359.89456713492422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15.714285714285714</v>
      </c>
      <c r="N62" s="14">
        <f>IF('Données projet'!$A$36&gt;35,N61+M62-V61,IF(A62&lt;'Données projet'!$A$36,$K$205^A62,IF(A62='Données projet'!$A$36,'Données projet'!$B$36,N61+M62-V61)))</f>
        <v>344.14285714285722</v>
      </c>
      <c r="O62" s="14">
        <f>N62*VLOOKUP('Données projet'!$B$9,Paramètres!$A$1:$I$89,3,0)*VLOOKUP('Données projet'!$B$9,Paramètres!$A$1:$I$89,5,0)</f>
        <v>161.05885714285716</v>
      </c>
      <c r="P62" s="14">
        <f t="shared" si="33"/>
        <v>41.081251829746279</v>
      </c>
      <c r="Q62" s="22">
        <f t="shared" si="53"/>
        <v>352.06068979395098</v>
      </c>
      <c r="R62" s="62">
        <f t="shared" si="0"/>
        <v>645.3940231272843</v>
      </c>
      <c r="S62" s="62">
        <f ca="1">AVERAGE(OFFSET($R$3,0,0,'Données projet'!$E$9+1,1))-AVERAGE(OFFSET($H$3,0,0,'Données projet'!$E$9+1,1))</f>
        <v>242.7456246505439</v>
      </c>
      <c r="T62" s="62">
        <f t="shared" si="34"/>
        <v>195.88560859972426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-2.2737367544323206E-13</v>
      </c>
      <c r="AJ62" s="14">
        <f>AI62*VLOOKUP('Données projet'!$B$10,Paramètres!$A$1:$I$89,3,0)*VLOOKUP('Données projet'!$B$10,Paramètres!$A$1:$I$89,5,0)</f>
        <v>-1.064108801074326E-13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211.93796316015613</v>
      </c>
      <c r="AO62" s="62">
        <f t="shared" si="36"/>
        <v>165.73212396548013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5.2555094132621918E-4</v>
      </c>
      <c r="AX62" s="23">
        <f t="shared" si="6"/>
        <v>5.2555094132621918E-4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29.63999999999999</v>
      </c>
      <c r="D63" s="12">
        <f t="shared" si="32"/>
        <v>9.2066925774398314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299.86920586093902</v>
      </c>
      <c r="H63" s="70">
        <f t="shared" si="1"/>
        <v>360.99132290570765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15.714285714285714</v>
      </c>
      <c r="N63" s="14">
        <f>IF('Données projet'!$A$36&gt;35,N62+M63-V62,IF(A63&lt;'Données projet'!$A$36,$K$205^A63,IF(A63='Données projet'!$A$36,'Données projet'!$B$36,N62+M63-V62)))</f>
        <v>359.85714285714295</v>
      </c>
      <c r="O63" s="14">
        <f>N63*VLOOKUP('Données projet'!$B$9,Paramètres!$A$1:$I$89,3,0)*VLOOKUP('Données projet'!$B$9,Paramètres!$A$1:$I$89,5,0)</f>
        <v>168.4131428571429</v>
      </c>
      <c r="P63" s="14">
        <f t="shared" si="33"/>
        <v>42.734426620921077</v>
      </c>
      <c r="Q63" s="22">
        <f t="shared" si="53"/>
        <v>367.74868350762807</v>
      </c>
      <c r="R63" s="62">
        <f t="shared" si="0"/>
        <v>661.08201684096139</v>
      </c>
      <c r="S63" s="62">
        <f ca="1">AVERAGE(OFFSET($R$3,0,0,'Données projet'!$E$9+1,1))-AVERAGE(OFFSET($H$3,0,0,'Données projet'!$E$9+1,1))</f>
        <v>242.7456246505439</v>
      </c>
      <c r="T63" s="62">
        <f t="shared" si="34"/>
        <v>195.88560859972426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-2.2737367544323206E-13</v>
      </c>
      <c r="AJ63" s="14">
        <f>AI63*VLOOKUP('Données projet'!$B$10,Paramètres!$A$1:$I$89,3,0)*VLOOKUP('Données projet'!$B$10,Paramètres!$A$1:$I$89,5,0)</f>
        <v>-1.064108801074326E-13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211.93796316015613</v>
      </c>
      <c r="AO63" s="62">
        <f t="shared" si="36"/>
        <v>165.73212396548013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3.7162063447074295E-4</v>
      </c>
      <c r="AX63" s="23">
        <f t="shared" si="6"/>
        <v>3.7162063447074295E-4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30.13399999999999</v>
      </c>
      <c r="D64" s="12">
        <f t="shared" si="32"/>
        <v>9.3421457623289594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304.72814272674975</v>
      </c>
      <c r="H64" s="70">
        <f t="shared" si="1"/>
        <v>362.08762053605625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15.714285714285714</v>
      </c>
      <c r="N64" s="14">
        <f>IF('Données projet'!$A$36&gt;35,N63+M64-V63,IF(A64&lt;'Données projet'!$A$36,$K$205^A64,IF(A64='Données projet'!$A$36,'Données projet'!$B$36,N63+M64-V63)))</f>
        <v>375.57142857142867</v>
      </c>
      <c r="O64" s="14">
        <f>N64*VLOOKUP('Données projet'!$B$9,Paramètres!$A$1:$I$89,3,0)*VLOOKUP('Données projet'!$B$9,Paramètres!$A$1:$I$89,5,0)</f>
        <v>175.76742857142864</v>
      </c>
      <c r="P64" s="14">
        <f t="shared" si="33"/>
        <v>44.379216881238008</v>
      </c>
      <c r="Q64" s="22">
        <f t="shared" si="53"/>
        <v>383.42207416339437</v>
      </c>
      <c r="R64" s="62">
        <f t="shared" si="0"/>
        <v>676.75540749672768</v>
      </c>
      <c r="S64" s="62">
        <f ca="1">AVERAGE(OFFSET($R$3,0,0,'Données projet'!$E$9+1,1))-AVERAGE(OFFSET($H$3,0,0,'Données projet'!$E$9+1,1))</f>
        <v>242.7456246505439</v>
      </c>
      <c r="T64" s="62">
        <f t="shared" si="34"/>
        <v>195.88560859972426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-2.2737367544323206E-13</v>
      </c>
      <c r="AJ64" s="14">
        <f>AI64*VLOOKUP('Données projet'!$B$10,Paramètres!$A$1:$I$89,3,0)*VLOOKUP('Données projet'!$B$10,Paramètres!$A$1:$I$89,5,0)</f>
        <v>-1.064108801074326E-13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211.93796316015613</v>
      </c>
      <c r="AO64" s="62">
        <f t="shared" si="36"/>
        <v>165.73212396548013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2.6277547066310959E-4</v>
      </c>
      <c r="AX64" s="23">
        <f t="shared" si="6"/>
        <v>2.6277547066310959E-4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30.627999999999989</v>
      </c>
      <c r="D65" s="12">
        <f t="shared" si="32"/>
        <v>9.4773407101161169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309.58508618335242</v>
      </c>
      <c r="H65" s="70">
        <f t="shared" si="1"/>
        <v>363.1834684034522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15.714285714285714</v>
      </c>
      <c r="N65" s="14">
        <f>IF('Données projet'!$A$36&gt;35,N64+M65-V64,IF(A65&lt;'Données projet'!$A$36,$K$205^A65,IF(A65='Données projet'!$A$36,'Données projet'!$B$36,N64+M65-V64)))</f>
        <v>391.28571428571439</v>
      </c>
      <c r="O65" s="14">
        <f>N65*VLOOKUP('Données projet'!$B$9,Paramètres!$A$1:$I$89,3,0)*VLOOKUP('Données projet'!$B$9,Paramètres!$A$1:$I$89,5,0)</f>
        <v>183.12171428571432</v>
      </c>
      <c r="P65" s="14">
        <f t="shared" si="33"/>
        <v>46.016013543487091</v>
      </c>
      <c r="Q65" s="22">
        <f t="shared" si="53"/>
        <v>399.08154263585919</v>
      </c>
      <c r="R65" s="62">
        <f t="shared" si="0"/>
        <v>692.41487596919251</v>
      </c>
      <c r="S65" s="62">
        <f ca="1">AVERAGE(OFFSET($R$3,0,0,'Données projet'!$E$9+1,1))-AVERAGE(OFFSET($H$3,0,0,'Données projet'!$E$9+1,1))</f>
        <v>242.7456246505439</v>
      </c>
      <c r="T65" s="62">
        <f t="shared" si="34"/>
        <v>195.88560859972426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-2.2737367544323206E-13</v>
      </c>
      <c r="AJ65" s="14">
        <f>AI65*VLOOKUP('Données projet'!$B$10,Paramètres!$A$1:$I$89,3,0)*VLOOKUP('Données projet'!$B$10,Paramètres!$A$1:$I$89,5,0)</f>
        <v>-1.064108801074326E-13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211.93796316015613</v>
      </c>
      <c r="AO65" s="62">
        <f t="shared" si="36"/>
        <v>165.73212396548013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1.8581031723537147E-4</v>
      </c>
      <c r="AX65" s="23">
        <f t="shared" si="6"/>
        <v>1.8581031723537147E-4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31.121999999999989</v>
      </c>
      <c r="D66" s="12">
        <f t="shared" si="32"/>
        <v>9.612282066778798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314.44007209443276</v>
      </c>
      <c r="H66" s="70">
        <f t="shared" si="1"/>
        <v>364.27887459963972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>
        <f>VLOOKUP(A66,'Données projet'!$A$35:$I$55,2,0)</f>
        <v>407</v>
      </c>
      <c r="L66" s="13">
        <f>VLOOKUP(A66,'Données projet'!$A$35:$I$55,9,0)</f>
        <v>15.714285714285714</v>
      </c>
      <c r="M66" s="13">
        <f t="array" ref="M66">INDEX(L:L,MIN(IF(ISNUMBER(L66:L262),ROW(L66:L262),"")))</f>
        <v>15.714285714285714</v>
      </c>
      <c r="N66" s="14">
        <f>IF('Données projet'!$A$36&gt;35,N65+M66-V65,IF(A66&lt;'Données projet'!$A$36,$K$205^A66,IF(A66='Données projet'!$A$36,'Données projet'!$B$36,N65+M66-V65)))</f>
        <v>407.00000000000011</v>
      </c>
      <c r="O66" s="14">
        <f>N66*VLOOKUP('Données projet'!$B$9,Paramètres!$A$1:$I$89,3,0)*VLOOKUP('Données projet'!$B$9,Paramètres!$A$1:$I$89,5,0)</f>
        <v>190.47600000000006</v>
      </c>
      <c r="P66" s="14">
        <f t="shared" si="33"/>
        <v>47.645174362968355</v>
      </c>
      <c r="Q66" s="22">
        <f t="shared" si="53"/>
        <v>414.7277120155033</v>
      </c>
      <c r="R66" s="62">
        <f t="shared" si="0"/>
        <v>708.06104534883661</v>
      </c>
      <c r="S66" s="62">
        <f ca="1">AVERAGE(OFFSET($R$3,0,0,'Données projet'!$E$9+1,1))-AVERAGE(OFFSET($H$3,0,0,'Données projet'!$E$9+1,1))</f>
        <v>242.7456246505439</v>
      </c>
      <c r="T66" s="62">
        <f t="shared" si="34"/>
        <v>195.88560859972426</v>
      </c>
      <c r="U66" s="16">
        <f>IF(ISNA(VLOOKUP(A66,'Données projet'!$A$35:$I$55,3,0)),0,VLOOKUP(A66,'Données projet'!$A$35:$I$55,3,0))</f>
        <v>3</v>
      </c>
      <c r="V66" s="16">
        <f>IF(ISNA(VLOOKUP(A66,'Données projet'!$A$35:$I$55,4,0)),0,VLOOKUP(A66,'Données projet'!$A$35:$I$55,4,0))</f>
        <v>77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-2.2737367544323206E-13</v>
      </c>
      <c r="AJ66" s="14">
        <f>AI66*VLOOKUP('Données projet'!$B$10,Paramètres!$A$1:$I$89,3,0)*VLOOKUP('Données projet'!$B$10,Paramètres!$A$1:$I$89,5,0)</f>
        <v>-1.064108801074326E-13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211.93796316015613</v>
      </c>
      <c r="AO66" s="62">
        <f t="shared" si="36"/>
        <v>165.73212396548013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1.313877353315548E-4</v>
      </c>
      <c r="AX66" s="23">
        <f t="shared" si="6"/>
        <v>1.313877353315548E-4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31.615999999999989</v>
      </c>
      <c r="D67" s="12">
        <f t="shared" si="32"/>
        <v>9.7469743223436929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319.293135119846</v>
      </c>
      <c r="H67" s="70">
        <f t="shared" si="1"/>
        <v>365.37384694474855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15.125</v>
      </c>
      <c r="N67" s="14">
        <f>IF('Données projet'!$A$36&gt;35,N66+M67-V66,IF(A67&lt;'Données projet'!$A$36,$K$205^A67,IF(A67='Données projet'!$A$36,'Données projet'!$B$36,N66+M67-V66)))</f>
        <v>345.12500000000011</v>
      </c>
      <c r="O67" s="14">
        <f>N67*VLOOKUP('Données projet'!$B$9,Paramètres!$A$1:$I$89,3,0)*VLOOKUP('Données projet'!$B$9,Paramètres!$A$1:$I$89,5,0)</f>
        <v>161.51850000000005</v>
      </c>
      <c r="P67" s="14">
        <f t="shared" si="33"/>
        <v>41.18482880272019</v>
      </c>
      <c r="Q67" s="22">
        <f t="shared" ref="Q67:Q98" si="54">(O67+P67)*0.475*44/12</f>
        <v>353.04163099807107</v>
      </c>
      <c r="R67" s="62">
        <f t="shared" ref="R67:R130" si="55">Q67+(I67+J67)*44/12</f>
        <v>646.37496433140439</v>
      </c>
      <c r="S67" s="62">
        <f ca="1">AVERAGE(OFFSET($R$3,0,0,'Données projet'!$E$9+1,1))-AVERAGE(OFFSET($H$3,0,0,'Données projet'!$E$9+1,1))</f>
        <v>242.7456246505439</v>
      </c>
      <c r="T67" s="62">
        <f t="shared" si="34"/>
        <v>195.88560859972426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-2.2737367544323206E-13</v>
      </c>
      <c r="AJ67" s="14">
        <f>AI67*VLOOKUP('Données projet'!$B$10,Paramètres!$A$1:$I$89,3,0)*VLOOKUP('Données projet'!$B$10,Paramètres!$A$1:$I$89,5,0)</f>
        <v>-1.064108801074326E-13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211.93796316015613</v>
      </c>
      <c r="AO67" s="62">
        <f t="shared" si="36"/>
        <v>165.73212396548013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9.2905158617685737E-5</v>
      </c>
      <c r="AX67" s="23">
        <f t="shared" si="6"/>
        <v>9.2905158617685737E-5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32.109999999999992</v>
      </c>
      <c r="D68" s="12">
        <f t="shared" si="32"/>
        <v>9.8814218184748146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324.14430877419147</v>
      </c>
      <c r="H68" s="70">
        <f t="shared" ref="H68:H131" si="56">(B68+E68+F68)*44/12+(C68+D68)*0.475*44/12</f>
        <v>366.46839300051028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15.125</v>
      </c>
      <c r="N68" s="14">
        <f>IF('Données projet'!$A$36&gt;35,N67+M68-V67,IF(A68&lt;'Données projet'!$A$36,$K$205^A68,IF(A68='Données projet'!$A$36,'Données projet'!$B$36,N67+M68-V67)))</f>
        <v>360.25000000000011</v>
      </c>
      <c r="O68" s="14">
        <f>N68*VLOOKUP('Données projet'!$B$9,Paramètres!$A$1:$I$89,3,0)*VLOOKUP('Données projet'!$B$9,Paramètres!$A$1:$I$89,5,0)</f>
        <v>168.59700000000004</v>
      </c>
      <c r="P68" s="14">
        <f t="shared" si="33"/>
        <v>42.775646862368646</v>
      </c>
      <c r="Q68" s="22">
        <f t="shared" si="54"/>
        <v>368.14069328529212</v>
      </c>
      <c r="R68" s="62">
        <f t="shared" si="55"/>
        <v>661.47402661862543</v>
      </c>
      <c r="S68" s="62">
        <f ca="1">AVERAGE(OFFSET($R$3,0,0,'Données projet'!$E$9+1,1))-AVERAGE(OFFSET($H$3,0,0,'Données projet'!$E$9+1,1))</f>
        <v>242.7456246505439</v>
      </c>
      <c r="T68" s="62">
        <f t="shared" si="34"/>
        <v>195.88560859972426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-2.2737367544323206E-13</v>
      </c>
      <c r="AJ68" s="14">
        <f>AI68*VLOOKUP('Données projet'!$B$10,Paramètres!$A$1:$I$89,3,0)*VLOOKUP('Données projet'!$B$10,Paramètres!$A$1:$I$89,5,0)</f>
        <v>-1.064108801074326E-13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211.93796316015613</v>
      </c>
      <c r="AO68" s="62">
        <f t="shared" si="36"/>
        <v>165.73212396548013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6.5693867665777398E-5</v>
      </c>
      <c r="AX68" s="23">
        <f t="shared" ref="AX68:AX131" si="60">SUM(AU68:AW68)</f>
        <v>6.5693867665777398E-5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32.603999999999992</v>
      </c>
      <c r="D69" s="12">
        <f t="shared" ref="D69:D132" si="86">IFERROR(EXP(-1.0587+0.8836*LN(C69)+0.284),0)</f>
        <v>10.015628755581478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328.99362548168159</v>
      </c>
      <c r="H69" s="70">
        <f t="shared" si="56"/>
        <v>367.56252008263772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15.125</v>
      </c>
      <c r="N69" s="14">
        <f>IF('Données projet'!$A$36&gt;35,N68+M69-V68,IF(A69&lt;'Données projet'!$A$36,$K$205^A69,IF(A69='Données projet'!$A$36,'Données projet'!$B$36,N68+M69-V68)))</f>
        <v>375.37500000000011</v>
      </c>
      <c r="O69" s="14">
        <f>N69*VLOOKUP('Données projet'!$B$9,Paramètres!$A$1:$I$89,3,0)*VLOOKUP('Données projet'!$B$9,Paramètres!$A$1:$I$89,5,0)</f>
        <v>175.67550000000006</v>
      </c>
      <c r="P69" s="14">
        <f t="shared" ref="P69:P132" si="87">EXP(-1.0587+0.8836*LN(O69)+0.284)</f>
        <v>44.358707116645647</v>
      </c>
      <c r="Q69" s="22">
        <f t="shared" si="54"/>
        <v>383.22624406149117</v>
      </c>
      <c r="R69" s="62">
        <f t="shared" si="55"/>
        <v>676.55957739482449</v>
      </c>
      <c r="S69" s="62">
        <f ca="1">AVERAGE(OFFSET($R$3,0,0,'Données projet'!$E$9+1,1))-AVERAGE(OFFSET($H$3,0,0,'Données projet'!$E$9+1,1))</f>
        <v>242.7456246505439</v>
      </c>
      <c r="T69" s="62">
        <f t="shared" ref="T69:T132" si="88">$T$3</f>
        <v>195.88560859972426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-2.2737367544323206E-13</v>
      </c>
      <c r="AJ69" s="14">
        <f>AI69*VLOOKUP('Données projet'!$B$10,Paramètres!$A$1:$I$89,3,0)*VLOOKUP('Données projet'!$B$10,Paramètres!$A$1:$I$89,5,0)</f>
        <v>-1.064108801074326E-13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211.93796316015613</v>
      </c>
      <c r="AO69" s="62">
        <f t="shared" ref="AO69:AO132" si="90">$AO$3</f>
        <v>165.73212396548013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4.6452579308842869E-5</v>
      </c>
      <c r="AX69" s="23">
        <f t="shared" si="60"/>
        <v>4.6452579308842869E-5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33.097999999999992</v>
      </c>
      <c r="D70" s="12">
        <f t="shared" si="86"/>
        <v>10.149599199483195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333.84111662758954</v>
      </c>
      <c r="H70" s="70">
        <f t="shared" si="56"/>
        <v>368.65623527243321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15.125</v>
      </c>
      <c r="N70" s="14">
        <f>IF('Données projet'!$A$36&gt;35,N69+M70-V69,IF(A70&lt;'Données projet'!$A$36,$K$205^A70,IF(A70='Données projet'!$A$36,'Données projet'!$B$36,N69+M70-V69)))</f>
        <v>390.50000000000011</v>
      </c>
      <c r="O70" s="14">
        <f>N70*VLOOKUP('Données projet'!$B$9,Paramètres!$A$1:$I$89,3,0)*VLOOKUP('Données projet'!$B$9,Paramètres!$A$1:$I$89,5,0)</f>
        <v>182.75400000000005</v>
      </c>
      <c r="P70" s="14">
        <f t="shared" si="87"/>
        <v>45.934357911110254</v>
      </c>
      <c r="Q70" s="22">
        <f t="shared" si="54"/>
        <v>398.29889002851706</v>
      </c>
      <c r="R70" s="62">
        <f t="shared" si="55"/>
        <v>691.63222336185038</v>
      </c>
      <c r="S70" s="62">
        <f ca="1">AVERAGE(OFFSET($R$3,0,0,'Données projet'!$E$9+1,1))-AVERAGE(OFFSET($H$3,0,0,'Données projet'!$E$9+1,1))</f>
        <v>242.7456246505439</v>
      </c>
      <c r="T70" s="62">
        <f t="shared" si="88"/>
        <v>195.88560859972426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-2.2737367544323206E-13</v>
      </c>
      <c r="AJ70" s="14">
        <f>AI70*VLOOKUP('Données projet'!$B$10,Paramètres!$A$1:$I$89,3,0)*VLOOKUP('Données projet'!$B$10,Paramètres!$A$1:$I$89,5,0)</f>
        <v>-1.064108801074326E-13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211.93796316015613</v>
      </c>
      <c r="AO70" s="62">
        <f t="shared" si="90"/>
        <v>165.73212396548013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3.2846933832888699E-5</v>
      </c>
      <c r="AX70" s="23">
        <f t="shared" si="60"/>
        <v>3.2846933832888699E-5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33.591999999999992</v>
      </c>
      <c r="D71" s="12">
        <f t="shared" si="86"/>
        <v>10.283337087665418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338.68681260654</v>
      </c>
      <c r="H71" s="70">
        <f t="shared" si="56"/>
        <v>369.74954542768387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15.125</v>
      </c>
      <c r="N71" s="14">
        <f>IF('Données projet'!$A$36&gt;35,N70+M71-V70,IF(A71&lt;'Données projet'!$A$36,$K$205^A71,IF(A71='Données projet'!$A$36,'Données projet'!$B$36,N70+M71-V70)))</f>
        <v>405.62500000000011</v>
      </c>
      <c r="O71" s="14">
        <f>N71*VLOOKUP('Données projet'!$B$9,Paramètres!$A$1:$I$89,3,0)*VLOOKUP('Données projet'!$B$9,Paramètres!$A$1:$I$89,5,0)</f>
        <v>189.83250000000004</v>
      </c>
      <c r="P71" s="14">
        <f t="shared" si="87"/>
        <v>47.502919078777879</v>
      </c>
      <c r="Q71" s="22">
        <f t="shared" si="54"/>
        <v>413.35918822887157</v>
      </c>
      <c r="R71" s="62">
        <f t="shared" si="55"/>
        <v>706.69252156220489</v>
      </c>
      <c r="S71" s="62">
        <f ca="1">AVERAGE(OFFSET($R$3,0,0,'Données projet'!$E$9+1,1))-AVERAGE(OFFSET($H$3,0,0,'Données projet'!$E$9+1,1))</f>
        <v>242.7456246505439</v>
      </c>
      <c r="T71" s="62">
        <f t="shared" si="88"/>
        <v>195.88560859972426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-2.2737367544323206E-13</v>
      </c>
      <c r="AJ71" s="14">
        <f>AI71*VLOOKUP('Données projet'!$B$10,Paramètres!$A$1:$I$89,3,0)*VLOOKUP('Données projet'!$B$10,Paramètres!$A$1:$I$89,5,0)</f>
        <v>-1.064108801074326E-13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211.93796316015613</v>
      </c>
      <c r="AO71" s="62">
        <f t="shared" si="90"/>
        <v>165.73212396548013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2.3226289654421434E-5</v>
      </c>
      <c r="AX71" s="23">
        <f t="shared" si="60"/>
        <v>2.3226289654421434E-5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34.085999999999991</v>
      </c>
      <c r="D72" s="12">
        <f t="shared" si="86"/>
        <v>10.41684623515679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343.53074286787688</v>
      </c>
      <c r="H72" s="70">
        <f t="shared" si="56"/>
        <v>370.84245719289805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15.125</v>
      </c>
      <c r="N72" s="14">
        <f>IF('Données projet'!$A$36&gt;35,N71+M72-V71,IF(A72&lt;'Données projet'!$A$36,$K$205^A72,IF(A72='Données projet'!$A$36,'Données projet'!$B$36,N71+M72-V71)))</f>
        <v>420.75000000000011</v>
      </c>
      <c r="O72" s="14">
        <f>N72*VLOOKUP('Données projet'!$B$9,Paramètres!$A$1:$I$89,3,0)*VLOOKUP('Données projet'!$B$9,Paramètres!$A$1:$I$89,5,0)</f>
        <v>196.91100000000003</v>
      </c>
      <c r="P72" s="14">
        <f t="shared" si="87"/>
        <v>49.064685249388845</v>
      </c>
      <c r="Q72" s="22">
        <f t="shared" si="54"/>
        <v>428.40765180935227</v>
      </c>
      <c r="R72" s="62">
        <f t="shared" si="55"/>
        <v>721.74098514268553</v>
      </c>
      <c r="S72" s="62">
        <f ca="1">AVERAGE(OFFSET($R$3,0,0,'Données projet'!$E$9+1,1))-AVERAGE(OFFSET($H$3,0,0,'Données projet'!$E$9+1,1))</f>
        <v>242.7456246505439</v>
      </c>
      <c r="T72" s="62">
        <f t="shared" si="88"/>
        <v>195.88560859972426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-2.2737367544323206E-13</v>
      </c>
      <c r="AJ72" s="14">
        <f>AI72*VLOOKUP('Données projet'!$B$10,Paramètres!$A$1:$I$89,3,0)*VLOOKUP('Données projet'!$B$10,Paramètres!$A$1:$I$89,5,0)</f>
        <v>-1.064108801074326E-13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211.93796316015613</v>
      </c>
      <c r="AO72" s="62">
        <f t="shared" si="90"/>
        <v>165.73212396548013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1.6423466916444349E-5</v>
      </c>
      <c r="AX72" s="23">
        <f t="shared" si="60"/>
        <v>1.6423466916444349E-5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34.579999999999991</v>
      </c>
      <c r="D73" s="12">
        <f t="shared" si="86"/>
        <v>10.550130340056088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348.37293595832762</v>
      </c>
      <c r="H73" s="70">
        <f t="shared" si="56"/>
        <v>371.93497700893096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15.125</v>
      </c>
      <c r="N73" s="14">
        <f>IF('Données projet'!$A$36&gt;35,N72+M73-V72,IF(A73&lt;'Données projet'!$A$36,$K$205^A73,IF(A73='Données projet'!$A$36,'Données projet'!$B$36,N72+M73-V72)))</f>
        <v>435.87500000000011</v>
      </c>
      <c r="O73" s="14">
        <f>N73*VLOOKUP('Données projet'!$B$9,Paramètres!$A$1:$I$89,3,0)*VLOOKUP('Données projet'!$B$9,Paramètres!$A$1:$I$89,5,0)</f>
        <v>203.98950000000008</v>
      </c>
      <c r="P73" s="14">
        <f t="shared" si="87"/>
        <v>50.61992866946148</v>
      </c>
      <c r="Q73" s="22">
        <f t="shared" si="54"/>
        <v>443.44475493264548</v>
      </c>
      <c r="R73" s="62">
        <f t="shared" si="55"/>
        <v>736.77808826597879</v>
      </c>
      <c r="S73" s="62">
        <f ca="1">AVERAGE(OFFSET($R$3,0,0,'Données projet'!$E$9+1,1))-AVERAGE(OFFSET($H$3,0,0,'Données projet'!$E$9+1,1))</f>
        <v>242.7456246505439</v>
      </c>
      <c r="T73" s="62">
        <f t="shared" si="88"/>
        <v>195.88560859972426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-2.2737367544323206E-13</v>
      </c>
      <c r="AJ73" s="14">
        <f>AI73*VLOOKUP('Données projet'!$B$10,Paramètres!$A$1:$I$89,3,0)*VLOOKUP('Données projet'!$B$10,Paramètres!$A$1:$I$89,5,0)</f>
        <v>-1.064108801074326E-13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211.93796316015613</v>
      </c>
      <c r="AO73" s="62">
        <f t="shared" si="90"/>
        <v>165.73212396548013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1.1613144827210717E-5</v>
      </c>
      <c r="AX73" s="23">
        <f t="shared" si="60"/>
        <v>1.1613144827210717E-5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35.073999999999991</v>
      </c>
      <c r="D74" s="12">
        <f t="shared" si="86"/>
        <v>10.683192988734277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353.21341956215929</v>
      </c>
      <c r="H74" s="70">
        <f t="shared" si="56"/>
        <v>373.02711112204548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>
        <f>VLOOKUP(A74,'Données projet'!$A$35:$I$55,2,0)</f>
        <v>451</v>
      </c>
      <c r="L74" s="13">
        <f>VLOOKUP(A74,'Données projet'!$A$35:$I$55,9,0)</f>
        <v>15.125</v>
      </c>
      <c r="M74" s="13">
        <f t="array" ref="M74">INDEX(L:L,MIN(IF(ISNUMBER(L74:L270),ROW(L74:L270),"")))</f>
        <v>15.125</v>
      </c>
      <c r="N74" s="14">
        <f>IF('Données projet'!$A$36&gt;35,N73+M74-V73,IF(A74&lt;'Données projet'!$A$36,$K$205^A74,IF(A74='Données projet'!$A$36,'Données projet'!$B$36,N73+M74-V73)))</f>
        <v>451.00000000000011</v>
      </c>
      <c r="O74" s="14">
        <f>N74*VLOOKUP('Données projet'!$B$9,Paramètres!$A$1:$I$89,3,0)*VLOOKUP('Données projet'!$B$9,Paramètres!$A$1:$I$89,5,0)</f>
        <v>211.06800000000007</v>
      </c>
      <c r="P74" s="14">
        <f t="shared" si="87"/>
        <v>52.168901619921236</v>
      </c>
      <c r="Q74" s="22">
        <f t="shared" si="54"/>
        <v>458.47093698802956</v>
      </c>
      <c r="R74" s="62">
        <f t="shared" si="55"/>
        <v>751.80427032136288</v>
      </c>
      <c r="S74" s="62">
        <f ca="1">AVERAGE(OFFSET($R$3,0,0,'Données projet'!$E$9+1,1))-AVERAGE(OFFSET($H$3,0,0,'Données projet'!$E$9+1,1))</f>
        <v>242.7456246505439</v>
      </c>
      <c r="T74" s="62">
        <f t="shared" si="88"/>
        <v>195.88560859972426</v>
      </c>
      <c r="U74" s="16">
        <f>IF(ISNA(VLOOKUP(A74,'Données projet'!$A$35:$I$55,3,0)),0,VLOOKUP(A74,'Données projet'!$A$35:$I$55,3,0))</f>
        <v>4</v>
      </c>
      <c r="V74" s="16">
        <f>IF(ISNA(VLOOKUP(A74,'Données projet'!$A$35:$I$55,4,0)),0,VLOOKUP(A74,'Données projet'!$A$35:$I$55,4,0))</f>
        <v>89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-2.2737367544323206E-13</v>
      </c>
      <c r="AJ74" s="14">
        <f>AI74*VLOOKUP('Données projet'!$B$10,Paramètres!$A$1:$I$89,3,0)*VLOOKUP('Données projet'!$B$10,Paramètres!$A$1:$I$89,5,0)</f>
        <v>-1.064108801074326E-13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211.93796316015613</v>
      </c>
      <c r="AO74" s="62">
        <f t="shared" si="90"/>
        <v>165.73212396548013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8.2117334582221747E-6</v>
      </c>
      <c r="AX74" s="23">
        <f t="shared" si="60"/>
        <v>8.2117334582221747E-6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35.567999999999991</v>
      </c>
      <c r="D75" s="12">
        <f t="shared" si="86"/>
        <v>10.816037660735203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358.05222053900849</v>
      </c>
      <c r="H75" s="70">
        <f t="shared" si="56"/>
        <v>374.11886559244709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14</v>
      </c>
      <c r="N75" s="14">
        <f>IF('Données projet'!$A$36&gt;35,N74+M75-V74,IF(A75&lt;'Données projet'!$A$36,$K$205^A75,IF(A75='Données projet'!$A$36,'Données projet'!$B$36,N74+M75-V74)))</f>
        <v>376.00000000000011</v>
      </c>
      <c r="O75" s="14">
        <f>N75*VLOOKUP('Données projet'!$B$9,Paramètres!$A$1:$I$89,3,0)*VLOOKUP('Données projet'!$B$9,Paramètres!$A$1:$I$89,5,0)</f>
        <v>175.96800000000007</v>
      </c>
      <c r="P75" s="14">
        <f t="shared" si="87"/>
        <v>44.423961125650628</v>
      </c>
      <c r="Q75" s="22">
        <f t="shared" si="54"/>
        <v>383.8493322938416</v>
      </c>
      <c r="R75" s="62">
        <f t="shared" si="55"/>
        <v>677.18266562717486</v>
      </c>
      <c r="S75" s="62">
        <f ca="1">AVERAGE(OFFSET($R$3,0,0,'Données projet'!$E$9+1,1))-AVERAGE(OFFSET($H$3,0,0,'Données projet'!$E$9+1,1))</f>
        <v>242.7456246505439</v>
      </c>
      <c r="T75" s="62">
        <f t="shared" si="88"/>
        <v>195.88560859972426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-2.2737367544323206E-13</v>
      </c>
      <c r="AJ75" s="14">
        <f>AI75*VLOOKUP('Données projet'!$B$10,Paramètres!$A$1:$I$89,3,0)*VLOOKUP('Données projet'!$B$10,Paramètres!$A$1:$I$89,5,0)</f>
        <v>-1.064108801074326E-13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211.93796316015613</v>
      </c>
      <c r="AO75" s="62">
        <f t="shared" si="90"/>
        <v>165.73212396548013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5.8065724136053586E-6</v>
      </c>
      <c r="AX75" s="23">
        <f t="shared" si="60"/>
        <v>5.8065724136053586E-6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36.061999999999991</v>
      </c>
      <c r="D76" s="12">
        <f t="shared" si="86"/>
        <v>10.948667733396306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362.88936495955039</v>
      </c>
      <c r="H76" s="70">
        <f t="shared" si="56"/>
        <v>375.21024630233188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14</v>
      </c>
      <c r="N76" s="14">
        <f>IF('Données projet'!$A$36&gt;35,N75+M76-V75,IF(A76&lt;'Données projet'!$A$36,$K$205^A76,IF(A76='Données projet'!$A$36,'Données projet'!$B$36,N75+M76-V75)))</f>
        <v>390.00000000000011</v>
      </c>
      <c r="O76" s="14">
        <f>N76*VLOOKUP('Données projet'!$B$9,Paramètres!$A$1:$I$89,3,0)*VLOOKUP('Données projet'!$B$9,Paramètres!$A$1:$I$89,5,0)</f>
        <v>182.52000000000004</v>
      </c>
      <c r="P76" s="14">
        <f t="shared" si="87"/>
        <v>45.882385280285632</v>
      </c>
      <c r="Q76" s="22">
        <f t="shared" si="54"/>
        <v>397.80082102983084</v>
      </c>
      <c r="R76" s="62">
        <f t="shared" si="55"/>
        <v>691.13415436316416</v>
      </c>
      <c r="S76" s="62">
        <f ca="1">AVERAGE(OFFSET($R$3,0,0,'Données projet'!$E$9+1,1))-AVERAGE(OFFSET($H$3,0,0,'Données projet'!$E$9+1,1))</f>
        <v>242.7456246505439</v>
      </c>
      <c r="T76" s="62">
        <f t="shared" si="88"/>
        <v>195.88560859972426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-2.2737367544323206E-13</v>
      </c>
      <c r="AJ76" s="14">
        <f>AI76*VLOOKUP('Données projet'!$B$10,Paramètres!$A$1:$I$89,3,0)*VLOOKUP('Données projet'!$B$10,Paramètres!$A$1:$I$89,5,0)</f>
        <v>-1.064108801074326E-13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211.93796316015613</v>
      </c>
      <c r="AO76" s="62">
        <f t="shared" si="90"/>
        <v>165.73212396548013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4.1058667291110874E-6</v>
      </c>
      <c r="AX76" s="23">
        <f t="shared" si="60"/>
        <v>4.1058667291110874E-6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36.55599999999999</v>
      </c>
      <c r="D77" s="12">
        <f t="shared" si="86"/>
        <v>11.081086486208886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367.72487813915626</v>
      </c>
      <c r="H77" s="70">
        <f t="shared" si="56"/>
        <v>376.30125896348045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14</v>
      </c>
      <c r="N77" s="14">
        <f>IF('Données projet'!$A$36&gt;35,N76+M77-V76,IF(A77&lt;'Données projet'!$A$36,$K$205^A77,IF(A77='Données projet'!$A$36,'Données projet'!$B$36,N76+M77-V76)))</f>
        <v>404.00000000000011</v>
      </c>
      <c r="O77" s="14">
        <f>N77*VLOOKUP('Données projet'!$B$9,Paramètres!$A$1:$I$89,3,0)*VLOOKUP('Données projet'!$B$9,Paramètres!$A$1:$I$89,5,0)</f>
        <v>189.07200000000003</v>
      </c>
      <c r="P77" s="14">
        <f t="shared" si="87"/>
        <v>47.33472679972779</v>
      </c>
      <c r="Q77" s="22">
        <f t="shared" si="54"/>
        <v>411.74171584285932</v>
      </c>
      <c r="R77" s="62">
        <f t="shared" si="55"/>
        <v>705.07504917619258</v>
      </c>
      <c r="S77" s="62">
        <f ca="1">AVERAGE(OFFSET($R$3,0,0,'Données projet'!$E$9+1,1))-AVERAGE(OFFSET($H$3,0,0,'Données projet'!$E$9+1,1))</f>
        <v>242.7456246505439</v>
      </c>
      <c r="T77" s="62">
        <f t="shared" si="88"/>
        <v>195.88560859972426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-2.2737367544323206E-13</v>
      </c>
      <c r="AJ77" s="14">
        <f>AI77*VLOOKUP('Données projet'!$B$10,Paramètres!$A$1:$I$89,3,0)*VLOOKUP('Données projet'!$B$10,Paramètres!$A$1:$I$89,5,0)</f>
        <v>-1.064108801074326E-13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211.93796316015613</v>
      </c>
      <c r="AO77" s="62">
        <f t="shared" si="90"/>
        <v>165.73212396548013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2.9032862068026793E-6</v>
      </c>
      <c r="AX77" s="23">
        <f t="shared" si="60"/>
        <v>2.9032862068026793E-6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37.04999999999999</v>
      </c>
      <c r="D78" s="12">
        <f t="shared" si="86"/>
        <v>11.21329710493602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372.55878466968147</v>
      </c>
      <c r="H78" s="70">
        <f t="shared" si="56"/>
        <v>377.39190912443019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14</v>
      </c>
      <c r="N78" s="14">
        <f>IF('Données projet'!$A$36&gt;35,N77+M78-V77,IF(A78&lt;'Données projet'!$A$36,$K$205^A78,IF(A78='Données projet'!$A$36,'Données projet'!$B$36,N77+M78-V77)))</f>
        <v>418.00000000000011</v>
      </c>
      <c r="O78" s="14">
        <f>N78*VLOOKUP('Données projet'!$B$9,Paramètres!$A$1:$I$89,3,0)*VLOOKUP('Données projet'!$B$9,Paramètres!$A$1:$I$89,5,0)</f>
        <v>195.62400000000008</v>
      </c>
      <c r="P78" s="14">
        <f t="shared" si="87"/>
        <v>48.781220625276006</v>
      </c>
      <c r="Q78" s="22">
        <f t="shared" si="54"/>
        <v>425.67242592235584</v>
      </c>
      <c r="R78" s="62">
        <f t="shared" si="55"/>
        <v>719.0057592556891</v>
      </c>
      <c r="S78" s="62">
        <f ca="1">AVERAGE(OFFSET($R$3,0,0,'Données projet'!$E$9+1,1))-AVERAGE(OFFSET($H$3,0,0,'Données projet'!$E$9+1,1))</f>
        <v>242.7456246505439</v>
      </c>
      <c r="T78" s="62">
        <f t="shared" si="88"/>
        <v>195.88560859972426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-2.2737367544323206E-13</v>
      </c>
      <c r="AJ78" s="14">
        <f>AI78*VLOOKUP('Données projet'!$B$10,Paramètres!$A$1:$I$89,3,0)*VLOOKUP('Données projet'!$B$10,Paramètres!$A$1:$I$89,5,0)</f>
        <v>-1.064108801074326E-13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211.93796316015613</v>
      </c>
      <c r="AO78" s="62">
        <f t="shared" si="90"/>
        <v>165.73212396548013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2.0529333645555437E-6</v>
      </c>
      <c r="AX78" s="23">
        <f t="shared" si="60"/>
        <v>2.0529333645555437E-6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37.54399999999999</v>
      </c>
      <c r="D79" s="12">
        <f t="shared" si="86"/>
        <v>11.345302685504603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377.39110844950909</v>
      </c>
      <c r="H79" s="70">
        <f t="shared" si="56"/>
        <v>378.48220217725378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14</v>
      </c>
      <c r="N79" s="14">
        <f>IF('Données projet'!$A$36&gt;35,N78+M79-V78,IF(A79&lt;'Données projet'!$A$36,$K$205^A79,IF(A79='Données projet'!$A$36,'Données projet'!$B$36,N78+M79-V78)))</f>
        <v>432.00000000000011</v>
      </c>
      <c r="O79" s="14">
        <f>N79*VLOOKUP('Données projet'!$B$9,Paramètres!$A$1:$I$89,3,0)*VLOOKUP('Données projet'!$B$9,Paramètres!$A$1:$I$89,5,0)</f>
        <v>202.17600000000004</v>
      </c>
      <c r="P79" s="14">
        <f t="shared" si="87"/>
        <v>50.22208506756467</v>
      </c>
      <c r="Q79" s="22">
        <f t="shared" si="54"/>
        <v>439.59333149267519</v>
      </c>
      <c r="R79" s="62">
        <f t="shared" si="55"/>
        <v>732.9266648260085</v>
      </c>
      <c r="S79" s="62">
        <f ca="1">AVERAGE(OFFSET($R$3,0,0,'Données projet'!$E$9+1,1))-AVERAGE(OFFSET($H$3,0,0,'Données projet'!$E$9+1,1))</f>
        <v>242.7456246505439</v>
      </c>
      <c r="T79" s="62">
        <f t="shared" si="88"/>
        <v>195.88560859972426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-2.2737367544323206E-13</v>
      </c>
      <c r="AJ79" s="14">
        <f>AI79*VLOOKUP('Données projet'!$B$10,Paramètres!$A$1:$I$89,3,0)*VLOOKUP('Données projet'!$B$10,Paramètres!$A$1:$I$89,5,0)</f>
        <v>-1.064108801074326E-13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211.93796316015613</v>
      </c>
      <c r="AO79" s="62">
        <f t="shared" si="90"/>
        <v>165.73212396548013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1.4516431034013396E-6</v>
      </c>
      <c r="AX79" s="23">
        <f t="shared" si="60"/>
        <v>1.4516431034013396E-6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38.03799999999999</v>
      </c>
      <c r="D80" s="12">
        <f t="shared" si="86"/>
        <v>11.47710623768668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382.22187271196725</v>
      </c>
      <c r="H80" s="70">
        <f t="shared" si="56"/>
        <v>379.57214336397089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14</v>
      </c>
      <c r="N80" s="14">
        <f>IF('Données projet'!$A$36&gt;35,N79+M80-V79,IF(A80&lt;'Données projet'!$A$36,$K$205^A80,IF(A80='Données projet'!$A$36,'Données projet'!$B$36,N79+M80-V79)))</f>
        <v>446.00000000000011</v>
      </c>
      <c r="O80" s="14">
        <f>N80*VLOOKUP('Données projet'!$B$9,Paramètres!$A$1:$I$89,3,0)*VLOOKUP('Données projet'!$B$9,Paramètres!$A$1:$I$89,5,0)</f>
        <v>208.72800000000004</v>
      </c>
      <c r="P80" s="14">
        <f t="shared" si="87"/>
        <v>51.657523484203345</v>
      </c>
      <c r="Q80" s="22">
        <f t="shared" si="54"/>
        <v>453.50478673498748</v>
      </c>
      <c r="R80" s="62">
        <f t="shared" si="55"/>
        <v>746.83812006832079</v>
      </c>
      <c r="S80" s="62">
        <f ca="1">AVERAGE(OFFSET($R$3,0,0,'Données projet'!$E$9+1,1))-AVERAGE(OFFSET($H$3,0,0,'Données projet'!$E$9+1,1))</f>
        <v>242.7456246505439</v>
      </c>
      <c r="T80" s="62">
        <f t="shared" si="88"/>
        <v>195.88560859972426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-2.2737367544323206E-13</v>
      </c>
      <c r="AJ80" s="14">
        <f>AI80*VLOOKUP('Données projet'!$B$10,Paramètres!$A$1:$I$89,3,0)*VLOOKUP('Données projet'!$B$10,Paramètres!$A$1:$I$89,5,0)</f>
        <v>-1.064108801074326E-13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211.93796316015613</v>
      </c>
      <c r="AO80" s="62">
        <f t="shared" si="90"/>
        <v>165.73212396548013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1.0264666822777718E-6</v>
      </c>
      <c r="AX80" s="23">
        <f t="shared" si="60"/>
        <v>1.0264666822777718E-6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38.531999999999989</v>
      </c>
      <c r="D81" s="12">
        <f t="shared" si="86"/>
        <v>11.60871068858415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387.05110005222849</v>
      </c>
      <c r="H81" s="70">
        <f t="shared" si="56"/>
        <v>380.66173778261737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14</v>
      </c>
      <c r="N81" s="14">
        <f>IF('Données projet'!$A$36&gt;35,N80+M81-V80,IF(A81&lt;'Données projet'!$A$36,$K$205^A81,IF(A81='Données projet'!$A$36,'Données projet'!$B$36,N80+M81-V80)))</f>
        <v>460.00000000000011</v>
      </c>
      <c r="O81" s="14">
        <f>N81*VLOOKUP('Données projet'!$B$9,Paramètres!$A$1:$I$89,3,0)*VLOOKUP('Données projet'!$B$9,Paramètres!$A$1:$I$89,5,0)</f>
        <v>215.28000000000003</v>
      </c>
      <c r="P81" s="14">
        <f t="shared" si="87"/>
        <v>53.087725740853138</v>
      </c>
      <c r="Q81" s="22">
        <f t="shared" si="54"/>
        <v>467.40712233198593</v>
      </c>
      <c r="R81" s="62">
        <f t="shared" si="55"/>
        <v>760.74045566531925</v>
      </c>
      <c r="S81" s="62">
        <f ca="1">AVERAGE(OFFSET($R$3,0,0,'Données projet'!$E$9+1,1))-AVERAGE(OFFSET($H$3,0,0,'Données projet'!$E$9+1,1))</f>
        <v>242.7456246505439</v>
      </c>
      <c r="T81" s="62">
        <f t="shared" si="88"/>
        <v>195.88560859972426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-2.2737367544323206E-13</v>
      </c>
      <c r="AJ81" s="14">
        <f>AI81*VLOOKUP('Données projet'!$B$10,Paramètres!$A$1:$I$89,3,0)*VLOOKUP('Données projet'!$B$10,Paramètres!$A$1:$I$89,5,0)</f>
        <v>-1.064108801074326E-13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211.93796316015613</v>
      </c>
      <c r="AO81" s="62">
        <f t="shared" si="90"/>
        <v>165.73212396548013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7.2582155170066982E-7</v>
      </c>
      <c r="AX81" s="23">
        <f t="shared" si="60"/>
        <v>7.2582155170066982E-7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39.025999999999989</v>
      </c>
      <c r="D82" s="12">
        <f t="shared" si="86"/>
        <v>11.740118885929625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391.87881245279004</v>
      </c>
      <c r="H82" s="70">
        <f t="shared" si="56"/>
        <v>381.75099039299408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>
        <f>VLOOKUP(A82,'Données projet'!$A$35:$I$55,2,0)</f>
        <v>474</v>
      </c>
      <c r="L82" s="13">
        <f>VLOOKUP(A82,'Données projet'!$A$35:$I$55,9,0)</f>
        <v>14</v>
      </c>
      <c r="M82" s="13">
        <f t="array" ref="M82">INDEX(L:L,MIN(IF(ISNUMBER(L82:L278),ROW(L82:L278),"")))</f>
        <v>14</v>
      </c>
      <c r="N82" s="14">
        <f>IF('Données projet'!$A$36&gt;35,N81+M82-V81,IF(A82&lt;'Données projet'!$A$36,$K$205^A82,IF(A82='Données projet'!$A$36,'Données projet'!$B$36,N81+M82-V81)))</f>
        <v>474.00000000000011</v>
      </c>
      <c r="O82" s="14">
        <f>N82*VLOOKUP('Données projet'!$B$9,Paramètres!$A$1:$I$89,3,0)*VLOOKUP('Données projet'!$B$9,Paramètres!$A$1:$I$89,5,0)</f>
        <v>221.83200000000005</v>
      </c>
      <c r="P82" s="14">
        <f t="shared" si="87"/>
        <v>54.512869489435815</v>
      </c>
      <c r="Q82" s="22">
        <f t="shared" si="54"/>
        <v>481.30064769410069</v>
      </c>
      <c r="R82" s="62">
        <f t="shared" si="55"/>
        <v>774.63398102743395</v>
      </c>
      <c r="S82" s="62">
        <f ca="1">AVERAGE(OFFSET($R$3,0,0,'Données projet'!$E$9+1,1))-AVERAGE(OFFSET($H$3,0,0,'Données projet'!$E$9+1,1))</f>
        <v>242.7456246505439</v>
      </c>
      <c r="T82" s="62">
        <f t="shared" si="88"/>
        <v>195.88560859972426</v>
      </c>
      <c r="U82" s="16">
        <f>IF(ISNA(VLOOKUP(A82,'Données projet'!$A$35:$I$55,3,0)),0,VLOOKUP(A82,'Données projet'!$A$35:$I$55,3,0))</f>
        <v>5</v>
      </c>
      <c r="V82" s="16">
        <f>IF(ISNA(VLOOKUP(A82,'Données projet'!$A$35:$I$55,4,0)),0,VLOOKUP(A82,'Données projet'!$A$35:$I$55,4,0))</f>
        <v>84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-2.2737367544323206E-13</v>
      </c>
      <c r="AJ82" s="14">
        <f>AI82*VLOOKUP('Données projet'!$B$10,Paramètres!$A$1:$I$89,3,0)*VLOOKUP('Données projet'!$B$10,Paramètres!$A$1:$I$89,5,0)</f>
        <v>-1.064108801074326E-13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211.93796316015613</v>
      </c>
      <c r="AO82" s="62">
        <f t="shared" si="90"/>
        <v>165.73212396548013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5.1323334113888592E-7</v>
      </c>
      <c r="AX82" s="23">
        <f t="shared" si="60"/>
        <v>5.1323334113888592E-7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39.519999999999989</v>
      </c>
      <c r="D83" s="12">
        <f t="shared" si="86"/>
        <v>11.87133360121544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396.70503130762791</v>
      </c>
      <c r="H83" s="70">
        <f t="shared" si="56"/>
        <v>382.83990602211685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13.25</v>
      </c>
      <c r="N83" s="14">
        <f>IF('Données projet'!$A$36&gt;35,N82+M83-V82,IF(A83&lt;'Données projet'!$A$36,$K$205^A83,IF(A83='Données projet'!$A$36,'Données projet'!$B$36,N82+M83-V82)))</f>
        <v>403.25000000000011</v>
      </c>
      <c r="O83" s="14">
        <f>N83*VLOOKUP('Données projet'!$B$9,Paramètres!$A$1:$I$89,3,0)*VLOOKUP('Données projet'!$B$9,Paramètres!$A$1:$I$89,5,0)</f>
        <v>188.72100000000006</v>
      </c>
      <c r="P83" s="14">
        <f t="shared" si="87"/>
        <v>47.25707304969405</v>
      </c>
      <c r="Q83" s="22">
        <f t="shared" si="54"/>
        <v>410.99514389488394</v>
      </c>
      <c r="R83" s="62">
        <f t="shared" si="55"/>
        <v>704.32847722821725</v>
      </c>
      <c r="S83" s="62">
        <f ca="1">AVERAGE(OFFSET($R$3,0,0,'Données projet'!$E$9+1,1))-AVERAGE(OFFSET($H$3,0,0,'Données projet'!$E$9+1,1))</f>
        <v>242.7456246505439</v>
      </c>
      <c r="T83" s="62">
        <f t="shared" si="88"/>
        <v>195.88560859972426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-2.2737367544323206E-13</v>
      </c>
      <c r="AJ83" s="14">
        <f>AI83*VLOOKUP('Données projet'!$B$10,Paramètres!$A$1:$I$89,3,0)*VLOOKUP('Données projet'!$B$10,Paramètres!$A$1:$I$89,5,0)</f>
        <v>-1.064108801074326E-13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211.93796316015613</v>
      </c>
      <c r="AO83" s="62">
        <f t="shared" si="90"/>
        <v>165.73212396548013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3.6291077585033491E-7</v>
      </c>
      <c r="AX83" s="23">
        <f t="shared" si="60"/>
        <v>3.6291077585033491E-7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40.013999999999989</v>
      </c>
      <c r="D84" s="12">
        <f t="shared" si="86"/>
        <v>12.002357532661732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401.52977744510804</v>
      </c>
      <c r="H84" s="70">
        <f t="shared" si="56"/>
        <v>383.92848936938583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13.25</v>
      </c>
      <c r="N84" s="14">
        <f>IF('Données projet'!$A$36&gt;35,N83+M84-V83,IF(A84&lt;'Données projet'!$A$36,$K$205^A84,IF(A84='Données projet'!$A$36,'Données projet'!$B$36,N83+M84-V83)))</f>
        <v>416.50000000000011</v>
      </c>
      <c r="O84" s="14">
        <f>N84*VLOOKUP('Données projet'!$B$9,Paramètres!$A$1:$I$89,3,0)*VLOOKUP('Données projet'!$B$9,Paramètres!$A$1:$I$89,5,0)</f>
        <v>194.92200000000005</v>
      </c>
      <c r="P84" s="14">
        <f t="shared" si="87"/>
        <v>48.626512129794968</v>
      </c>
      <c r="Q84" s="22">
        <f t="shared" si="54"/>
        <v>424.18032529272637</v>
      </c>
      <c r="R84" s="62">
        <f t="shared" si="55"/>
        <v>717.51365862605962</v>
      </c>
      <c r="S84" s="62">
        <f ca="1">AVERAGE(OFFSET($R$3,0,0,'Données projet'!$E$9+1,1))-AVERAGE(OFFSET($H$3,0,0,'Données projet'!$E$9+1,1))</f>
        <v>242.7456246505439</v>
      </c>
      <c r="T84" s="62">
        <f t="shared" si="88"/>
        <v>195.88560859972426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-2.2737367544323206E-13</v>
      </c>
      <c r="AJ84" s="14">
        <f>AI84*VLOOKUP('Données projet'!$B$10,Paramètres!$A$1:$I$89,3,0)*VLOOKUP('Données projet'!$B$10,Paramètres!$A$1:$I$89,5,0)</f>
        <v>-1.064108801074326E-13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211.93796316015613</v>
      </c>
      <c r="AO84" s="62">
        <f t="shared" si="90"/>
        <v>165.73212396548013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2.5661667056944296E-7</v>
      </c>
      <c r="AX84" s="23">
        <f t="shared" si="60"/>
        <v>2.5661667056944296E-7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40.507999999999988</v>
      </c>
      <c r="D85" s="12">
        <f t="shared" si="86"/>
        <v>12.133193308033777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406.35307114973438</v>
      </c>
      <c r="H85" s="70">
        <f t="shared" si="56"/>
        <v>385.01674501149211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13.25</v>
      </c>
      <c r="N85" s="14">
        <f>IF('Données projet'!$A$36&gt;35,N84+M85-V84,IF(A85&lt;'Données projet'!$A$36,$K$205^A85,IF(A85='Données projet'!$A$36,'Données projet'!$B$36,N84+M85-V84)))</f>
        <v>429.75000000000011</v>
      </c>
      <c r="O85" s="14">
        <f>N85*VLOOKUP('Données projet'!$B$9,Paramètres!$A$1:$I$89,3,0)*VLOOKUP('Données projet'!$B$9,Paramètres!$A$1:$I$89,5,0)</f>
        <v>201.12300000000005</v>
      </c>
      <c r="P85" s="14">
        <f t="shared" si="87"/>
        <v>49.990888650608809</v>
      </c>
      <c r="Q85" s="22">
        <f t="shared" si="54"/>
        <v>437.35668939981042</v>
      </c>
      <c r="R85" s="62">
        <f t="shared" si="55"/>
        <v>730.69002273314368</v>
      </c>
      <c r="S85" s="62">
        <f ca="1">AVERAGE(OFFSET($R$3,0,0,'Données projet'!$E$9+1,1))-AVERAGE(OFFSET($H$3,0,0,'Données projet'!$E$9+1,1))</f>
        <v>242.7456246505439</v>
      </c>
      <c r="T85" s="62">
        <f t="shared" si="88"/>
        <v>195.88560859972426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-2.2737367544323206E-13</v>
      </c>
      <c r="AJ85" s="14">
        <f>AI85*VLOOKUP('Données projet'!$B$10,Paramètres!$A$1:$I$89,3,0)*VLOOKUP('Données projet'!$B$10,Paramètres!$A$1:$I$89,5,0)</f>
        <v>-1.064108801074326E-13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211.93796316015613</v>
      </c>
      <c r="AO85" s="62">
        <f t="shared" si="90"/>
        <v>165.73212396548013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1.8145538792516746E-7</v>
      </c>
      <c r="AX85" s="23">
        <f t="shared" si="60"/>
        <v>1.8145538792516746E-7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41.001999999999988</v>
      </c>
      <c r="D86" s="12">
        <f t="shared" si="86"/>
        <v>12.263843487317986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411.17493218280543</v>
      </c>
      <c r="H86" s="70">
        <f t="shared" si="56"/>
        <v>386.10467740707878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13.25</v>
      </c>
      <c r="N86" s="14">
        <f>IF('Données projet'!$A$36&gt;35,N85+M86-V85,IF(A86&lt;'Données projet'!$A$36,$K$205^A86,IF(A86='Données projet'!$A$36,'Données projet'!$B$36,N85+M86-V85)))</f>
        <v>443.00000000000011</v>
      </c>
      <c r="O86" s="14">
        <f>N86*VLOOKUP('Données projet'!$B$9,Paramètres!$A$1:$I$89,3,0)*VLOOKUP('Données projet'!$B$9,Paramètres!$A$1:$I$89,5,0)</f>
        <v>207.32400000000007</v>
      </c>
      <c r="P86" s="14">
        <f t="shared" si="87"/>
        <v>51.350376612629724</v>
      </c>
      <c r="Q86" s="22">
        <f t="shared" si="54"/>
        <v>450.52453926699678</v>
      </c>
      <c r="R86" s="62">
        <f t="shared" si="55"/>
        <v>743.8578726003301</v>
      </c>
      <c r="S86" s="62">
        <f ca="1">AVERAGE(OFFSET($R$3,0,0,'Données projet'!$E$9+1,1))-AVERAGE(OFFSET($H$3,0,0,'Données projet'!$E$9+1,1))</f>
        <v>242.7456246505439</v>
      </c>
      <c r="T86" s="62">
        <f t="shared" si="88"/>
        <v>195.88560859972426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-2.2737367544323206E-13</v>
      </c>
      <c r="AJ86" s="14">
        <f>AI86*VLOOKUP('Données projet'!$B$10,Paramètres!$A$1:$I$89,3,0)*VLOOKUP('Données projet'!$B$10,Paramètres!$A$1:$I$89,5,0)</f>
        <v>-1.064108801074326E-13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211.93796316015613</v>
      </c>
      <c r="AO86" s="62">
        <f t="shared" si="90"/>
        <v>165.73212396548013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1.2830833528472148E-7</v>
      </c>
      <c r="AX86" s="23">
        <f t="shared" si="60"/>
        <v>1.2830833528472148E-7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41.495999999999988</v>
      </c>
      <c r="D87" s="12">
        <f t="shared" si="86"/>
        <v>12.394310565265267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415.99537980204758</v>
      </c>
      <c r="H87" s="70">
        <f t="shared" si="56"/>
        <v>387.19229090117028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13.25</v>
      </c>
      <c r="N87" s="14">
        <f>IF('Données projet'!$A$36&gt;35,N86+M87-V86,IF(A87&lt;'Données projet'!$A$36,$K$205^A87,IF(A87='Données projet'!$A$36,'Données projet'!$B$36,N86+M87-V86)))</f>
        <v>456.25000000000011</v>
      </c>
      <c r="O87" s="14">
        <f>N87*VLOOKUP('Données projet'!$B$9,Paramètres!$A$1:$I$89,3,0)*VLOOKUP('Données projet'!$B$9,Paramètres!$A$1:$I$89,5,0)</f>
        <v>213.52500000000003</v>
      </c>
      <c r="P87" s="14">
        <f t="shared" si="87"/>
        <v>52.705139016145154</v>
      </c>
      <c r="Q87" s="22">
        <f t="shared" si="54"/>
        <v>463.68415878645283</v>
      </c>
      <c r="R87" s="62">
        <f t="shared" si="55"/>
        <v>757.01749211978608</v>
      </c>
      <c r="S87" s="62">
        <f ca="1">AVERAGE(OFFSET($R$3,0,0,'Données projet'!$E$9+1,1))-AVERAGE(OFFSET($H$3,0,0,'Données projet'!$E$9+1,1))</f>
        <v>242.7456246505439</v>
      </c>
      <c r="T87" s="62">
        <f t="shared" si="88"/>
        <v>195.88560859972426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-2.2737367544323206E-13</v>
      </c>
      <c r="AJ87" s="14">
        <f>AI87*VLOOKUP('Données projet'!$B$10,Paramètres!$A$1:$I$89,3,0)*VLOOKUP('Données projet'!$B$10,Paramètres!$A$1:$I$89,5,0)</f>
        <v>-1.064108801074326E-13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211.93796316015613</v>
      </c>
      <c r="AO87" s="62">
        <f t="shared" si="90"/>
        <v>165.73212396548013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9.0727693962583728E-8</v>
      </c>
      <c r="AX87" s="23">
        <f t="shared" si="60"/>
        <v>9.0727693962583728E-8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41.989999999999988</v>
      </c>
      <c r="D88" s="12">
        <f t="shared" si="86"/>
        <v>12.524596973809777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420.81443278028593</v>
      </c>
      <c r="H88" s="70">
        <f t="shared" si="56"/>
        <v>388.27958972938529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13.25</v>
      </c>
      <c r="N88" s="14">
        <f>IF('Données projet'!$A$36&gt;35,N87+M88-V87,IF(A88&lt;'Données projet'!$A$36,$K$205^A88,IF(A88='Données projet'!$A$36,'Données projet'!$B$36,N87+M88-V87)))</f>
        <v>469.50000000000011</v>
      </c>
      <c r="O88" s="14">
        <f>N88*VLOOKUP('Données projet'!$B$9,Paramètres!$A$1:$I$89,3,0)*VLOOKUP('Données projet'!$B$9,Paramètres!$A$1:$I$89,5,0)</f>
        <v>219.72600000000006</v>
      </c>
      <c r="P88" s="14">
        <f t="shared" si="87"/>
        <v>54.055328855681417</v>
      </c>
      <c r="Q88" s="22">
        <f t="shared" si="54"/>
        <v>476.83581442364516</v>
      </c>
      <c r="R88" s="62">
        <f t="shared" si="55"/>
        <v>770.16914775697842</v>
      </c>
      <c r="S88" s="62">
        <f ca="1">AVERAGE(OFFSET($R$3,0,0,'Données projet'!$E$9+1,1))-AVERAGE(OFFSET($H$3,0,0,'Données projet'!$E$9+1,1))</f>
        <v>242.7456246505439</v>
      </c>
      <c r="T88" s="62">
        <f t="shared" si="88"/>
        <v>195.88560859972426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-2.2737367544323206E-13</v>
      </c>
      <c r="AJ88" s="14">
        <f>AI88*VLOOKUP('Données projet'!$B$10,Paramètres!$A$1:$I$89,3,0)*VLOOKUP('Données projet'!$B$10,Paramètres!$A$1:$I$89,5,0)</f>
        <v>-1.064108801074326E-13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211.93796316015613</v>
      </c>
      <c r="AO88" s="62">
        <f t="shared" si="90"/>
        <v>165.73212396548013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6.415416764236074E-8</v>
      </c>
      <c r="AX88" s="23">
        <f t="shared" si="60"/>
        <v>6.415416764236074E-8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42.483999999999988</v>
      </c>
      <c r="D89" s="12">
        <f t="shared" si="86"/>
        <v>12.654705084370677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425.63210942321211</v>
      </c>
      <c r="H89" s="70">
        <f t="shared" si="56"/>
        <v>389.36657802194554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13.25</v>
      </c>
      <c r="N89" s="14">
        <f>IF('Données projet'!$A$36&gt;35,N88+M89-V88,IF(A89&lt;'Données projet'!$A$36,$K$205^A89,IF(A89='Données projet'!$A$36,'Données projet'!$B$36,N88+M89-V88)))</f>
        <v>482.75000000000011</v>
      </c>
      <c r="O89" s="14">
        <f>N89*VLOOKUP('Données projet'!$B$9,Paramètres!$A$1:$I$89,3,0)*VLOOKUP('Données projet'!$B$9,Paramètres!$A$1:$I$89,5,0)</f>
        <v>225.92700000000002</v>
      </c>
      <c r="P89" s="14">
        <f t="shared" si="87"/>
        <v>55.401089999034745</v>
      </c>
      <c r="Q89" s="22">
        <f t="shared" si="54"/>
        <v>489.97975674831883</v>
      </c>
      <c r="R89" s="62">
        <f t="shared" si="55"/>
        <v>783.31309008165215</v>
      </c>
      <c r="S89" s="62">
        <f ca="1">AVERAGE(OFFSET($R$3,0,0,'Données projet'!$E$9+1,1))-AVERAGE(OFFSET($H$3,0,0,'Données projet'!$E$9+1,1))</f>
        <v>242.7456246505439</v>
      </c>
      <c r="T89" s="62">
        <f t="shared" si="88"/>
        <v>195.88560859972426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-2.2737367544323206E-13</v>
      </c>
      <c r="AJ89" s="14">
        <f>AI89*VLOOKUP('Données projet'!$B$10,Paramètres!$A$1:$I$89,3,0)*VLOOKUP('Données projet'!$B$10,Paramètres!$A$1:$I$89,5,0)</f>
        <v>-1.064108801074326E-13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211.93796316015613</v>
      </c>
      <c r="AO89" s="62">
        <f t="shared" si="90"/>
        <v>165.73212396548013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4.5363846981291864E-8</v>
      </c>
      <c r="AX89" s="23">
        <f t="shared" si="60"/>
        <v>4.5363846981291864E-8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42.977999999999987</v>
      </c>
      <c r="D90" s="12">
        <f t="shared" si="86"/>
        <v>12.784637210043719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430.44842758630233</v>
      </c>
      <c r="H90" s="70">
        <f t="shared" si="56"/>
        <v>390.45325980749277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>
        <f>VLOOKUP(A90,'Données projet'!$A$35:$I$55,2,0)</f>
        <v>496</v>
      </c>
      <c r="L90" s="13">
        <f>VLOOKUP(A90,'Données projet'!$A$35:$I$55,9,0)</f>
        <v>13.25</v>
      </c>
      <c r="M90" s="13">
        <f t="array" ref="M90">INDEX(L:L,MIN(IF(ISNUMBER(L90:L286),ROW(L90:L286),"")))</f>
        <v>13.25</v>
      </c>
      <c r="N90" s="14">
        <f>IF('Données projet'!$A$36&gt;35,N89+M90-V89,IF(A90&lt;'Données projet'!$A$36,$K$205^A90,IF(A90='Données projet'!$A$36,'Données projet'!$B$36,N89+M90-V89)))</f>
        <v>496.00000000000011</v>
      </c>
      <c r="O90" s="14">
        <f>N90*VLOOKUP('Données projet'!$B$9,Paramètres!$A$1:$I$89,3,0)*VLOOKUP('Données projet'!$B$9,Paramètres!$A$1:$I$89,5,0)</f>
        <v>232.12800000000004</v>
      </c>
      <c r="P90" s="14">
        <f t="shared" si="87"/>
        <v>56.742557967082398</v>
      </c>
      <c r="Q90" s="22">
        <f t="shared" si="54"/>
        <v>503.11622179266851</v>
      </c>
      <c r="R90" s="62">
        <f t="shared" si="55"/>
        <v>796.44955512600177</v>
      </c>
      <c r="S90" s="62">
        <f ca="1">AVERAGE(OFFSET($R$3,0,0,'Données projet'!$E$9+1,1))-AVERAGE(OFFSET($H$3,0,0,'Données projet'!$E$9+1,1))</f>
        <v>242.7456246505439</v>
      </c>
      <c r="T90" s="62">
        <f t="shared" si="88"/>
        <v>195.88560859972426</v>
      </c>
      <c r="U90" s="16">
        <f>IF(ISNA(VLOOKUP(A90,'Données projet'!$A$35:$I$55,3,0)),0,VLOOKUP(A90,'Données projet'!$A$35:$I$55,3,0))</f>
        <v>6</v>
      </c>
      <c r="V90" s="16">
        <f>IF(ISNA(VLOOKUP(A90,'Données projet'!$A$35:$I$55,4,0)),0,VLOOKUP(A90,'Données projet'!$A$35:$I$55,4,0))</f>
        <v>85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-2.2737367544323206E-13</v>
      </c>
      <c r="AJ90" s="14">
        <f>AI90*VLOOKUP('Données projet'!$B$10,Paramètres!$A$1:$I$89,3,0)*VLOOKUP('Données projet'!$B$10,Paramètres!$A$1:$I$89,5,0)</f>
        <v>-1.064108801074326E-13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211.93796316015613</v>
      </c>
      <c r="AO90" s="62">
        <f t="shared" si="90"/>
        <v>165.73212396548013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3.207708382118037E-8</v>
      </c>
      <c r="AX90" s="23">
        <f t="shared" si="60"/>
        <v>3.207708382118037E-8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43.471999999999987</v>
      </c>
      <c r="D91" s="12">
        <f t="shared" si="86"/>
        <v>12.914395607689229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435.26340469093435</v>
      </c>
      <c r="H91" s="70">
        <f t="shared" si="56"/>
        <v>391.53963901672535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12.25</v>
      </c>
      <c r="N91" s="14">
        <f>IF('Données projet'!$A$36&gt;35,N90+M91-V90,IF(A91&lt;'Données projet'!$A$36,$K$205^A91,IF(A91='Données projet'!$A$36,'Données projet'!$B$36,N90+M91-V90)))</f>
        <v>423.25000000000011</v>
      </c>
      <c r="O91" s="14">
        <f>N91*VLOOKUP('Données projet'!$B$9,Paramètres!$A$1:$I$89,3,0)*VLOOKUP('Données projet'!$B$9,Paramètres!$A$1:$I$89,5,0)</f>
        <v>198.08100000000005</v>
      </c>
      <c r="P91" s="14">
        <f t="shared" si="87"/>
        <v>49.322193251726077</v>
      </c>
      <c r="Q91" s="22">
        <f t="shared" si="54"/>
        <v>430.89389491342303</v>
      </c>
      <c r="R91" s="62">
        <f t="shared" si="55"/>
        <v>724.22722824675634</v>
      </c>
      <c r="S91" s="62">
        <f ca="1">AVERAGE(OFFSET($R$3,0,0,'Données projet'!$E$9+1,1))-AVERAGE(OFFSET($H$3,0,0,'Données projet'!$E$9+1,1))</f>
        <v>242.7456246505439</v>
      </c>
      <c r="T91" s="62">
        <f t="shared" si="88"/>
        <v>195.88560859972426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-2.2737367544323206E-13</v>
      </c>
      <c r="AJ91" s="14">
        <f>AI91*VLOOKUP('Données projet'!$B$10,Paramètres!$A$1:$I$89,3,0)*VLOOKUP('Données projet'!$B$10,Paramètres!$A$1:$I$89,5,0)</f>
        <v>-1.064108801074326E-13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211.93796316015613</v>
      </c>
      <c r="AO91" s="62">
        <f t="shared" si="90"/>
        <v>165.73212396548013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2.2681923490645932E-8</v>
      </c>
      <c r="AX91" s="23">
        <f t="shared" si="60"/>
        <v>2.2681923490645932E-8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43.965999999999987</v>
      </c>
      <c r="D92" s="12">
        <f t="shared" si="86"/>
        <v>13.043982479922438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440.07705773975209</v>
      </c>
      <c r="H92" s="70">
        <f t="shared" si="56"/>
        <v>392.62571948586486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12.25</v>
      </c>
      <c r="N92" s="14">
        <f>IF('Données projet'!$A$36&gt;35,N91+M92-V91,IF(A92&lt;'Données projet'!$A$36,$K$205^A92,IF(A92='Données projet'!$A$36,'Données projet'!$B$36,N91+M92-V91)))</f>
        <v>435.50000000000011</v>
      </c>
      <c r="O92" s="14">
        <f>N92*VLOOKUP('Données projet'!$B$9,Paramètres!$A$1:$I$89,3,0)*VLOOKUP('Données projet'!$B$9,Paramètres!$A$1:$I$89,5,0)</f>
        <v>203.81400000000005</v>
      </c>
      <c r="P92" s="14">
        <f t="shared" si="87"/>
        <v>50.581445724851605</v>
      </c>
      <c r="Q92" s="22">
        <f t="shared" si="54"/>
        <v>443.07206797078328</v>
      </c>
      <c r="R92" s="62">
        <f t="shared" si="55"/>
        <v>736.40540130411659</v>
      </c>
      <c r="S92" s="62">
        <f ca="1">AVERAGE(OFFSET($R$3,0,0,'Données projet'!$E$9+1,1))-AVERAGE(OFFSET($H$3,0,0,'Données projet'!$E$9+1,1))</f>
        <v>242.7456246505439</v>
      </c>
      <c r="T92" s="62">
        <f t="shared" si="88"/>
        <v>195.88560859972426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-2.2737367544323206E-13</v>
      </c>
      <c r="AJ92" s="14">
        <f>AI92*VLOOKUP('Données projet'!$B$10,Paramètres!$A$1:$I$89,3,0)*VLOOKUP('Données projet'!$B$10,Paramètres!$A$1:$I$89,5,0)</f>
        <v>-1.064108801074326E-13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211.93796316015613</v>
      </c>
      <c r="AO92" s="62">
        <f t="shared" si="90"/>
        <v>165.73212396548013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1.6038541910590185E-8</v>
      </c>
      <c r="AX92" s="23">
        <f t="shared" si="60"/>
        <v>1.6038541910590185E-8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44.459999999999987</v>
      </c>
      <c r="D93" s="12">
        <f t="shared" si="86"/>
        <v>13.173399977011854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444.8894033313195</v>
      </c>
      <c r="H93" s="70">
        <f t="shared" si="56"/>
        <v>393.71150495996227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12.25</v>
      </c>
      <c r="N93" s="14">
        <f>IF('Données projet'!$A$36&gt;35,N92+M93-V92,IF(A93&lt;'Données projet'!$A$36,$K$205^A93,IF(A93='Données projet'!$A$36,'Données projet'!$B$36,N92+M93-V92)))</f>
        <v>447.75000000000011</v>
      </c>
      <c r="O93" s="14">
        <f>N93*VLOOKUP('Données projet'!$B$9,Paramètres!$A$1:$I$89,3,0)*VLOOKUP('Données projet'!$B$9,Paramètres!$A$1:$I$89,5,0)</f>
        <v>209.54700000000005</v>
      </c>
      <c r="P93" s="14">
        <f t="shared" si="87"/>
        <v>51.836581362990621</v>
      </c>
      <c r="Q93" s="22">
        <f t="shared" si="54"/>
        <v>455.24307087387547</v>
      </c>
      <c r="R93" s="62">
        <f t="shared" si="55"/>
        <v>748.57640420720872</v>
      </c>
      <c r="S93" s="62">
        <f ca="1">AVERAGE(OFFSET($R$3,0,0,'Données projet'!$E$9+1,1))-AVERAGE(OFFSET($H$3,0,0,'Données projet'!$E$9+1,1))</f>
        <v>242.7456246505439</v>
      </c>
      <c r="T93" s="62">
        <f t="shared" si="88"/>
        <v>195.88560859972426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-2.2737367544323206E-13</v>
      </c>
      <c r="AJ93" s="14">
        <f>AI93*VLOOKUP('Données projet'!$B$10,Paramètres!$A$1:$I$89,3,0)*VLOOKUP('Données projet'!$B$10,Paramètres!$A$1:$I$89,5,0)</f>
        <v>-1.064108801074326E-13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211.93796316015613</v>
      </c>
      <c r="AO93" s="62">
        <f t="shared" si="90"/>
        <v>165.73212396548013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1.1340961745322966E-8</v>
      </c>
      <c r="AX93" s="23">
        <f t="shared" si="60"/>
        <v>1.1340961745322966E-8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44.953999999999986</v>
      </c>
      <c r="D94" s="12">
        <f t="shared" si="86"/>
        <v>13.302650198690802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449.70045767410437</v>
      </c>
      <c r="H94" s="70">
        <f t="shared" si="56"/>
        <v>394.79699909605313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12.25</v>
      </c>
      <c r="N94" s="14">
        <f>IF('Données projet'!$A$36&gt;35,N93+M94-V93,IF(A94&lt;'Données projet'!$A$36,$K$205^A94,IF(A94='Données projet'!$A$36,'Données projet'!$B$36,N93+M94-V93)))</f>
        <v>460.00000000000011</v>
      </c>
      <c r="O94" s="14">
        <f>N94*VLOOKUP('Données projet'!$B$9,Paramètres!$A$1:$I$89,3,0)*VLOOKUP('Données projet'!$B$9,Paramètres!$A$1:$I$89,5,0)</f>
        <v>215.28000000000003</v>
      </c>
      <c r="P94" s="14">
        <f t="shared" si="87"/>
        <v>53.087725740853138</v>
      </c>
      <c r="Q94" s="22">
        <f t="shared" si="54"/>
        <v>467.40712233198593</v>
      </c>
      <c r="R94" s="62">
        <f t="shared" si="55"/>
        <v>760.74045566531925</v>
      </c>
      <c r="S94" s="62">
        <f ca="1">AVERAGE(OFFSET($R$3,0,0,'Données projet'!$E$9+1,1))-AVERAGE(OFFSET($H$3,0,0,'Données projet'!$E$9+1,1))</f>
        <v>242.7456246505439</v>
      </c>
      <c r="T94" s="62">
        <f t="shared" si="88"/>
        <v>195.88560859972426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-2.2737367544323206E-13</v>
      </c>
      <c r="AJ94" s="14">
        <f>AI94*VLOOKUP('Données projet'!$B$10,Paramètres!$A$1:$I$89,3,0)*VLOOKUP('Données projet'!$B$10,Paramètres!$A$1:$I$89,5,0)</f>
        <v>-1.064108801074326E-13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211.93796316015613</v>
      </c>
      <c r="AO94" s="62">
        <f t="shared" si="90"/>
        <v>165.73212396548013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8.0192709552950925E-9</v>
      </c>
      <c r="AX94" s="23">
        <f t="shared" si="60"/>
        <v>8.0192709552950925E-9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45.447999999999986</v>
      </c>
      <c r="D95" s="12">
        <f t="shared" si="86"/>
        <v>13.431735195887134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454.51023659983042</v>
      </c>
      <c r="H95" s="70">
        <f t="shared" si="56"/>
        <v>395.88220546617003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12.25</v>
      </c>
      <c r="N95" s="14">
        <f>IF('Données projet'!$A$36&gt;35,N94+M95-V94,IF(A95&lt;'Données projet'!$A$36,$K$205^A95,IF(A95='Données projet'!$A$36,'Données projet'!$B$36,N94+M95-V94)))</f>
        <v>472.25000000000011</v>
      </c>
      <c r="O95" s="14">
        <f>N95*VLOOKUP('Données projet'!$B$9,Paramètres!$A$1:$I$89,3,0)*VLOOKUP('Données projet'!$B$9,Paramètres!$A$1:$I$89,5,0)</f>
        <v>221.01300000000006</v>
      </c>
      <c r="P95" s="14">
        <f t="shared" si="87"/>
        <v>54.334997364111416</v>
      </c>
      <c r="Q95" s="22">
        <f t="shared" si="54"/>
        <v>479.56442874249416</v>
      </c>
      <c r="R95" s="62">
        <f t="shared" si="55"/>
        <v>772.89776207582747</v>
      </c>
      <c r="S95" s="62">
        <f ca="1">AVERAGE(OFFSET($R$3,0,0,'Données projet'!$E$9+1,1))-AVERAGE(OFFSET($H$3,0,0,'Données projet'!$E$9+1,1))</f>
        <v>242.7456246505439</v>
      </c>
      <c r="T95" s="62">
        <f t="shared" si="88"/>
        <v>195.88560859972426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-2.2737367544323206E-13</v>
      </c>
      <c r="AJ95" s="14">
        <f>AI95*VLOOKUP('Données projet'!$B$10,Paramètres!$A$1:$I$89,3,0)*VLOOKUP('Données projet'!$B$10,Paramètres!$A$1:$I$89,5,0)</f>
        <v>-1.064108801074326E-13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211.93796316015613</v>
      </c>
      <c r="AO95" s="62">
        <f t="shared" si="90"/>
        <v>165.73212396548013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5.670480872661483E-9</v>
      </c>
      <c r="AX95" s="23">
        <f t="shared" si="60"/>
        <v>5.670480872661483E-9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45.941999999999986</v>
      </c>
      <c r="D96" s="12">
        <f t="shared" si="86"/>
        <v>13.560656972375495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459.31875557623181</v>
      </c>
      <c r="H96" s="70">
        <f t="shared" si="56"/>
        <v>396.9671275602206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12.25</v>
      </c>
      <c r="N96" s="14">
        <f>IF('Données projet'!$A$36&gt;35,N95+M96-V95,IF(A96&lt;'Données projet'!$A$36,$K$205^A96,IF(A96='Données projet'!$A$36,'Données projet'!$B$36,N95+M96-V95)))</f>
        <v>484.50000000000011</v>
      </c>
      <c r="O96" s="14">
        <f>N96*VLOOKUP('Données projet'!$B$9,Paramètres!$A$1:$I$89,3,0)*VLOOKUP('Données projet'!$B$9,Paramètres!$A$1:$I$89,5,0)</f>
        <v>226.74600000000007</v>
      </c>
      <c r="P96" s="14">
        <f t="shared" si="87"/>
        <v>55.578508240245966</v>
      </c>
      <c r="Q96" s="22">
        <f t="shared" si="54"/>
        <v>491.71518518509509</v>
      </c>
      <c r="R96" s="62">
        <f t="shared" si="55"/>
        <v>785.04851851842841</v>
      </c>
      <c r="S96" s="62">
        <f ca="1">AVERAGE(OFFSET($R$3,0,0,'Données projet'!$E$9+1,1))-AVERAGE(OFFSET($H$3,0,0,'Données projet'!$E$9+1,1))</f>
        <v>242.7456246505439</v>
      </c>
      <c r="T96" s="62">
        <f t="shared" si="88"/>
        <v>195.88560859972426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-2.2737367544323206E-13</v>
      </c>
      <c r="AJ96" s="14">
        <f>AI96*VLOOKUP('Données projet'!$B$10,Paramètres!$A$1:$I$89,3,0)*VLOOKUP('Données projet'!$B$10,Paramètres!$A$1:$I$89,5,0)</f>
        <v>-1.064108801074326E-13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211.93796316015613</v>
      </c>
      <c r="AO96" s="62">
        <f t="shared" si="90"/>
        <v>165.73212396548013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4.0096354776475463E-9</v>
      </c>
      <c r="AX96" s="23">
        <f t="shared" si="60"/>
        <v>4.0096354776475463E-9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46.435999999999986</v>
      </c>
      <c r="D97" s="12">
        <f t="shared" si="86"/>
        <v>13.689417486356579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464.12602971924372</v>
      </c>
      <c r="H97" s="70">
        <f t="shared" si="56"/>
        <v>398.05176878873766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12.25</v>
      </c>
      <c r="N97" s="14">
        <f>IF('Données projet'!$A$36&gt;35,N96+M97-V96,IF(A97&lt;'Données projet'!$A$36,$K$205^A97,IF(A97='Données projet'!$A$36,'Données projet'!$B$36,N96+M97-V96)))</f>
        <v>496.75000000000011</v>
      </c>
      <c r="O97" s="14">
        <f>N97*VLOOKUP('Données projet'!$B$9,Paramètres!$A$1:$I$89,3,0)*VLOOKUP('Données projet'!$B$9,Paramètres!$A$1:$I$89,5,0)</f>
        <v>232.47900000000007</v>
      </c>
      <c r="P97" s="14">
        <f t="shared" si="87"/>
        <v>56.818364390033999</v>
      </c>
      <c r="Q97" s="22">
        <f t="shared" si="54"/>
        <v>503.85957631264267</v>
      </c>
      <c r="R97" s="62">
        <f t="shared" si="55"/>
        <v>797.19290964597599</v>
      </c>
      <c r="S97" s="62">
        <f ca="1">AVERAGE(OFFSET($R$3,0,0,'Données projet'!$E$9+1,1))-AVERAGE(OFFSET($H$3,0,0,'Données projet'!$E$9+1,1))</f>
        <v>242.7456246505439</v>
      </c>
      <c r="T97" s="62">
        <f t="shared" si="88"/>
        <v>195.88560859972426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-2.2737367544323206E-13</v>
      </c>
      <c r="AJ97" s="14">
        <f>AI97*VLOOKUP('Données projet'!$B$10,Paramètres!$A$1:$I$89,3,0)*VLOOKUP('Données projet'!$B$10,Paramètres!$A$1:$I$89,5,0)</f>
        <v>-1.064108801074326E-13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211.93796316015613</v>
      </c>
      <c r="AO97" s="62">
        <f t="shared" si="90"/>
        <v>165.73212396548013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2.8352404363307415E-9</v>
      </c>
      <c r="AX97" s="23">
        <f t="shared" si="60"/>
        <v>2.8352404363307415E-9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46.929999999999986</v>
      </c>
      <c r="D98" s="12">
        <f t="shared" si="86"/>
        <v>13.818018651967211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468.93207380465907</v>
      </c>
      <c r="H98" s="70">
        <f t="shared" si="56"/>
        <v>399.13613248550951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509</v>
      </c>
      <c r="L98" s="13">
        <f>VLOOKUP(A98,'Données projet'!$A$35:$I$55,9,0)</f>
        <v>12.25</v>
      </c>
      <c r="M98" s="13">
        <f t="array" ref="M98">INDEX(L:L,MIN(IF(ISNUMBER(L98:L294),ROW(L98:L294),"")))</f>
        <v>12.25</v>
      </c>
      <c r="N98" s="14">
        <f>IF('Données projet'!$A$36&gt;35,N97+M98-V97,IF(A98&lt;'Données projet'!$A$36,$K$205^A98,IF(A98='Données projet'!$A$36,'Données projet'!$B$36,N97+M98-V97)))</f>
        <v>509.00000000000011</v>
      </c>
      <c r="O98" s="14">
        <f>N98*VLOOKUP('Données projet'!$B$9,Paramètres!$A$1:$I$89,3,0)*VLOOKUP('Données projet'!$B$9,Paramètres!$A$1:$I$89,5,0)</f>
        <v>238.21200000000005</v>
      </c>
      <c r="P98" s="14">
        <f t="shared" si="87"/>
        <v>58.054666307163821</v>
      </c>
      <c r="Q98" s="22">
        <f t="shared" si="54"/>
        <v>515.99777715164373</v>
      </c>
      <c r="R98" s="62">
        <f t="shared" si="55"/>
        <v>809.33111048497699</v>
      </c>
      <c r="S98" s="62">
        <f ca="1">AVERAGE(OFFSET($R$3,0,0,'Données projet'!$E$9+1,1))-AVERAGE(OFFSET($H$3,0,0,'Données projet'!$E$9+1,1))</f>
        <v>242.7456246505439</v>
      </c>
      <c r="T98" s="62">
        <f t="shared" si="88"/>
        <v>195.88560859972426</v>
      </c>
      <c r="U98" s="16">
        <f>IF(ISNA(VLOOKUP(A98,'Données projet'!$A$35:$I$55,3,0)),0,VLOOKUP(A98,'Données projet'!$A$35:$I$55,3,0))</f>
        <v>7</v>
      </c>
      <c r="V98" s="16">
        <f>IF(ISNA(VLOOKUP(A98,'Données projet'!$A$35:$I$55,4,0)),0,VLOOKUP(A98,'Données projet'!$A$35:$I$55,4,0))</f>
        <v>509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-2.2737367544323206E-13</v>
      </c>
      <c r="AJ98" s="14">
        <f>AI98*VLOOKUP('Données projet'!$B$10,Paramètres!$A$1:$I$89,3,0)*VLOOKUP('Données projet'!$B$10,Paramètres!$A$1:$I$89,5,0)</f>
        <v>-1.064108801074326E-13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211.93796316015613</v>
      </c>
      <c r="AO98" s="62">
        <f t="shared" si="90"/>
        <v>165.73212396548013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2.0048177388237731E-9</v>
      </c>
      <c r="AX98" s="23">
        <f t="shared" si="60"/>
        <v>2.0048177388237731E-9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47.423999999999985</v>
      </c>
      <c r="D99" s="12">
        <f t="shared" si="86"/>
        <v>13.946462340725052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473.73690227928097</v>
      </c>
      <c r="H99" s="70">
        <f t="shared" si="56"/>
        <v>400.22022191009609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5.3205440053716299E-14</v>
      </c>
      <c r="P99" s="14">
        <f t="shared" si="87"/>
        <v>8.602146238565607E-13</v>
      </c>
      <c r="Q99" s="22">
        <f t="shared" ref="Q99:Q130" si="107">(O99+P99)*0.475*44/12</f>
        <v>1.590873277977066E-12</v>
      </c>
      <c r="R99" s="62">
        <f t="shared" si="55"/>
        <v>293.33333333333491</v>
      </c>
      <c r="S99" s="62">
        <f ca="1">AVERAGE(OFFSET($R$3,0,0,'Données projet'!$E$9+1,1))-AVERAGE(OFFSET($H$3,0,0,'Données projet'!$E$9+1,1))</f>
        <v>242.7456246505439</v>
      </c>
      <c r="T99" s="62">
        <f t="shared" si="88"/>
        <v>195.88560859972426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-2.2737367544323206E-13</v>
      </c>
      <c r="AJ99" s="14">
        <f>AI99*VLOOKUP('Données projet'!$B$10,Paramètres!$A$1:$I$89,3,0)*VLOOKUP('Données projet'!$B$10,Paramètres!$A$1:$I$89,5,0)</f>
        <v>-1.064108801074326E-13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211.93796316015613</v>
      </c>
      <c r="AO99" s="62">
        <f t="shared" si="90"/>
        <v>165.73212396548013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1.4176202181653707E-9</v>
      </c>
      <c r="AX99" s="23">
        <f t="shared" si="60"/>
        <v>1.4176202181653707E-9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47.917999999999985</v>
      </c>
      <c r="D100" s="12">
        <f t="shared" si="86"/>
        <v>14.074750382911397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478.5405292715966</v>
      </c>
      <c r="H100" s="70">
        <f t="shared" si="56"/>
        <v>401.30404025023728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5.3205440053716299E-14</v>
      </c>
      <c r="P100" s="14">
        <f t="shared" si="87"/>
        <v>8.602146238565607E-13</v>
      </c>
      <c r="Q100" s="22">
        <f t="shared" si="107"/>
        <v>1.590873277977066E-12</v>
      </c>
      <c r="R100" s="62">
        <f t="shared" si="55"/>
        <v>293.33333333333491</v>
      </c>
      <c r="S100" s="62">
        <f ca="1">AVERAGE(OFFSET($R$3,0,0,'Données projet'!$E$9+1,1))-AVERAGE(OFFSET($H$3,0,0,'Données projet'!$E$9+1,1))</f>
        <v>242.7456246505439</v>
      </c>
      <c r="T100" s="62">
        <f t="shared" si="88"/>
        <v>195.88560859972426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-2.2737367544323206E-13</v>
      </c>
      <c r="AJ100" s="14">
        <f>AI100*VLOOKUP('Données projet'!$B$10,Paramètres!$A$1:$I$89,3,0)*VLOOKUP('Données projet'!$B$10,Paramètres!$A$1:$I$89,5,0)</f>
        <v>-1.064108801074326E-13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211.93796316015613</v>
      </c>
      <c r="AO100" s="62">
        <f t="shared" si="90"/>
        <v>165.73212396548013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1.0024088694118866E-9</v>
      </c>
      <c r="AX100" s="23">
        <f t="shared" si="60"/>
        <v>1.0024088694118866E-9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48.411999999999985</v>
      </c>
      <c r="D101" s="12">
        <f t="shared" si="86"/>
        <v>14.202884568895271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483.34296860199851</v>
      </c>
      <c r="H101" s="70">
        <f t="shared" si="56"/>
        <v>402.3875906241592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5.3205440053716299E-14</v>
      </c>
      <c r="P101" s="14">
        <f t="shared" si="87"/>
        <v>8.602146238565607E-13</v>
      </c>
      <c r="Q101" s="22">
        <f t="shared" si="107"/>
        <v>1.590873277977066E-12</v>
      </c>
      <c r="R101" s="62">
        <f t="shared" si="55"/>
        <v>293.33333333333491</v>
      </c>
      <c r="S101" s="62">
        <f ca="1">AVERAGE(OFFSET($R$3,0,0,'Données projet'!$E$9+1,1))-AVERAGE(OFFSET($H$3,0,0,'Données projet'!$E$9+1,1))</f>
        <v>242.7456246505439</v>
      </c>
      <c r="T101" s="62">
        <f t="shared" si="88"/>
        <v>195.88560859972426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-2.2737367544323206E-13</v>
      </c>
      <c r="AJ101" s="14">
        <f>AI101*VLOOKUP('Données projet'!$B$10,Paramètres!$A$1:$I$89,3,0)*VLOOKUP('Données projet'!$B$10,Paramètres!$A$1:$I$89,5,0)</f>
        <v>-1.064108801074326E-13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211.93796316015613</v>
      </c>
      <c r="AO101" s="62">
        <f t="shared" si="90"/>
        <v>165.73212396548013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7.0881010908268537E-10</v>
      </c>
      <c r="AX101" s="23">
        <f t="shared" si="60"/>
        <v>7.0881010908268537E-10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48.905999999999985</v>
      </c>
      <c r="D102" s="12">
        <f t="shared" si="86"/>
        <v>14.330866650402021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488.14423379257687</v>
      </c>
      <c r="H102" s="70">
        <f t="shared" si="56"/>
        <v>403.47087608278349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5.3205440053716299E-14</v>
      </c>
      <c r="P102" s="14">
        <f t="shared" si="87"/>
        <v>8.602146238565607E-13</v>
      </c>
      <c r="Q102" s="22">
        <f t="shared" si="107"/>
        <v>1.590873277977066E-12</v>
      </c>
      <c r="R102" s="62">
        <f t="shared" si="55"/>
        <v>293.33333333333491</v>
      </c>
      <c r="S102" s="62">
        <f ca="1">AVERAGE(OFFSET($R$3,0,0,'Données projet'!$E$9+1,1))-AVERAGE(OFFSET($H$3,0,0,'Données projet'!$E$9+1,1))</f>
        <v>242.7456246505439</v>
      </c>
      <c r="T102" s="62">
        <f t="shared" si="88"/>
        <v>195.88560859972426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-2.2737367544323206E-13</v>
      </c>
      <c r="AJ102" s="14">
        <f>AI102*VLOOKUP('Données projet'!$B$10,Paramètres!$A$1:$I$89,3,0)*VLOOKUP('Données projet'!$B$10,Paramètres!$A$1:$I$89,5,0)</f>
        <v>-1.064108801074326E-13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211.93796316015613</v>
      </c>
      <c r="AO102" s="62">
        <f t="shared" si="90"/>
        <v>165.73212396548013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5.0120443470594328E-10</v>
      </c>
      <c r="AX102" s="23">
        <f t="shared" si="60"/>
        <v>5.0120443470594328E-10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49.399999999999984</v>
      </c>
      <c r="D103" s="12">
        <f t="shared" si="86"/>
        <v>14.458698341729095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492.94433807650518</v>
      </c>
      <c r="H103" s="70">
        <f t="shared" si="56"/>
        <v>404.55389961184477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5.3205440053716299E-14</v>
      </c>
      <c r="P103" s="14">
        <f t="shared" si="87"/>
        <v>8.602146238565607E-13</v>
      </c>
      <c r="Q103" s="22">
        <f t="shared" si="107"/>
        <v>1.590873277977066E-12</v>
      </c>
      <c r="R103" s="62">
        <f t="shared" si="55"/>
        <v>293.33333333333491</v>
      </c>
      <c r="S103" s="62">
        <f ca="1">AVERAGE(OFFSET($R$3,0,0,'Données projet'!$E$9+1,1))-AVERAGE(OFFSET($H$3,0,0,'Données projet'!$E$9+1,1))</f>
        <v>242.7456246505439</v>
      </c>
      <c r="T103" s="62">
        <f t="shared" si="88"/>
        <v>195.88560859972426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-2.2737367544323206E-13</v>
      </c>
      <c r="AJ103" s="14">
        <f>AI103*VLOOKUP('Données projet'!$B$10,Paramètres!$A$1:$I$89,3,0)*VLOOKUP('Données projet'!$B$10,Paramètres!$A$1:$I$89,5,0)</f>
        <v>-1.064108801074326E-13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211.93796316015613</v>
      </c>
      <c r="AO103" s="62">
        <f t="shared" si="90"/>
        <v>165.73212396548013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3.5440505454134269E-10</v>
      </c>
      <c r="AX103" s="23">
        <f t="shared" si="60"/>
        <v>3.5440505454134269E-10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49.893999999999984</v>
      </c>
      <c r="D104" s="12">
        <f t="shared" si="86"/>
        <v>14.586381320911869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497.74329440703883</v>
      </c>
      <c r="H104" s="70">
        <f t="shared" si="56"/>
        <v>405.63666413392144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5.3205440053716299E-14</v>
      </c>
      <c r="P104" s="14">
        <f t="shared" si="87"/>
        <v>8.602146238565607E-13</v>
      </c>
      <c r="Q104" s="22">
        <f t="shared" si="107"/>
        <v>1.590873277977066E-12</v>
      </c>
      <c r="R104" s="62">
        <f t="shared" si="55"/>
        <v>293.33333333333491</v>
      </c>
      <c r="S104" s="62">
        <f ca="1">AVERAGE(OFFSET($R$3,0,0,'Données projet'!$E$9+1,1))-AVERAGE(OFFSET($H$3,0,0,'Données projet'!$E$9+1,1))</f>
        <v>242.7456246505439</v>
      </c>
      <c r="T104" s="62">
        <f t="shared" si="88"/>
        <v>195.88560859972426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-2.2737367544323206E-13</v>
      </c>
      <c r="AJ104" s="14">
        <f>AI104*VLOOKUP('Données projet'!$B$10,Paramètres!$A$1:$I$89,3,0)*VLOOKUP('Données projet'!$B$10,Paramètres!$A$1:$I$89,5,0)</f>
        <v>-1.064108801074326E-13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211.93796316015613</v>
      </c>
      <c r="AO104" s="62">
        <f t="shared" si="90"/>
        <v>165.73212396548013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2.5060221735297164E-10</v>
      </c>
      <c r="AX104" s="23">
        <f t="shared" si="60"/>
        <v>2.5060221735297164E-10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50.387999999999984</v>
      </c>
      <c r="D105" s="12">
        <f t="shared" si="86"/>
        <v>14.713917230841966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502.54111546614837</v>
      </c>
      <c r="H105" s="70">
        <f t="shared" si="56"/>
        <v>406.71917251038303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5.3205440053716299E-14</v>
      </c>
      <c r="P105" s="14">
        <f t="shared" si="87"/>
        <v>8.602146238565607E-13</v>
      </c>
      <c r="Q105" s="22">
        <f t="shared" si="107"/>
        <v>1.590873277977066E-12</v>
      </c>
      <c r="R105" s="62">
        <f t="shared" si="55"/>
        <v>293.33333333333491</v>
      </c>
      <c r="S105" s="62">
        <f ca="1">AVERAGE(OFFSET($R$3,0,0,'Données projet'!$E$9+1,1))-AVERAGE(OFFSET($H$3,0,0,'Données projet'!$E$9+1,1))</f>
        <v>242.7456246505439</v>
      </c>
      <c r="T105" s="62">
        <f t="shared" si="88"/>
        <v>195.88560859972426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-2.2737367544323206E-13</v>
      </c>
      <c r="AJ105" s="14">
        <f>AI105*VLOOKUP('Données projet'!$B$10,Paramètres!$A$1:$I$89,3,0)*VLOOKUP('Données projet'!$B$10,Paramètres!$A$1:$I$89,5,0)</f>
        <v>-1.064108801074326E-13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211.93796316015613</v>
      </c>
      <c r="AO105" s="62">
        <f t="shared" si="90"/>
        <v>165.73212396548013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1.7720252727067134E-10</v>
      </c>
      <c r="AX105" s="23">
        <f t="shared" si="60"/>
        <v>1.7720252727067134E-10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50.881999999999984</v>
      </c>
      <c r="D106" s="12">
        <f t="shared" si="86"/>
        <v>14.841307680340405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507.33781367280295</v>
      </c>
      <c r="H106" s="70">
        <f t="shared" si="56"/>
        <v>407.80142754325948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5.3205440053716299E-14</v>
      </c>
      <c r="P106" s="14">
        <f t="shared" si="87"/>
        <v>8.602146238565607E-13</v>
      </c>
      <c r="Q106" s="22">
        <f t="shared" si="107"/>
        <v>1.590873277977066E-12</v>
      </c>
      <c r="R106" s="62">
        <f t="shared" si="55"/>
        <v>293.33333333333491</v>
      </c>
      <c r="S106" s="62">
        <f ca="1">AVERAGE(OFFSET($R$3,0,0,'Données projet'!$E$9+1,1))-AVERAGE(OFFSET($H$3,0,0,'Données projet'!$E$9+1,1))</f>
        <v>242.7456246505439</v>
      </c>
      <c r="T106" s="62">
        <f t="shared" si="88"/>
        <v>195.88560859972426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-2.2737367544323206E-13</v>
      </c>
      <c r="AJ106" s="14">
        <f>AI106*VLOOKUP('Données projet'!$B$10,Paramètres!$A$1:$I$89,3,0)*VLOOKUP('Données projet'!$B$10,Paramètres!$A$1:$I$89,5,0)</f>
        <v>-1.064108801074326E-13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211.93796316015613</v>
      </c>
      <c r="AO106" s="62">
        <f t="shared" si="90"/>
        <v>165.73212396548013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1.2530110867648582E-10</v>
      </c>
      <c r="AX106" s="23">
        <f t="shared" si="60"/>
        <v>1.2530110867648582E-10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51.375999999999983</v>
      </c>
      <c r="D107" s="12">
        <f t="shared" si="86"/>
        <v>14.968554245188011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512.13340119092493</v>
      </c>
      <c r="H107" s="70">
        <f t="shared" si="56"/>
        <v>408.88343197703574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5.3205440053716299E-14</v>
      </c>
      <c r="P107" s="14">
        <f t="shared" si="87"/>
        <v>8.602146238565607E-13</v>
      </c>
      <c r="Q107" s="22">
        <f t="shared" si="107"/>
        <v>1.590873277977066E-12</v>
      </c>
      <c r="R107" s="62">
        <f t="shared" si="55"/>
        <v>293.33333333333491</v>
      </c>
      <c r="S107" s="62">
        <f ca="1">AVERAGE(OFFSET($R$3,0,0,'Données projet'!$E$9+1,1))-AVERAGE(OFFSET($H$3,0,0,'Données projet'!$E$9+1,1))</f>
        <v>242.7456246505439</v>
      </c>
      <c r="T107" s="62">
        <f t="shared" si="88"/>
        <v>195.88560859972426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-2.2737367544323206E-13</v>
      </c>
      <c r="AJ107" s="14">
        <f>AI107*VLOOKUP('Données projet'!$B$10,Paramètres!$A$1:$I$89,3,0)*VLOOKUP('Données projet'!$B$10,Paramètres!$A$1:$I$89,5,0)</f>
        <v>-1.064108801074326E-13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211.93796316015613</v>
      </c>
      <c r="AO107" s="62">
        <f t="shared" si="90"/>
        <v>165.73212396548013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8.8601263635335672E-11</v>
      </c>
      <c r="AX107" s="23">
        <f t="shared" si="60"/>
        <v>8.8601263635335672E-11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51.869999999999983</v>
      </c>
      <c r="D108" s="12">
        <f t="shared" si="86"/>
        <v>15.095658469114912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516.92788993702732</v>
      </c>
      <c r="H108" s="70">
        <f t="shared" si="56"/>
        <v>409.96518850037506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5.3205440053716299E-14</v>
      </c>
      <c r="P108" s="14">
        <f t="shared" si="87"/>
        <v>8.602146238565607E-13</v>
      </c>
      <c r="Q108" s="22">
        <f t="shared" si="107"/>
        <v>1.590873277977066E-12</v>
      </c>
      <c r="R108" s="62">
        <f t="shared" si="55"/>
        <v>293.33333333333491</v>
      </c>
      <c r="S108" s="62">
        <f ca="1">AVERAGE(OFFSET($R$3,0,0,'Données projet'!$E$9+1,1))-AVERAGE(OFFSET($H$3,0,0,'Données projet'!$E$9+1,1))</f>
        <v>242.7456246505439</v>
      </c>
      <c r="T108" s="62">
        <f t="shared" si="88"/>
        <v>195.88560859972426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-2.2737367544323206E-13</v>
      </c>
      <c r="AJ108" s="14">
        <f>AI108*VLOOKUP('Données projet'!$B$10,Paramètres!$A$1:$I$89,3,0)*VLOOKUP('Données projet'!$B$10,Paramètres!$A$1:$I$89,5,0)</f>
        <v>-1.064108801074326E-13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211.93796316015613</v>
      </c>
      <c r="AO108" s="62">
        <f t="shared" si="90"/>
        <v>165.73212396548013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6.265055433824291E-11</v>
      </c>
      <c r="AX108" s="23">
        <f t="shared" si="60"/>
        <v>6.265055433824291E-11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52.363999999999983</v>
      </c>
      <c r="D109" s="12">
        <f t="shared" si="86"/>
        <v>15.222621864751364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521.72129158755433</v>
      </c>
      <c r="H109" s="70">
        <f t="shared" si="56"/>
        <v>411.04669974777528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5.3205440053716299E-14</v>
      </c>
      <c r="P109" s="14">
        <f t="shared" si="87"/>
        <v>8.602146238565607E-13</v>
      </c>
      <c r="Q109" s="22">
        <f t="shared" si="107"/>
        <v>1.590873277977066E-12</v>
      </c>
      <c r="R109" s="62">
        <f t="shared" si="55"/>
        <v>293.33333333333491</v>
      </c>
      <c r="S109" s="62">
        <f ca="1">AVERAGE(OFFSET($R$3,0,0,'Données projet'!$E$9+1,1))-AVERAGE(OFFSET($H$3,0,0,'Données projet'!$E$9+1,1))</f>
        <v>242.7456246505439</v>
      </c>
      <c r="T109" s="62">
        <f t="shared" si="88"/>
        <v>195.88560859972426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-2.2737367544323206E-13</v>
      </c>
      <c r="AJ109" s="14">
        <f>AI109*VLOOKUP('Données projet'!$B$10,Paramètres!$A$1:$I$89,3,0)*VLOOKUP('Données projet'!$B$10,Paramètres!$A$1:$I$89,5,0)</f>
        <v>-1.064108801074326E-13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211.93796316015613</v>
      </c>
      <c r="AO109" s="62">
        <f t="shared" si="90"/>
        <v>165.73212396548013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4.4300631817667836E-11</v>
      </c>
      <c r="AX109" s="23">
        <f t="shared" si="60"/>
        <v>4.4300631817667836E-11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52.857999999999983</v>
      </c>
      <c r="D110" s="12">
        <f t="shared" si="86"/>
        <v>15.349445914541667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526.51361758593555</v>
      </c>
      <c r="H110" s="70">
        <f t="shared" si="56"/>
        <v>412.12796830116002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5.3205440053716299E-14</v>
      </c>
      <c r="P110" s="14">
        <f t="shared" si="87"/>
        <v>8.602146238565607E-13</v>
      </c>
      <c r="Q110" s="22">
        <f t="shared" si="107"/>
        <v>1.590873277977066E-12</v>
      </c>
      <c r="R110" s="62">
        <f t="shared" si="55"/>
        <v>293.33333333333491</v>
      </c>
      <c r="S110" s="62">
        <f ca="1">AVERAGE(OFFSET($R$3,0,0,'Données projet'!$E$9+1,1))-AVERAGE(OFFSET($H$3,0,0,'Données projet'!$E$9+1,1))</f>
        <v>242.7456246505439</v>
      </c>
      <c r="T110" s="62">
        <f t="shared" si="88"/>
        <v>195.88560859972426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-2.2737367544323206E-13</v>
      </c>
      <c r="AJ110" s="14">
        <f>AI110*VLOOKUP('Données projet'!$B$10,Paramètres!$A$1:$I$89,3,0)*VLOOKUP('Données projet'!$B$10,Paramètres!$A$1:$I$89,5,0)</f>
        <v>-1.064108801074326E-13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211.93796316015613</v>
      </c>
      <c r="AO110" s="62">
        <f t="shared" si="90"/>
        <v>165.73212396548013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3.1325277169121455E-11</v>
      </c>
      <c r="AX110" s="23">
        <f t="shared" si="60"/>
        <v>3.1325277169121455E-11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53.351999999999983</v>
      </c>
      <c r="D111" s="12">
        <f t="shared" si="86"/>
        <v>15.476132071622835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531.30487914936919</v>
      </c>
      <c r="H111" s="70">
        <f t="shared" si="56"/>
        <v>413.20899669140971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5.3205440053716299E-14</v>
      </c>
      <c r="P111" s="14">
        <f t="shared" si="87"/>
        <v>8.602146238565607E-13</v>
      </c>
      <c r="Q111" s="22">
        <f t="shared" si="107"/>
        <v>1.590873277977066E-12</v>
      </c>
      <c r="R111" s="62">
        <f t="shared" si="55"/>
        <v>293.33333333333491</v>
      </c>
      <c r="S111" s="62">
        <f ca="1">AVERAGE(OFFSET($R$3,0,0,'Données projet'!$E$9+1,1))-AVERAGE(OFFSET($H$3,0,0,'Données projet'!$E$9+1,1))</f>
        <v>242.7456246505439</v>
      </c>
      <c r="T111" s="62">
        <f t="shared" si="88"/>
        <v>195.88560859972426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-2.2737367544323206E-13</v>
      </c>
      <c r="AJ111" s="14">
        <f>AI111*VLOOKUP('Données projet'!$B$10,Paramètres!$A$1:$I$89,3,0)*VLOOKUP('Données projet'!$B$10,Paramètres!$A$1:$I$89,5,0)</f>
        <v>-1.064108801074326E-13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211.93796316015613</v>
      </c>
      <c r="AO111" s="62">
        <f t="shared" si="90"/>
        <v>165.73212396548013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2.2150315908833918E-11</v>
      </c>
      <c r="AX111" s="23">
        <f t="shared" si="60"/>
        <v>2.2150315908833918E-11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53.845999999999982</v>
      </c>
      <c r="D112" s="12">
        <f t="shared" si="86"/>
        <v>15.602681760669958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536.09508727534694</v>
      </c>
      <c r="H112" s="70">
        <f t="shared" si="56"/>
        <v>414.28978739983347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5.3205440053716299E-14</v>
      </c>
      <c r="P112" s="14">
        <f t="shared" si="87"/>
        <v>8.602146238565607E-13</v>
      </c>
      <c r="Q112" s="22">
        <f t="shared" si="107"/>
        <v>1.590873277977066E-12</v>
      </c>
      <c r="R112" s="62">
        <f t="shared" si="55"/>
        <v>293.33333333333491</v>
      </c>
      <c r="S112" s="62">
        <f ca="1">AVERAGE(OFFSET($R$3,0,0,'Données projet'!$E$9+1,1))-AVERAGE(OFFSET($H$3,0,0,'Données projet'!$E$9+1,1))</f>
        <v>242.7456246505439</v>
      </c>
      <c r="T112" s="62">
        <f t="shared" si="88"/>
        <v>195.88560859972426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-2.2737367544323206E-13</v>
      </c>
      <c r="AJ112" s="14">
        <f>AI112*VLOOKUP('Données projet'!$B$10,Paramètres!$A$1:$I$89,3,0)*VLOOKUP('Données projet'!$B$10,Paramètres!$A$1:$I$89,5,0)</f>
        <v>-1.064108801074326E-13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211.93796316015613</v>
      </c>
      <c r="AO112" s="62">
        <f t="shared" si="90"/>
        <v>165.73212396548013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1.5662638584560728E-11</v>
      </c>
      <c r="AX112" s="23">
        <f t="shared" si="60"/>
        <v>1.5662638584560728E-11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54.339999999999982</v>
      </c>
      <c r="D113" s="12">
        <f t="shared" si="86"/>
        <v>15.729096378709464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540.88425274793258</v>
      </c>
      <c r="H113" s="70">
        <f t="shared" si="56"/>
        <v>415.37034285958561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5.3205440053716299E-14</v>
      </c>
      <c r="P113" s="14">
        <f t="shared" si="87"/>
        <v>8.602146238565607E-13</v>
      </c>
      <c r="Q113" s="22">
        <f t="shared" si="107"/>
        <v>1.590873277977066E-12</v>
      </c>
      <c r="R113" s="62">
        <f t="shared" si="55"/>
        <v>293.33333333333491</v>
      </c>
      <c r="S113" s="62">
        <f ca="1">AVERAGE(OFFSET($R$3,0,0,'Données projet'!$E$9+1,1))-AVERAGE(OFFSET($H$3,0,0,'Données projet'!$E$9+1,1))</f>
        <v>242.7456246505439</v>
      </c>
      <c r="T113" s="62">
        <f t="shared" si="88"/>
        <v>195.88560859972426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-2.2737367544323206E-13</v>
      </c>
      <c r="AJ113" s="14">
        <f>AI113*VLOOKUP('Données projet'!$B$10,Paramètres!$A$1:$I$89,3,0)*VLOOKUP('Données projet'!$B$10,Paramètres!$A$1:$I$89,5,0)</f>
        <v>-1.064108801074326E-13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211.93796316015613</v>
      </c>
      <c r="AO113" s="62">
        <f t="shared" si="90"/>
        <v>165.73212396548013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1.1075157954416959E-11</v>
      </c>
      <c r="AX113" s="23">
        <f t="shared" si="60"/>
        <v>1.1075157954416959E-11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54.833999999999982</v>
      </c>
      <c r="D114" s="12">
        <f t="shared" si="86"/>
        <v>15.85537729590216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545.67238614380619</v>
      </c>
      <c r="H114" s="70">
        <f t="shared" si="56"/>
        <v>416.45066545702952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5.3205440053716299E-14</v>
      </c>
      <c r="P114" s="14">
        <f t="shared" si="87"/>
        <v>8.602146238565607E-13</v>
      </c>
      <c r="Q114" s="22">
        <f t="shared" si="107"/>
        <v>1.590873277977066E-12</v>
      </c>
      <c r="R114" s="62">
        <f t="shared" si="55"/>
        <v>293.33333333333491</v>
      </c>
      <c r="S114" s="62">
        <f ca="1">AVERAGE(OFFSET($R$3,0,0,'Données projet'!$E$9+1,1))-AVERAGE(OFFSET($H$3,0,0,'Données projet'!$E$9+1,1))</f>
        <v>242.7456246505439</v>
      </c>
      <c r="T114" s="62">
        <f t="shared" si="88"/>
        <v>195.88560859972426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-2.2737367544323206E-13</v>
      </c>
      <c r="AJ114" s="14">
        <f>AI114*VLOOKUP('Données projet'!$B$10,Paramètres!$A$1:$I$89,3,0)*VLOOKUP('Données projet'!$B$10,Paramètres!$A$1:$I$89,5,0)</f>
        <v>-1.064108801074326E-13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211.93796316015613</v>
      </c>
      <c r="AO114" s="62">
        <f t="shared" si="90"/>
        <v>165.73212396548013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7.8313192922803638E-12</v>
      </c>
      <c r="AX114" s="23">
        <f t="shared" si="60"/>
        <v>7.8313192922803638E-12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55.327999999999982</v>
      </c>
      <c r="D115" s="12">
        <f t="shared" si="86"/>
        <v>15.981525856297083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550.4594978380826</v>
      </c>
      <c r="H115" s="70">
        <f t="shared" si="56"/>
        <v>417.53075753305069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5.3205440053716299E-14</v>
      </c>
      <c r="P115" s="14">
        <f t="shared" si="87"/>
        <v>8.602146238565607E-13</v>
      </c>
      <c r="Q115" s="22">
        <f t="shared" si="107"/>
        <v>1.590873277977066E-12</v>
      </c>
      <c r="R115" s="62">
        <f t="shared" si="55"/>
        <v>293.33333333333491</v>
      </c>
      <c r="S115" s="62">
        <f ca="1">AVERAGE(OFFSET($R$3,0,0,'Données projet'!$E$9+1,1))-AVERAGE(OFFSET($H$3,0,0,'Données projet'!$E$9+1,1))</f>
        <v>242.7456246505439</v>
      </c>
      <c r="T115" s="62">
        <f t="shared" si="88"/>
        <v>195.88560859972426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-2.2737367544323206E-13</v>
      </c>
      <c r="AJ115" s="14">
        <f>AI115*VLOOKUP('Données projet'!$B$10,Paramètres!$A$1:$I$89,3,0)*VLOOKUP('Données projet'!$B$10,Paramètres!$A$1:$I$89,5,0)</f>
        <v>-1.064108801074326E-13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211.93796316015613</v>
      </c>
      <c r="AO115" s="62">
        <f t="shared" si="90"/>
        <v>165.73212396548013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5.5375789772084795E-12</v>
      </c>
      <c r="AX115" s="23">
        <f t="shared" si="60"/>
        <v>5.5375789772084795E-12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55.821999999999981</v>
      </c>
      <c r="D116" s="12">
        <f t="shared" si="86"/>
        <v>16.107543378557729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555.24559800991926</v>
      </c>
      <c r="H116" s="70">
        <f t="shared" si="56"/>
        <v>418.61062138432129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5.3205440053716299E-14</v>
      </c>
      <c r="P116" s="14">
        <f t="shared" si="87"/>
        <v>8.602146238565607E-13</v>
      </c>
      <c r="Q116" s="22">
        <f t="shared" si="107"/>
        <v>1.590873277977066E-12</v>
      </c>
      <c r="R116" s="62">
        <f t="shared" si="55"/>
        <v>293.33333333333491</v>
      </c>
      <c r="S116" s="62">
        <f ca="1">AVERAGE(OFFSET($R$3,0,0,'Données projet'!$E$9+1,1))-AVERAGE(OFFSET($H$3,0,0,'Données projet'!$E$9+1,1))</f>
        <v>242.7456246505439</v>
      </c>
      <c r="T116" s="62">
        <f t="shared" si="88"/>
        <v>195.88560859972426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-2.2737367544323206E-13</v>
      </c>
      <c r="AJ116" s="14">
        <f>AI116*VLOOKUP('Données projet'!$B$10,Paramètres!$A$1:$I$89,3,0)*VLOOKUP('Données projet'!$B$10,Paramètres!$A$1:$I$89,5,0)</f>
        <v>-1.064108801074326E-13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211.93796316015613</v>
      </c>
      <c r="AO116" s="62">
        <f t="shared" si="90"/>
        <v>165.73212396548013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3.9156596461401819E-12</v>
      </c>
      <c r="AX116" s="23">
        <f t="shared" si="60"/>
        <v>3.9156596461401819E-12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56.315999999999981</v>
      </c>
      <c r="D117" s="12">
        <f t="shared" si="86"/>
        <v>16.233431156661826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560.03069664791576</v>
      </c>
      <c r="H117" s="70">
        <f t="shared" si="56"/>
        <v>419.69025926451928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5.3205440053716299E-14</v>
      </c>
      <c r="P117" s="14">
        <f t="shared" si="87"/>
        <v>8.602146238565607E-13</v>
      </c>
      <c r="Q117" s="22">
        <f t="shared" si="107"/>
        <v>1.590873277977066E-12</v>
      </c>
      <c r="R117" s="62">
        <f t="shared" si="55"/>
        <v>293.33333333333491</v>
      </c>
      <c r="S117" s="62">
        <f ca="1">AVERAGE(OFFSET($R$3,0,0,'Données projet'!$E$9+1,1))-AVERAGE(OFFSET($H$3,0,0,'Données projet'!$E$9+1,1))</f>
        <v>242.7456246505439</v>
      </c>
      <c r="T117" s="62">
        <f t="shared" si="88"/>
        <v>195.88560859972426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-2.2737367544323206E-13</v>
      </c>
      <c r="AJ117" s="14">
        <f>AI117*VLOOKUP('Données projet'!$B$10,Paramètres!$A$1:$I$89,3,0)*VLOOKUP('Données projet'!$B$10,Paramètres!$A$1:$I$89,5,0)</f>
        <v>-1.064108801074326E-13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211.93796316015613</v>
      </c>
      <c r="AO117" s="62">
        <f t="shared" si="90"/>
        <v>165.73212396548013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2.7687894886042397E-12</v>
      </c>
      <c r="AX117" s="23">
        <f t="shared" si="60"/>
        <v>2.7687894886042397E-12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56.809999999999981</v>
      </c>
      <c r="D118" s="12">
        <f t="shared" si="86"/>
        <v>16.359190460575888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564.81480355532244</v>
      </c>
      <c r="H118" s="70">
        <f t="shared" si="56"/>
        <v>420.76967338550293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5.3205440053716299E-14</v>
      </c>
      <c r="P118" s="14">
        <f t="shared" si="87"/>
        <v>8.602146238565607E-13</v>
      </c>
      <c r="Q118" s="22">
        <f t="shared" si="107"/>
        <v>1.590873277977066E-12</v>
      </c>
      <c r="R118" s="62">
        <f t="shared" si="55"/>
        <v>293.33333333333491</v>
      </c>
      <c r="S118" s="62">
        <f ca="1">AVERAGE(OFFSET($R$3,0,0,'Données projet'!$E$9+1,1))-AVERAGE(OFFSET($H$3,0,0,'Données projet'!$E$9+1,1))</f>
        <v>242.7456246505439</v>
      </c>
      <c r="T118" s="62">
        <f t="shared" si="88"/>
        <v>195.88560859972426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-2.2737367544323206E-13</v>
      </c>
      <c r="AJ118" s="14">
        <f>AI118*VLOOKUP('Données projet'!$B$10,Paramètres!$A$1:$I$89,3,0)*VLOOKUP('Données projet'!$B$10,Paramètres!$A$1:$I$89,5,0)</f>
        <v>-1.064108801074326E-13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211.93796316015613</v>
      </c>
      <c r="AO118" s="62">
        <f t="shared" si="90"/>
        <v>165.73212396548013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1.9578298230700909E-12</v>
      </c>
      <c r="AX118" s="23">
        <f t="shared" si="60"/>
        <v>1.9578298230700909E-12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57.303999999999981</v>
      </c>
      <c r="D119" s="12">
        <f t="shared" si="86"/>
        <v>16.484822536905565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569.59792835506039</v>
      </c>
      <c r="H119" s="70">
        <f t="shared" si="56"/>
        <v>421.84886591844383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5.3205440053716299E-14</v>
      </c>
      <c r="P119" s="14">
        <f t="shared" si="87"/>
        <v>8.602146238565607E-13</v>
      </c>
      <c r="Q119" s="22">
        <f t="shared" si="107"/>
        <v>1.590873277977066E-12</v>
      </c>
      <c r="R119" s="62">
        <f t="shared" si="55"/>
        <v>293.33333333333491</v>
      </c>
      <c r="S119" s="62">
        <f ca="1">AVERAGE(OFFSET($R$3,0,0,'Données projet'!$E$9+1,1))-AVERAGE(OFFSET($H$3,0,0,'Données projet'!$E$9+1,1))</f>
        <v>242.7456246505439</v>
      </c>
      <c r="T119" s="62">
        <f t="shared" si="88"/>
        <v>195.88560859972426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-2.2737367544323206E-13</v>
      </c>
      <c r="AJ119" s="14">
        <f>AI119*VLOOKUP('Données projet'!$B$10,Paramètres!$A$1:$I$89,3,0)*VLOOKUP('Données projet'!$B$10,Paramètres!$A$1:$I$89,5,0)</f>
        <v>-1.064108801074326E-13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211.93796316015613</v>
      </c>
      <c r="AO119" s="62">
        <f t="shared" si="90"/>
        <v>165.73212396548013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1.3843947443021199E-12</v>
      </c>
      <c r="AX119" s="23">
        <f t="shared" si="60"/>
        <v>1.3843947443021199E-12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57.797999999999981</v>
      </c>
      <c r="D120" s="12">
        <f t="shared" si="86"/>
        <v>16.610328609522991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574.38008049456323</v>
      </c>
      <c r="H120" s="70">
        <f t="shared" si="56"/>
        <v>422.92783899491917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5.3205440053716299E-14</v>
      </c>
      <c r="P120" s="14">
        <f t="shared" si="87"/>
        <v>8.602146238565607E-13</v>
      </c>
      <c r="Q120" s="22">
        <f t="shared" si="107"/>
        <v>1.590873277977066E-12</v>
      </c>
      <c r="R120" s="62">
        <f t="shared" si="55"/>
        <v>293.33333333333491</v>
      </c>
      <c r="S120" s="62">
        <f ca="1">AVERAGE(OFFSET($R$3,0,0,'Données projet'!$E$9+1,1))-AVERAGE(OFFSET($H$3,0,0,'Données projet'!$E$9+1,1))</f>
        <v>242.7456246505439</v>
      </c>
      <c r="T120" s="62">
        <f t="shared" si="88"/>
        <v>195.88560859972426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-2.2737367544323206E-13</v>
      </c>
      <c r="AJ120" s="14">
        <f>AI120*VLOOKUP('Données projet'!$B$10,Paramètres!$A$1:$I$89,3,0)*VLOOKUP('Données projet'!$B$10,Paramètres!$A$1:$I$89,5,0)</f>
        <v>-1.064108801074326E-13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211.93796316015613</v>
      </c>
      <c r="AO120" s="62">
        <f t="shared" si="90"/>
        <v>165.73212396548013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9.7891491153504547E-13</v>
      </c>
      <c r="AX120" s="23">
        <f t="shared" si="60"/>
        <v>9.7891491153504547E-13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58.29199999999998</v>
      </c>
      <c r="D121" s="12">
        <f t="shared" si="86"/>
        <v>16.735709880171999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579.16126925045035</v>
      </c>
      <c r="H121" s="70">
        <f t="shared" si="56"/>
        <v>424.0065947079662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5.3205440053716299E-14</v>
      </c>
      <c r="P121" s="14">
        <f t="shared" si="87"/>
        <v>8.602146238565607E-13</v>
      </c>
      <c r="Q121" s="22">
        <f t="shared" si="107"/>
        <v>1.590873277977066E-12</v>
      </c>
      <c r="R121" s="62">
        <f t="shared" si="55"/>
        <v>293.33333333333491</v>
      </c>
      <c r="S121" s="62">
        <f ca="1">AVERAGE(OFFSET($R$3,0,0,'Données projet'!$E$9+1,1))-AVERAGE(OFFSET($H$3,0,0,'Données projet'!$E$9+1,1))</f>
        <v>242.7456246505439</v>
      </c>
      <c r="T121" s="62">
        <f t="shared" si="88"/>
        <v>195.88560859972426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-2.2737367544323206E-13</v>
      </c>
      <c r="AJ121" s="14">
        <f>AI121*VLOOKUP('Données projet'!$B$10,Paramètres!$A$1:$I$89,3,0)*VLOOKUP('Données projet'!$B$10,Paramètres!$A$1:$I$89,5,0)</f>
        <v>-1.064108801074326E-13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211.93796316015613</v>
      </c>
      <c r="AO121" s="62">
        <f t="shared" si="90"/>
        <v>165.73212396548013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6.9219737215105993E-13</v>
      </c>
      <c r="AX121" s="23">
        <f t="shared" si="60"/>
        <v>6.9219737215105993E-13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58.78599999999998</v>
      </c>
      <c r="D122" s="12">
        <f t="shared" si="86"/>
        <v>16.860967529052314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583.94150373303523</v>
      </c>
      <c r="H122" s="70">
        <f t="shared" si="56"/>
        <v>425.08513511309934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5.3205440053716299E-14</v>
      </c>
      <c r="P122" s="14">
        <f t="shared" si="87"/>
        <v>8.602146238565607E-13</v>
      </c>
      <c r="Q122" s="22">
        <f t="shared" si="107"/>
        <v>1.590873277977066E-12</v>
      </c>
      <c r="R122" s="62">
        <f t="shared" si="55"/>
        <v>293.33333333333491</v>
      </c>
      <c r="S122" s="62">
        <f ca="1">AVERAGE(OFFSET($R$3,0,0,'Données projet'!$E$9+1,1))-AVERAGE(OFFSET($H$3,0,0,'Données projet'!$E$9+1,1))</f>
        <v>242.7456246505439</v>
      </c>
      <c r="T122" s="62">
        <f t="shared" si="88"/>
        <v>195.88560859972426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-2.2737367544323206E-13</v>
      </c>
      <c r="AJ122" s="14">
        <f>AI122*VLOOKUP('Données projet'!$B$10,Paramètres!$A$1:$I$89,3,0)*VLOOKUP('Données projet'!$B$10,Paramètres!$A$1:$I$89,5,0)</f>
        <v>-1.064108801074326E-13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211.93796316015613</v>
      </c>
      <c r="AO122" s="62">
        <f t="shared" si="90"/>
        <v>165.73212396548013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4.8945745576752274E-13</v>
      </c>
      <c r="AX122" s="23">
        <f t="shared" si="60"/>
        <v>4.8945745576752274E-13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59.27999999999998</v>
      </c>
      <c r="D123" s="12">
        <f t="shared" si="86"/>
        <v>16.986102715383467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588.72079289067926</v>
      </c>
      <c r="H123" s="70">
        <f t="shared" si="56"/>
        <v>426.1634622292928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5.3205440053716299E-14</v>
      </c>
      <c r="P123" s="14">
        <f t="shared" si="87"/>
        <v>8.602146238565607E-13</v>
      </c>
      <c r="Q123" s="22">
        <f t="shared" si="107"/>
        <v>1.590873277977066E-12</v>
      </c>
      <c r="R123" s="62">
        <f t="shared" si="55"/>
        <v>293.33333333333491</v>
      </c>
      <c r="S123" s="62">
        <f ca="1">AVERAGE(OFFSET($R$3,0,0,'Données projet'!$E$9+1,1))-AVERAGE(OFFSET($H$3,0,0,'Données projet'!$E$9+1,1))</f>
        <v>242.7456246505439</v>
      </c>
      <c r="T123" s="62">
        <f t="shared" si="88"/>
        <v>195.88560859972426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-2.2737367544323206E-13</v>
      </c>
      <c r="AJ123" s="14">
        <f>AI123*VLOOKUP('Données projet'!$B$10,Paramètres!$A$1:$I$89,3,0)*VLOOKUP('Données projet'!$B$10,Paramètres!$A$1:$I$89,5,0)</f>
        <v>-1.064108801074326E-13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211.93796316015613</v>
      </c>
      <c r="AO123" s="62">
        <f t="shared" si="90"/>
        <v>165.73212396548013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3.4609868607552997E-13</v>
      </c>
      <c r="AX123" s="23">
        <f t="shared" si="60"/>
        <v>3.4609868607552997E-13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59.77399999999998</v>
      </c>
      <c r="D124" s="12">
        <f t="shared" si="86"/>
        <v>17.111116577949474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593.49914551399581</v>
      </c>
      <c r="H124" s="70">
        <f t="shared" si="56"/>
        <v>427.24157803992864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5.3205440053716299E-14</v>
      </c>
      <c r="P124" s="14">
        <f t="shared" si="87"/>
        <v>8.602146238565607E-13</v>
      </c>
      <c r="Q124" s="22">
        <f t="shared" si="107"/>
        <v>1.590873277977066E-12</v>
      </c>
      <c r="R124" s="62">
        <f t="shared" si="55"/>
        <v>293.33333333333491</v>
      </c>
      <c r="S124" s="62">
        <f ca="1">AVERAGE(OFFSET($R$3,0,0,'Données projet'!$E$9+1,1))-AVERAGE(OFFSET($H$3,0,0,'Données projet'!$E$9+1,1))</f>
        <v>242.7456246505439</v>
      </c>
      <c r="T124" s="62">
        <f t="shared" si="88"/>
        <v>195.88560859972426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-2.2737367544323206E-13</v>
      </c>
      <c r="AJ124" s="14">
        <f>AI124*VLOOKUP('Données projet'!$B$10,Paramètres!$A$1:$I$89,3,0)*VLOOKUP('Données projet'!$B$10,Paramètres!$A$1:$I$89,5,0)</f>
        <v>-1.064108801074326E-13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211.93796316015613</v>
      </c>
      <c r="AO124" s="62">
        <f t="shared" si="90"/>
        <v>165.73212396548013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2.4472872788376137E-13</v>
      </c>
      <c r="AX124" s="23">
        <f t="shared" si="60"/>
        <v>2.4472872788376137E-13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60.267999999999979</v>
      </c>
      <c r="D125" s="12">
        <f t="shared" si="86"/>
        <v>17.236010235624839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598.27657023991094</v>
      </c>
      <c r="H125" s="70">
        <f t="shared" si="56"/>
        <v>428.31948449371316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5.3205440053716299E-14</v>
      </c>
      <c r="P125" s="14">
        <f t="shared" si="87"/>
        <v>8.602146238565607E-13</v>
      </c>
      <c r="Q125" s="22">
        <f t="shared" si="107"/>
        <v>1.590873277977066E-12</v>
      </c>
      <c r="R125" s="62">
        <f t="shared" si="55"/>
        <v>293.33333333333491</v>
      </c>
      <c r="S125" s="62">
        <f ca="1">AVERAGE(OFFSET($R$3,0,0,'Données projet'!$E$9+1,1))-AVERAGE(OFFSET($H$3,0,0,'Données projet'!$E$9+1,1))</f>
        <v>242.7456246505439</v>
      </c>
      <c r="T125" s="62">
        <f t="shared" si="88"/>
        <v>195.88560859972426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-2.2737367544323206E-13</v>
      </c>
      <c r="AJ125" s="14">
        <f>AI125*VLOOKUP('Données projet'!$B$10,Paramètres!$A$1:$I$89,3,0)*VLOOKUP('Données projet'!$B$10,Paramètres!$A$1:$I$89,5,0)</f>
        <v>-1.064108801074326E-13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211.93796316015613</v>
      </c>
      <c r="AO125" s="62">
        <f t="shared" si="90"/>
        <v>165.73212396548013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1.7304934303776498E-13</v>
      </c>
      <c r="AX125" s="23">
        <f t="shared" si="60"/>
        <v>1.7304934303776498E-13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60.761999999999979</v>
      </c>
      <c r="D126" s="12">
        <f t="shared" si="86"/>
        <v>17.360784787882967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603.05307555558772</v>
      </c>
      <c r="H126" s="70">
        <f t="shared" si="56"/>
        <v>429.39718350556279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5.3205440053716299E-14</v>
      </c>
      <c r="P126" s="14">
        <f t="shared" si="87"/>
        <v>8.602146238565607E-13</v>
      </c>
      <c r="Q126" s="22">
        <f t="shared" si="107"/>
        <v>1.590873277977066E-12</v>
      </c>
      <c r="R126" s="62">
        <f t="shared" si="55"/>
        <v>293.33333333333491</v>
      </c>
      <c r="S126" s="62">
        <f ca="1">AVERAGE(OFFSET($R$3,0,0,'Données projet'!$E$9+1,1))-AVERAGE(OFFSET($H$3,0,0,'Données projet'!$E$9+1,1))</f>
        <v>242.7456246505439</v>
      </c>
      <c r="T126" s="62">
        <f t="shared" si="88"/>
        <v>195.88560859972426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-2.2737367544323206E-13</v>
      </c>
      <c r="AJ126" s="14">
        <f>AI126*VLOOKUP('Données projet'!$B$10,Paramètres!$A$1:$I$89,3,0)*VLOOKUP('Données projet'!$B$10,Paramètres!$A$1:$I$89,5,0)</f>
        <v>-1.064108801074326E-13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211.93796316015613</v>
      </c>
      <c r="AO126" s="62">
        <f t="shared" si="90"/>
        <v>165.73212396548013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1.2236436394188068E-13</v>
      </c>
      <c r="AX126" s="23">
        <f t="shared" si="60"/>
        <v>1.2236436394188068E-13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61.255999999999979</v>
      </c>
      <c r="D127" s="12">
        <f t="shared" si="86"/>
        <v>17.485441315287559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607.82866980221968</v>
      </c>
      <c r="H127" s="70">
        <f t="shared" si="56"/>
        <v>430.47467695745911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5.3205440053716299E-14</v>
      </c>
      <c r="P127" s="14">
        <f t="shared" si="87"/>
        <v>8.602146238565607E-13</v>
      </c>
      <c r="Q127" s="22">
        <f t="shared" si="107"/>
        <v>1.590873277977066E-12</v>
      </c>
      <c r="R127" s="62">
        <f t="shared" si="55"/>
        <v>293.33333333333491</v>
      </c>
      <c r="S127" s="62">
        <f ca="1">AVERAGE(OFFSET($R$3,0,0,'Données projet'!$E$9+1,1))-AVERAGE(OFFSET($H$3,0,0,'Données projet'!$E$9+1,1))</f>
        <v>242.7456246505439</v>
      </c>
      <c r="T127" s="62">
        <f t="shared" si="88"/>
        <v>195.88560859972426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-2.2737367544323206E-13</v>
      </c>
      <c r="AJ127" s="14">
        <f>AI127*VLOOKUP('Données projet'!$B$10,Paramètres!$A$1:$I$89,3,0)*VLOOKUP('Données projet'!$B$10,Paramètres!$A$1:$I$89,5,0)</f>
        <v>-1.064108801074326E-13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211.93796316015613</v>
      </c>
      <c r="AO127" s="62">
        <f t="shared" si="90"/>
        <v>165.73212396548013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8.6524671518882492E-14</v>
      </c>
      <c r="AX127" s="23">
        <f t="shared" si="60"/>
        <v>8.6524671518882492E-14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61.749999999999979</v>
      </c>
      <c r="D128" s="12">
        <f t="shared" si="86"/>
        <v>17.609980879967505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612.60336117869633</v>
      </c>
      <c r="H128" s="70">
        <f t="shared" si="56"/>
        <v>431.5519666992767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5.3205440053716299E-14</v>
      </c>
      <c r="P128" s="14">
        <f t="shared" si="87"/>
        <v>8.602146238565607E-13</v>
      </c>
      <c r="Q128" s="22">
        <f t="shared" si="107"/>
        <v>1.590873277977066E-12</v>
      </c>
      <c r="R128" s="62">
        <f t="shared" si="55"/>
        <v>293.33333333333491</v>
      </c>
      <c r="S128" s="62">
        <f ca="1">AVERAGE(OFFSET($R$3,0,0,'Données projet'!$E$9+1,1))-AVERAGE(OFFSET($H$3,0,0,'Données projet'!$E$9+1,1))</f>
        <v>242.7456246505439</v>
      </c>
      <c r="T128" s="62">
        <f t="shared" si="88"/>
        <v>195.88560859972426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-2.2737367544323206E-13</v>
      </c>
      <c r="AJ128" s="14">
        <f>AI128*VLOOKUP('Données projet'!$B$10,Paramètres!$A$1:$I$89,3,0)*VLOOKUP('Données projet'!$B$10,Paramètres!$A$1:$I$89,5,0)</f>
        <v>-1.064108801074326E-13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211.93796316015613</v>
      </c>
      <c r="AO128" s="62">
        <f t="shared" si="90"/>
        <v>165.73212396548013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6.1182181970940342E-14</v>
      </c>
      <c r="AX128" s="23">
        <f t="shared" si="60"/>
        <v>6.1182181970940342E-14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62.243999999999978</v>
      </c>
      <c r="D129" s="12">
        <f t="shared" si="86"/>
        <v>17.734404526076432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617.37715774515129</v>
      </c>
      <c r="H129" s="70">
        <f t="shared" si="56"/>
        <v>432.62905454958309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5.3205440053716299E-14</v>
      </c>
      <c r="P129" s="14">
        <f t="shared" si="87"/>
        <v>8.602146238565607E-13</v>
      </c>
      <c r="Q129" s="22">
        <f t="shared" si="107"/>
        <v>1.590873277977066E-12</v>
      </c>
      <c r="R129" s="62">
        <f t="shared" si="55"/>
        <v>293.33333333333491</v>
      </c>
      <c r="S129" s="62">
        <f ca="1">AVERAGE(OFFSET($R$3,0,0,'Données projet'!$E$9+1,1))-AVERAGE(OFFSET($H$3,0,0,'Données projet'!$E$9+1,1))</f>
        <v>242.7456246505439</v>
      </c>
      <c r="T129" s="62">
        <f t="shared" si="88"/>
        <v>195.88560859972426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-2.2737367544323206E-13</v>
      </c>
      <c r="AJ129" s="14">
        <f>AI129*VLOOKUP('Données projet'!$B$10,Paramètres!$A$1:$I$89,3,0)*VLOOKUP('Données projet'!$B$10,Paramètres!$A$1:$I$89,5,0)</f>
        <v>-1.064108801074326E-13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211.93796316015613</v>
      </c>
      <c r="AO129" s="62">
        <f t="shared" si="90"/>
        <v>165.73212396548013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4.3262335759441246E-14</v>
      </c>
      <c r="AX129" s="23">
        <f t="shared" si="60"/>
        <v>4.3262335759441246E-14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62.737999999999978</v>
      </c>
      <c r="D130" s="12">
        <f t="shared" si="86"/>
        <v>17.858713280237058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622.15006742639116</v>
      </c>
      <c r="H130" s="70">
        <f t="shared" si="56"/>
        <v>433.70594229641279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5.3205440053716299E-14</v>
      </c>
      <c r="P130" s="14">
        <f t="shared" si="87"/>
        <v>8.602146238565607E-13</v>
      </c>
      <c r="Q130" s="22">
        <f t="shared" si="107"/>
        <v>1.590873277977066E-12</v>
      </c>
      <c r="R130" s="62">
        <f t="shared" si="55"/>
        <v>293.33333333333491</v>
      </c>
      <c r="S130" s="62">
        <f ca="1">AVERAGE(OFFSET($R$3,0,0,'Données projet'!$E$9+1,1))-AVERAGE(OFFSET($H$3,0,0,'Données projet'!$E$9+1,1))</f>
        <v>242.7456246505439</v>
      </c>
      <c r="T130" s="62">
        <f t="shared" si="88"/>
        <v>195.88560859972426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-2.2737367544323206E-13</v>
      </c>
      <c r="AJ130" s="14">
        <f>AI130*VLOOKUP('Données projet'!$B$10,Paramètres!$A$1:$I$89,3,0)*VLOOKUP('Données projet'!$B$10,Paramètres!$A$1:$I$89,5,0)</f>
        <v>-1.064108801074326E-13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211.93796316015613</v>
      </c>
      <c r="AO130" s="62">
        <f t="shared" si="90"/>
        <v>165.73212396548013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3.0591090985470171E-14</v>
      </c>
      <c r="AX130" s="23">
        <f t="shared" si="60"/>
        <v>3.0591090985470171E-14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63.231999999999978</v>
      </c>
      <c r="D131" s="12">
        <f t="shared" si="86"/>
        <v>17.982908151971163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626.92209801521585</v>
      </c>
      <c r="H131" s="70">
        <f t="shared" si="56"/>
        <v>434.78263169801642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5.3205440053716299E-14</v>
      </c>
      <c r="P131" s="14">
        <f t="shared" si="87"/>
        <v>8.602146238565607E-13</v>
      </c>
      <c r="Q131" s="22">
        <f t="shared" ref="Q131:Q153" si="108">(O131+P131)*0.475*44/12</f>
        <v>1.590873277977066E-12</v>
      </c>
      <c r="R131" s="62">
        <f t="shared" ref="R131:R194" si="109">Q131+(I131+J131)*44/12</f>
        <v>293.33333333333491</v>
      </c>
      <c r="S131" s="62">
        <f ca="1">AVERAGE(OFFSET($R$3,0,0,'Données projet'!$E$9+1,1))-AVERAGE(OFFSET($H$3,0,0,'Données projet'!$E$9+1,1))</f>
        <v>242.7456246505439</v>
      </c>
      <c r="T131" s="62">
        <f t="shared" si="88"/>
        <v>195.88560859972426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-2.2737367544323206E-13</v>
      </c>
      <c r="AJ131" s="14">
        <f>AI131*VLOOKUP('Données projet'!$B$10,Paramètres!$A$1:$I$89,3,0)*VLOOKUP('Données projet'!$B$10,Paramètres!$A$1:$I$89,5,0)</f>
        <v>-1.064108801074326E-13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211.93796316015613</v>
      </c>
      <c r="AO131" s="62">
        <f t="shared" si="90"/>
        <v>165.73212396548013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2.1631167879720623E-14</v>
      </c>
      <c r="AX131" s="23">
        <f t="shared" si="60"/>
        <v>2.1631167879720623E-14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63.725999999999978</v>
      </c>
      <c r="D132" s="12">
        <f t="shared" si="86"/>
        <v>18.106990134115833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631.69325717563095</v>
      </c>
      <c r="H132" s="70">
        <f t="shared" ref="H132:H195" si="110">(B132+E132+F132)*44/12+(C132+D132)*0.475*44/12</f>
        <v>435.85912448358499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5.3205440053716299E-14</v>
      </c>
      <c r="P132" s="14">
        <f t="shared" si="87"/>
        <v>8.602146238565607E-13</v>
      </c>
      <c r="Q132" s="22">
        <f t="shared" si="108"/>
        <v>1.590873277977066E-12</v>
      </c>
      <c r="R132" s="62">
        <f t="shared" si="109"/>
        <v>293.33333333333491</v>
      </c>
      <c r="S132" s="62">
        <f ca="1">AVERAGE(OFFSET($R$3,0,0,'Données projet'!$E$9+1,1))-AVERAGE(OFFSET($H$3,0,0,'Données projet'!$E$9+1,1))</f>
        <v>242.7456246505439</v>
      </c>
      <c r="T132" s="62">
        <f t="shared" si="88"/>
        <v>195.88560859972426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-2.2737367544323206E-13</v>
      </c>
      <c r="AJ132" s="14">
        <f>AI132*VLOOKUP('Données projet'!$B$10,Paramètres!$A$1:$I$89,3,0)*VLOOKUP('Données projet'!$B$10,Paramètres!$A$1:$I$89,5,0)</f>
        <v>-1.064108801074326E-13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211.93796316015613</v>
      </c>
      <c r="AO132" s="62">
        <f t="shared" si="90"/>
        <v>165.73212396548013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1.5295545492735086E-14</v>
      </c>
      <c r="AX132" s="23">
        <f t="shared" ref="AX132:AX153" si="114">SUM(AU132:AW132)</f>
        <v>1.5295545492735086E-14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64.219999999999985</v>
      </c>
      <c r="D133" s="12">
        <f t="shared" ref="D133:D196" si="140">IFERROR(EXP(-1.0587+0.8836*LN(C133)+0.284),0)</f>
        <v>18.230960203226296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636.46355244595725</v>
      </c>
      <c r="H133" s="70">
        <f t="shared" si="110"/>
        <v>436.93542235395239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5.3205440053716299E-14</v>
      </c>
      <c r="P133" s="14">
        <f t="shared" ref="P133:P196" si="141">EXP(-1.0587+0.8836*LN(O133)+0.284)</f>
        <v>8.602146238565607E-13</v>
      </c>
      <c r="Q133" s="22">
        <f t="shared" si="108"/>
        <v>1.590873277977066E-12</v>
      </c>
      <c r="R133" s="62">
        <f t="shared" si="109"/>
        <v>293.33333333333491</v>
      </c>
      <c r="S133" s="62">
        <f ca="1">AVERAGE(OFFSET($R$3,0,0,'Données projet'!$E$9+1,1))-AVERAGE(OFFSET($H$3,0,0,'Données projet'!$E$9+1,1))</f>
        <v>242.7456246505439</v>
      </c>
      <c r="T133" s="62">
        <f t="shared" ref="T133:T196" si="142">$T$3</f>
        <v>195.88560859972426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-2.2737367544323206E-13</v>
      </c>
      <c r="AJ133" s="14">
        <f>AI133*VLOOKUP('Données projet'!$B$10,Paramètres!$A$1:$I$89,3,0)*VLOOKUP('Données projet'!$B$10,Paramètres!$A$1:$I$89,5,0)</f>
        <v>-1.064108801074326E-13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211.93796316015613</v>
      </c>
      <c r="AO133" s="62">
        <f t="shared" ref="AO133:AO196" si="144">$AO$3</f>
        <v>165.73212396548013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1.0815583939860311E-14</v>
      </c>
      <c r="AX133" s="23">
        <f t="shared" si="114"/>
        <v>1.0815583939860311E-14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64.713999999999984</v>
      </c>
      <c r="D134" s="12">
        <f t="shared" si="140"/>
        <v>18.354819319966147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641.23299124184393</v>
      </c>
      <c r="H134" s="70">
        <f t="shared" si="110"/>
        <v>438.01152698227429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5.3205440053716299E-14</v>
      </c>
      <c r="P134" s="14">
        <f t="shared" si="141"/>
        <v>8.602146238565607E-13</v>
      </c>
      <c r="Q134" s="22">
        <f t="shared" si="108"/>
        <v>1.590873277977066E-12</v>
      </c>
      <c r="R134" s="62">
        <f t="shared" si="109"/>
        <v>293.33333333333491</v>
      </c>
      <c r="S134" s="62">
        <f ca="1">AVERAGE(OFFSET($R$3,0,0,'Données projet'!$E$9+1,1))-AVERAGE(OFFSET($H$3,0,0,'Données projet'!$E$9+1,1))</f>
        <v>242.7456246505439</v>
      </c>
      <c r="T134" s="62">
        <f t="shared" si="142"/>
        <v>195.88560859972426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-2.2737367544323206E-13</v>
      </c>
      <c r="AJ134" s="14">
        <f>AI134*VLOOKUP('Données projet'!$B$10,Paramètres!$A$1:$I$89,3,0)*VLOOKUP('Données projet'!$B$10,Paramètres!$A$1:$I$89,5,0)</f>
        <v>-1.064108801074326E-13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211.93796316015613</v>
      </c>
      <c r="AO134" s="62">
        <f t="shared" si="144"/>
        <v>165.73212396548013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7.6477727463675428E-15</v>
      </c>
      <c r="AX134" s="23">
        <f t="shared" si="114"/>
        <v>7.6477727463675428E-15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65.207999999999984</v>
      </c>
      <c r="D135" s="12">
        <f t="shared" si="140"/>
        <v>18.47856842948519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646.00158085918383</v>
      </c>
      <c r="H135" s="70">
        <f t="shared" si="110"/>
        <v>439.08744001468665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5.3205440053716299E-14</v>
      </c>
      <c r="P135" s="14">
        <f t="shared" si="141"/>
        <v>8.602146238565607E-13</v>
      </c>
      <c r="Q135" s="22">
        <f t="shared" si="108"/>
        <v>1.590873277977066E-12</v>
      </c>
      <c r="R135" s="62">
        <f t="shared" si="109"/>
        <v>293.33333333333491</v>
      </c>
      <c r="S135" s="62">
        <f ca="1">AVERAGE(OFFSET($R$3,0,0,'Données projet'!$E$9+1,1))-AVERAGE(OFFSET($H$3,0,0,'Données projet'!$E$9+1,1))</f>
        <v>242.7456246505439</v>
      </c>
      <c r="T135" s="62">
        <f t="shared" si="142"/>
        <v>195.88560859972426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-2.2737367544323206E-13</v>
      </c>
      <c r="AJ135" s="14">
        <f>AI135*VLOOKUP('Données projet'!$B$10,Paramètres!$A$1:$I$89,3,0)*VLOOKUP('Données projet'!$B$10,Paramètres!$A$1:$I$89,5,0)</f>
        <v>-1.064108801074326E-13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211.93796316015613</v>
      </c>
      <c r="AO135" s="62">
        <f t="shared" si="144"/>
        <v>165.73212396548013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5.4077919699301557E-15</v>
      </c>
      <c r="AX135" s="23">
        <f t="shared" si="114"/>
        <v>5.4077919699301557E-15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65.701999999999984</v>
      </c>
      <c r="D136" s="12">
        <f t="shared" si="140"/>
        <v>18.60220846178558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650.76932847694115</v>
      </c>
      <c r="H136" s="70">
        <f t="shared" si="110"/>
        <v>440.16316307094314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5.3205440053716299E-14</v>
      </c>
      <c r="P136" s="14">
        <f t="shared" si="141"/>
        <v>8.602146238565607E-13</v>
      </c>
      <c r="Q136" s="22">
        <f t="shared" si="108"/>
        <v>1.590873277977066E-12</v>
      </c>
      <c r="R136" s="62">
        <f t="shared" si="109"/>
        <v>293.33333333333491</v>
      </c>
      <c r="S136" s="62">
        <f ca="1">AVERAGE(OFFSET($R$3,0,0,'Données projet'!$E$9+1,1))-AVERAGE(OFFSET($H$3,0,0,'Données projet'!$E$9+1,1))</f>
        <v>242.7456246505439</v>
      </c>
      <c r="T136" s="62">
        <f t="shared" si="142"/>
        <v>195.88560859972426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-2.2737367544323206E-13</v>
      </c>
      <c r="AJ136" s="14">
        <f>AI136*VLOOKUP('Données projet'!$B$10,Paramètres!$A$1:$I$89,3,0)*VLOOKUP('Données projet'!$B$10,Paramètres!$A$1:$I$89,5,0)</f>
        <v>-1.064108801074326E-13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211.93796316015613</v>
      </c>
      <c r="AO136" s="62">
        <f t="shared" si="144"/>
        <v>165.73212396548013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3.8238863731837714E-15</v>
      </c>
      <c r="AX136" s="23">
        <f t="shared" si="114"/>
        <v>3.8238863731837714E-15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66.195999999999984</v>
      </c>
      <c r="D137" s="12">
        <f t="shared" si="140"/>
        <v>18.725740332076615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655.53624115988953</v>
      </c>
      <c r="H137" s="70">
        <f t="shared" si="110"/>
        <v>441.23869774503339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5.3205440053716299E-14</v>
      </c>
      <c r="P137" s="14">
        <f t="shared" si="141"/>
        <v>8.602146238565607E-13</v>
      </c>
      <c r="Q137" s="22">
        <f t="shared" si="108"/>
        <v>1.590873277977066E-12</v>
      </c>
      <c r="R137" s="62">
        <f t="shared" si="109"/>
        <v>293.33333333333491</v>
      </c>
      <c r="S137" s="62">
        <f ca="1">AVERAGE(OFFSET($R$3,0,0,'Données projet'!$E$9+1,1))-AVERAGE(OFFSET($H$3,0,0,'Données projet'!$E$9+1,1))</f>
        <v>242.7456246505439</v>
      </c>
      <c r="T137" s="62">
        <f t="shared" si="142"/>
        <v>195.88560859972426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-2.2737367544323206E-13</v>
      </c>
      <c r="AJ137" s="14">
        <f>AI137*VLOOKUP('Données projet'!$B$10,Paramètres!$A$1:$I$89,3,0)*VLOOKUP('Données projet'!$B$10,Paramètres!$A$1:$I$89,5,0)</f>
        <v>-1.064108801074326E-13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211.93796316015613</v>
      </c>
      <c r="AO137" s="62">
        <f t="shared" si="144"/>
        <v>165.73212396548013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2.7038959849650779E-15</v>
      </c>
      <c r="AX137" s="23">
        <f t="shared" si="114"/>
        <v>2.7038959849650779E-15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66.689999999999984</v>
      </c>
      <c r="D138" s="12">
        <f t="shared" si="140"/>
        <v>18.849164941118623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660.30232586126647</v>
      </c>
      <c r="H138" s="70">
        <f t="shared" si="110"/>
        <v>442.31404560578153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5.3205440053716299E-14</v>
      </c>
      <c r="P138" s="14">
        <f t="shared" si="141"/>
        <v>8.602146238565607E-13</v>
      </c>
      <c r="Q138" s="22">
        <f t="shared" si="108"/>
        <v>1.590873277977066E-12</v>
      </c>
      <c r="R138" s="62">
        <f t="shared" si="109"/>
        <v>293.33333333333491</v>
      </c>
      <c r="S138" s="62">
        <f ca="1">AVERAGE(OFFSET($R$3,0,0,'Données projet'!$E$9+1,1))-AVERAGE(OFFSET($H$3,0,0,'Données projet'!$E$9+1,1))</f>
        <v>242.7456246505439</v>
      </c>
      <c r="T138" s="62">
        <f t="shared" si="142"/>
        <v>195.88560859972426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-2.2737367544323206E-13</v>
      </c>
      <c r="AJ138" s="14">
        <f>AI138*VLOOKUP('Données projet'!$B$10,Paramètres!$A$1:$I$89,3,0)*VLOOKUP('Données projet'!$B$10,Paramètres!$A$1:$I$89,5,0)</f>
        <v>-1.064108801074326E-13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211.93796316015613</v>
      </c>
      <c r="AO138" s="62">
        <f t="shared" si="144"/>
        <v>165.73212396548013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1.9119431865918857E-15</v>
      </c>
      <c r="AX138" s="23">
        <f t="shared" si="114"/>
        <v>1.9119431865918857E-15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67.183999999999983</v>
      </c>
      <c r="D139" s="12">
        <f t="shared" si="140"/>
        <v>18.972483175556398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665.06758942534759</v>
      </c>
      <c r="H139" s="70">
        <f t="shared" si="110"/>
        <v>443.38920819742737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5.3205440053716299E-14</v>
      </c>
      <c r="P139" s="14">
        <f t="shared" si="141"/>
        <v>8.602146238565607E-13</v>
      </c>
      <c r="Q139" s="22">
        <f t="shared" si="108"/>
        <v>1.590873277977066E-12</v>
      </c>
      <c r="R139" s="62">
        <f t="shared" si="109"/>
        <v>293.33333333333491</v>
      </c>
      <c r="S139" s="62">
        <f ca="1">AVERAGE(OFFSET($R$3,0,0,'Données projet'!$E$9+1,1))-AVERAGE(OFFSET($H$3,0,0,'Données projet'!$E$9+1,1))</f>
        <v>242.7456246505439</v>
      </c>
      <c r="T139" s="62">
        <f t="shared" si="142"/>
        <v>195.88560859972426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-2.2737367544323206E-13</v>
      </c>
      <c r="AJ139" s="14">
        <f>AI139*VLOOKUP('Données projet'!$B$10,Paramètres!$A$1:$I$89,3,0)*VLOOKUP('Données projet'!$B$10,Paramètres!$A$1:$I$89,5,0)</f>
        <v>-1.064108801074326E-13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211.93796316015613</v>
      </c>
      <c r="AO139" s="62">
        <f t="shared" si="144"/>
        <v>165.73212396548013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1.3519479924825389E-15</v>
      </c>
      <c r="AX139" s="23">
        <f t="shared" si="114"/>
        <v>1.3519479924825389E-15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67.677999999999983</v>
      </c>
      <c r="D140" s="12">
        <f t="shared" si="140"/>
        <v>19.09569590824248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669.83203858994182</v>
      </c>
      <c r="H140" s="70">
        <f t="shared" si="110"/>
        <v>444.4641870401889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5.3205440053716299E-14</v>
      </c>
      <c r="P140" s="14">
        <f t="shared" si="141"/>
        <v>8.602146238565607E-13</v>
      </c>
      <c r="Q140" s="22">
        <f t="shared" si="108"/>
        <v>1.590873277977066E-12</v>
      </c>
      <c r="R140" s="62">
        <f t="shared" si="109"/>
        <v>293.33333333333491</v>
      </c>
      <c r="S140" s="62">
        <f ca="1">AVERAGE(OFFSET($R$3,0,0,'Données projet'!$E$9+1,1))-AVERAGE(OFFSET($H$3,0,0,'Données projet'!$E$9+1,1))</f>
        <v>242.7456246505439</v>
      </c>
      <c r="T140" s="62">
        <f t="shared" si="142"/>
        <v>195.88560859972426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-2.2737367544323206E-13</v>
      </c>
      <c r="AJ140" s="14">
        <f>AI140*VLOOKUP('Données projet'!$B$10,Paramètres!$A$1:$I$89,3,0)*VLOOKUP('Données projet'!$B$10,Paramètres!$A$1:$I$89,5,0)</f>
        <v>-1.064108801074326E-13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211.93796316015613</v>
      </c>
      <c r="AO140" s="62">
        <f t="shared" si="144"/>
        <v>165.73212396548013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9.5597159329594285E-16</v>
      </c>
      <c r="AX140" s="23">
        <f t="shared" si="114"/>
        <v>9.5597159329594285E-16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68.171999999999983</v>
      </c>
      <c r="D141" s="12">
        <f t="shared" si="140"/>
        <v>19.21880399855084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674.59567998881346</v>
      </c>
      <c r="H141" s="70">
        <f t="shared" si="110"/>
        <v>445.5389836308093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5.3205440053716299E-14</v>
      </c>
      <c r="P141" s="14">
        <f t="shared" si="141"/>
        <v>8.602146238565607E-13</v>
      </c>
      <c r="Q141" s="22">
        <f t="shared" si="108"/>
        <v>1.590873277977066E-12</v>
      </c>
      <c r="R141" s="62">
        <f t="shared" si="109"/>
        <v>293.33333333333491</v>
      </c>
      <c r="S141" s="62">
        <f ca="1">AVERAGE(OFFSET($R$3,0,0,'Données projet'!$E$9+1,1))-AVERAGE(OFFSET($H$3,0,0,'Données projet'!$E$9+1,1))</f>
        <v>242.7456246505439</v>
      </c>
      <c r="T141" s="62">
        <f t="shared" si="142"/>
        <v>195.88560859972426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-2.2737367544323206E-13</v>
      </c>
      <c r="AJ141" s="14">
        <f>AI141*VLOOKUP('Données projet'!$B$10,Paramètres!$A$1:$I$89,3,0)*VLOOKUP('Données projet'!$B$10,Paramètres!$A$1:$I$89,5,0)</f>
        <v>-1.064108801074326E-13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211.93796316015613</v>
      </c>
      <c r="AO141" s="62">
        <f t="shared" si="144"/>
        <v>165.73212396548013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6.7597399624126947E-16</v>
      </c>
      <c r="AX141" s="23">
        <f t="shared" si="114"/>
        <v>6.7597399624126947E-16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68.665999999999983</v>
      </c>
      <c r="D142" s="12">
        <f t="shared" si="140"/>
        <v>19.341808292681065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679.35852015402918</v>
      </c>
      <c r="H142" s="70">
        <f t="shared" si="110"/>
        <v>446.61359944308612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5.3205440053716299E-14</v>
      </c>
      <c r="P142" s="14">
        <f t="shared" si="141"/>
        <v>8.602146238565607E-13</v>
      </c>
      <c r="Q142" s="22">
        <f t="shared" si="108"/>
        <v>1.590873277977066E-12</v>
      </c>
      <c r="R142" s="62">
        <f t="shared" si="109"/>
        <v>293.33333333333491</v>
      </c>
      <c r="S142" s="62">
        <f ca="1">AVERAGE(OFFSET($R$3,0,0,'Données projet'!$E$9+1,1))-AVERAGE(OFFSET($H$3,0,0,'Données projet'!$E$9+1,1))</f>
        <v>242.7456246505439</v>
      </c>
      <c r="T142" s="62">
        <f t="shared" si="142"/>
        <v>195.88560859972426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-2.2737367544323206E-13</v>
      </c>
      <c r="AJ142" s="14">
        <f>AI142*VLOOKUP('Données projet'!$B$10,Paramètres!$A$1:$I$89,3,0)*VLOOKUP('Données projet'!$B$10,Paramètres!$A$1:$I$89,5,0)</f>
        <v>-1.064108801074326E-13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211.93796316015613</v>
      </c>
      <c r="AO142" s="62">
        <f t="shared" si="144"/>
        <v>165.73212396548013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4.7798579664797142E-16</v>
      </c>
      <c r="AX142" s="23">
        <f t="shared" si="114"/>
        <v>4.7798579664797142E-16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69.159999999999982</v>
      </c>
      <c r="D143" s="12">
        <f t="shared" si="140"/>
        <v>19.464709623953723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684.12056551823923</v>
      </c>
      <c r="H143" s="70">
        <f t="shared" si="110"/>
        <v>447.68803592838606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5.3205440053716299E-14</v>
      </c>
      <c r="P143" s="14">
        <f t="shared" si="141"/>
        <v>8.602146238565607E-13</v>
      </c>
      <c r="Q143" s="22">
        <f t="shared" si="108"/>
        <v>1.590873277977066E-12</v>
      </c>
      <c r="R143" s="62">
        <f t="shared" si="109"/>
        <v>293.33333333333491</v>
      </c>
      <c r="S143" s="62">
        <f ca="1">AVERAGE(OFFSET($R$3,0,0,'Données projet'!$E$9+1,1))-AVERAGE(OFFSET($H$3,0,0,'Données projet'!$E$9+1,1))</f>
        <v>242.7456246505439</v>
      </c>
      <c r="T143" s="62">
        <f t="shared" si="142"/>
        <v>195.88560859972426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-2.2737367544323206E-13</v>
      </c>
      <c r="AJ143" s="14">
        <f>AI143*VLOOKUP('Données projet'!$B$10,Paramètres!$A$1:$I$89,3,0)*VLOOKUP('Données projet'!$B$10,Paramètres!$A$1:$I$89,5,0)</f>
        <v>-1.064108801074326E-13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211.93796316015613</v>
      </c>
      <c r="AO143" s="62">
        <f t="shared" si="144"/>
        <v>165.73212396548013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3.3798699812063473E-16</v>
      </c>
      <c r="AX143" s="23">
        <f t="shared" si="114"/>
        <v>3.3798699812063473E-16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69.653999999999982</v>
      </c>
      <c r="D144" s="12">
        <f t="shared" si="140"/>
        <v>19.587508813096782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688.8818224168873</v>
      </c>
      <c r="H144" s="70">
        <f t="shared" si="110"/>
        <v>448.76229451614353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5.3205440053716299E-14</v>
      </c>
      <c r="P144" s="14">
        <f t="shared" si="141"/>
        <v>8.602146238565607E-13</v>
      </c>
      <c r="Q144" s="22">
        <f t="shared" si="108"/>
        <v>1.590873277977066E-12</v>
      </c>
      <c r="R144" s="62">
        <f t="shared" si="109"/>
        <v>293.33333333333491</v>
      </c>
      <c r="S144" s="62">
        <f ca="1">AVERAGE(OFFSET($R$3,0,0,'Données projet'!$E$9+1,1))-AVERAGE(OFFSET($H$3,0,0,'Données projet'!$E$9+1,1))</f>
        <v>242.7456246505439</v>
      </c>
      <c r="T144" s="62">
        <f t="shared" si="142"/>
        <v>195.88560859972426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-2.2737367544323206E-13</v>
      </c>
      <c r="AJ144" s="14">
        <f>AI144*VLOOKUP('Données projet'!$B$10,Paramètres!$A$1:$I$89,3,0)*VLOOKUP('Données projet'!$B$10,Paramètres!$A$1:$I$89,5,0)</f>
        <v>-1.064108801074326E-13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211.93796316015613</v>
      </c>
      <c r="AO144" s="62">
        <f t="shared" si="144"/>
        <v>165.73212396548013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2.3899289832398571E-16</v>
      </c>
      <c r="AX144" s="23">
        <f t="shared" si="114"/>
        <v>2.3899289832398571E-16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70.147999999999982</v>
      </c>
      <c r="D145" s="12">
        <f t="shared" si="140"/>
        <v>19.710206668524005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693.64229709036078</v>
      </c>
      <c r="H145" s="70">
        <f t="shared" si="110"/>
        <v>449.83637661434591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5.3205440053716299E-14</v>
      </c>
      <c r="P145" s="14">
        <f t="shared" si="141"/>
        <v>8.602146238565607E-13</v>
      </c>
      <c r="Q145" s="22">
        <f t="shared" si="108"/>
        <v>1.590873277977066E-12</v>
      </c>
      <c r="R145" s="62">
        <f t="shared" si="109"/>
        <v>293.33333333333491</v>
      </c>
      <c r="S145" s="62">
        <f ca="1">AVERAGE(OFFSET($R$3,0,0,'Données projet'!$E$9+1,1))-AVERAGE(OFFSET($H$3,0,0,'Données projet'!$E$9+1,1))</f>
        <v>242.7456246505439</v>
      </c>
      <c r="T145" s="62">
        <f t="shared" si="142"/>
        <v>195.88560859972426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-2.2737367544323206E-13</v>
      </c>
      <c r="AJ145" s="14">
        <f>AI145*VLOOKUP('Données projet'!$B$10,Paramètres!$A$1:$I$89,3,0)*VLOOKUP('Données projet'!$B$10,Paramètres!$A$1:$I$89,5,0)</f>
        <v>-1.064108801074326E-13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211.93796316015613</v>
      </c>
      <c r="AO145" s="62">
        <f t="shared" si="144"/>
        <v>165.73212396548013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1.6899349906031737E-16</v>
      </c>
      <c r="AX145" s="23">
        <f t="shared" si="114"/>
        <v>1.6899349906031737E-16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70.641999999999982</v>
      </c>
      <c r="D146" s="12">
        <f t="shared" si="140"/>
        <v>19.832803986604944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698.40199568607306</v>
      </c>
      <c r="H146" s="70">
        <f t="shared" si="110"/>
        <v>450.91028361000355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5.3205440053716299E-14</v>
      </c>
      <c r="P146" s="14">
        <f t="shared" si="141"/>
        <v>8.602146238565607E-13</v>
      </c>
      <c r="Q146" s="22">
        <f t="shared" si="108"/>
        <v>1.590873277977066E-12</v>
      </c>
      <c r="R146" s="62">
        <f t="shared" si="109"/>
        <v>293.33333333333491</v>
      </c>
      <c r="S146" s="62">
        <f ca="1">AVERAGE(OFFSET($R$3,0,0,'Données projet'!$E$9+1,1))-AVERAGE(OFFSET($H$3,0,0,'Données projet'!$E$9+1,1))</f>
        <v>242.7456246505439</v>
      </c>
      <c r="T146" s="62">
        <f t="shared" si="142"/>
        <v>195.88560859972426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-2.2737367544323206E-13</v>
      </c>
      <c r="AJ146" s="14">
        <f>AI146*VLOOKUP('Données projet'!$B$10,Paramètres!$A$1:$I$89,3,0)*VLOOKUP('Données projet'!$B$10,Paramètres!$A$1:$I$89,5,0)</f>
        <v>-1.064108801074326E-13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211.93796316015613</v>
      </c>
      <c r="AO146" s="62">
        <f t="shared" si="144"/>
        <v>165.73212396548013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1.1949644916199286E-16</v>
      </c>
      <c r="AX146" s="23">
        <f t="shared" si="114"/>
        <v>1.1949644916199286E-16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71.135999999999981</v>
      </c>
      <c r="D147" s="12">
        <f t="shared" si="140"/>
        <v>19.955301551927469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703.16092426049261</v>
      </c>
      <c r="H147" s="70">
        <f t="shared" si="110"/>
        <v>451.98401686960693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5.3205440053716299E-14</v>
      </c>
      <c r="P147" s="14">
        <f t="shared" si="141"/>
        <v>8.602146238565607E-13</v>
      </c>
      <c r="Q147" s="22">
        <f t="shared" si="108"/>
        <v>1.590873277977066E-12</v>
      </c>
      <c r="R147" s="62">
        <f t="shared" si="109"/>
        <v>293.33333333333491</v>
      </c>
      <c r="S147" s="62">
        <f ca="1">AVERAGE(OFFSET($R$3,0,0,'Données projet'!$E$9+1,1))-AVERAGE(OFFSET($H$3,0,0,'Données projet'!$E$9+1,1))</f>
        <v>242.7456246505439</v>
      </c>
      <c r="T147" s="62">
        <f t="shared" si="142"/>
        <v>195.88560859972426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-2.2737367544323206E-13</v>
      </c>
      <c r="AJ147" s="14">
        <f>AI147*VLOOKUP('Données projet'!$B$10,Paramètres!$A$1:$I$89,3,0)*VLOOKUP('Données projet'!$B$10,Paramètres!$A$1:$I$89,5,0)</f>
        <v>-1.064108801074326E-13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211.93796316015613</v>
      </c>
      <c r="AO147" s="62">
        <f t="shared" si="144"/>
        <v>165.73212396548013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8.4496749530158683E-17</v>
      </c>
      <c r="AX147" s="23">
        <f t="shared" si="114"/>
        <v>8.4496749530158683E-17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71.629999999999981</v>
      </c>
      <c r="D148" s="12">
        <f t="shared" si="140"/>
        <v>20.077700137552494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707.91908878110689</v>
      </c>
      <c r="H148" s="70">
        <f t="shared" si="110"/>
        <v>453.05757773957055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5.3205440053716299E-14</v>
      </c>
      <c r="P148" s="14">
        <f t="shared" si="141"/>
        <v>8.602146238565607E-13</v>
      </c>
      <c r="Q148" s="22">
        <f t="shared" si="108"/>
        <v>1.590873277977066E-12</v>
      </c>
      <c r="R148" s="62">
        <f t="shared" si="109"/>
        <v>293.33333333333491</v>
      </c>
      <c r="S148" s="62">
        <f ca="1">AVERAGE(OFFSET($R$3,0,0,'Données projet'!$E$9+1,1))-AVERAGE(OFFSET($H$3,0,0,'Données projet'!$E$9+1,1))</f>
        <v>242.7456246505439</v>
      </c>
      <c r="T148" s="62">
        <f t="shared" si="142"/>
        <v>195.88560859972426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-2.2737367544323206E-13</v>
      </c>
      <c r="AJ148" s="14">
        <f>AI148*VLOOKUP('Données projet'!$B$10,Paramètres!$A$1:$I$89,3,0)*VLOOKUP('Données projet'!$B$10,Paramètres!$A$1:$I$89,5,0)</f>
        <v>-1.064108801074326E-13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211.93796316015613</v>
      </c>
      <c r="AO148" s="62">
        <f t="shared" si="144"/>
        <v>165.73212396548013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5.9748224580996428E-17</v>
      </c>
      <c r="AX148" s="23">
        <f t="shared" si="114"/>
        <v>5.9748224580996428E-17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72.123999999999981</v>
      </c>
      <c r="D149" s="12">
        <f t="shared" si="140"/>
        <v>20.200000505261777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712.67649512833634</v>
      </c>
      <c r="H149" s="70">
        <f t="shared" si="110"/>
        <v>454.13096754666418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5.3205440053716299E-14</v>
      </c>
      <c r="P149" s="14">
        <f t="shared" si="141"/>
        <v>8.602146238565607E-13</v>
      </c>
      <c r="Q149" s="22">
        <f t="shared" si="108"/>
        <v>1.590873277977066E-12</v>
      </c>
      <c r="R149" s="62">
        <f t="shared" si="109"/>
        <v>293.33333333333491</v>
      </c>
      <c r="S149" s="62">
        <f ca="1">AVERAGE(OFFSET($R$3,0,0,'Données projet'!$E$9+1,1))-AVERAGE(OFFSET($H$3,0,0,'Données projet'!$E$9+1,1))</f>
        <v>242.7456246505439</v>
      </c>
      <c r="T149" s="62">
        <f t="shared" si="142"/>
        <v>195.88560859972426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-2.2737367544323206E-13</v>
      </c>
      <c r="AJ149" s="14">
        <f>AI149*VLOOKUP('Données projet'!$B$10,Paramètres!$A$1:$I$89,3,0)*VLOOKUP('Données projet'!$B$10,Paramètres!$A$1:$I$89,5,0)</f>
        <v>-1.064108801074326E-13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211.93796316015613</v>
      </c>
      <c r="AO149" s="62">
        <f t="shared" si="144"/>
        <v>165.73212396548013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4.2248374765079342E-17</v>
      </c>
      <c r="AX149" s="23">
        <f t="shared" si="114"/>
        <v>4.2248374765079342E-17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72.617999999999981</v>
      </c>
      <c r="D150" s="12">
        <f t="shared" si="140"/>
        <v>20.322203405798444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717.43314909739138</v>
      </c>
      <c r="H150" s="70">
        <f t="shared" si="110"/>
        <v>455.20418759843221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5.3205440053716299E-14</v>
      </c>
      <c r="P150" s="14">
        <f t="shared" si="141"/>
        <v>8.602146238565607E-13</v>
      </c>
      <c r="Q150" s="22">
        <f t="shared" si="108"/>
        <v>1.590873277977066E-12</v>
      </c>
      <c r="R150" s="62">
        <f t="shared" si="109"/>
        <v>293.33333333333491</v>
      </c>
      <c r="S150" s="62">
        <f ca="1">AVERAGE(OFFSET($R$3,0,0,'Données projet'!$E$9+1,1))-AVERAGE(OFFSET($H$3,0,0,'Données projet'!$E$9+1,1))</f>
        <v>242.7456246505439</v>
      </c>
      <c r="T150" s="62">
        <f t="shared" si="142"/>
        <v>195.88560859972426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-2.2737367544323206E-13</v>
      </c>
      <c r="AJ150" s="14">
        <f>AI150*VLOOKUP('Données projet'!$B$10,Paramètres!$A$1:$I$89,3,0)*VLOOKUP('Données projet'!$B$10,Paramètres!$A$1:$I$89,5,0)</f>
        <v>-1.064108801074326E-13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211.93796316015613</v>
      </c>
      <c r="AO150" s="62">
        <f t="shared" si="144"/>
        <v>165.73212396548013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2.9874112290498214E-17</v>
      </c>
      <c r="AX150" s="23">
        <f t="shared" si="114"/>
        <v>2.9874112290498214E-17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73.111999999999981</v>
      </c>
      <c r="D151" s="12">
        <f t="shared" si="140"/>
        <v>20.444309579101066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722.18905640007824</v>
      </c>
      <c r="H151" s="70">
        <f t="shared" si="110"/>
        <v>456.27723918360095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5.3205440053716299E-14</v>
      </c>
      <c r="P151" s="14">
        <f t="shared" si="141"/>
        <v>8.602146238565607E-13</v>
      </c>
      <c r="Q151" s="22">
        <f t="shared" si="108"/>
        <v>1.590873277977066E-12</v>
      </c>
      <c r="R151" s="62">
        <f t="shared" si="109"/>
        <v>293.33333333333491</v>
      </c>
      <c r="S151" s="62">
        <f ca="1">AVERAGE(OFFSET($R$3,0,0,'Données projet'!$E$9+1,1))-AVERAGE(OFFSET($H$3,0,0,'Données projet'!$E$9+1,1))</f>
        <v>242.7456246505439</v>
      </c>
      <c r="T151" s="62">
        <f t="shared" si="142"/>
        <v>195.88560859972426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-2.2737367544323206E-13</v>
      </c>
      <c r="AJ151" s="14">
        <f>AI151*VLOOKUP('Données projet'!$B$10,Paramètres!$A$1:$I$89,3,0)*VLOOKUP('Données projet'!$B$10,Paramètres!$A$1:$I$89,5,0)</f>
        <v>-1.064108801074326E-13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211.93796316015613</v>
      </c>
      <c r="AO151" s="62">
        <f t="shared" si="144"/>
        <v>165.73212396548013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2.1124187382539671E-17</v>
      </c>
      <c r="AX151" s="23">
        <f t="shared" si="114"/>
        <v>2.1124187382539671E-17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73.60599999999998</v>
      </c>
      <c r="D152" s="12">
        <f t="shared" si="140"/>
        <v>20.566319754530966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726.94422266655465</v>
      </c>
      <c r="H152" s="70">
        <f t="shared" si="110"/>
        <v>457.35012357247467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5.3205440053716299E-14</v>
      </c>
      <c r="P152" s="14">
        <f t="shared" si="141"/>
        <v>8.602146238565607E-13</v>
      </c>
      <c r="Q152" s="22">
        <f t="shared" si="108"/>
        <v>1.590873277977066E-12</v>
      </c>
      <c r="R152" s="62">
        <f t="shared" si="109"/>
        <v>293.33333333333491</v>
      </c>
      <c r="S152" s="62">
        <f ca="1">AVERAGE(OFFSET($R$3,0,0,'Données projet'!$E$9+1,1))-AVERAGE(OFFSET($H$3,0,0,'Données projet'!$E$9+1,1))</f>
        <v>242.7456246505439</v>
      </c>
      <c r="T152" s="62">
        <f t="shared" si="142"/>
        <v>195.88560859972426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-2.2737367544323206E-13</v>
      </c>
      <c r="AJ152" s="14">
        <f>AI152*VLOOKUP('Données projet'!$B$10,Paramètres!$A$1:$I$89,3,0)*VLOOKUP('Données projet'!$B$10,Paramètres!$A$1:$I$89,5,0)</f>
        <v>-1.064108801074326E-13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211.93796316015613</v>
      </c>
      <c r="AO152" s="62">
        <f t="shared" si="144"/>
        <v>165.73212396548013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1.4937056145249107E-17</v>
      </c>
      <c r="AX152" s="23">
        <f t="shared" si="114"/>
        <v>1.4937056145249107E-17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74.09999999999998</v>
      </c>
      <c r="D153" s="12">
        <f t="shared" si="140"/>
        <v>20.688234651093431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731.69865344703669</v>
      </c>
      <c r="H153" s="70">
        <f t="shared" si="110"/>
        <v>458.42284201732099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5.3205440053716299E-14</v>
      </c>
      <c r="P153" s="14">
        <f t="shared" si="141"/>
        <v>8.602146238565607E-13</v>
      </c>
      <c r="Q153" s="22">
        <f t="shared" si="108"/>
        <v>1.590873277977066E-12</v>
      </c>
      <c r="R153" s="62">
        <f t="shared" si="109"/>
        <v>293.33333333333491</v>
      </c>
      <c r="S153" s="62">
        <f ca="1">AVERAGE(OFFSET($R$3,0,0,'Données projet'!$E$9+1,1))-AVERAGE(OFFSET($H$3,0,0,'Données projet'!$E$9+1,1))</f>
        <v>242.7456246505439</v>
      </c>
      <c r="T153" s="62">
        <f t="shared" si="142"/>
        <v>195.88560859972426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-2.2737367544323206E-13</v>
      </c>
      <c r="AJ153" s="14">
        <f>AI153*VLOOKUP('Données projet'!$B$10,Paramètres!$A$1:$I$89,3,0)*VLOOKUP('Données projet'!$B$10,Paramètres!$A$1:$I$89,5,0)</f>
        <v>-1.064108801074326E-13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211.93796316015613</v>
      </c>
      <c r="AO153" s="62">
        <f t="shared" si="144"/>
        <v>165.73212396548013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1.0562093691269835E-17</v>
      </c>
      <c r="AX153" s="23">
        <f t="shared" si="114"/>
        <v>1.0562093691269835E-17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74.59399999999998</v>
      </c>
      <c r="D154" s="12">
        <f t="shared" si="140"/>
        <v>20.810054977652769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736.45235421345978</v>
      </c>
      <c r="H154" s="70">
        <f t="shared" si="110"/>
        <v>459.49539575274514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5.3205440053716299E-14</v>
      </c>
      <c r="P154" s="14">
        <f t="shared" si="141"/>
        <v>8.602146238565607E-13</v>
      </c>
      <c r="Q154" s="22">
        <f t="shared" ref="Q154:Q203" si="162">(O154+P154)*0.475*44/12</f>
        <v>1.590873277977066E-12</v>
      </c>
      <c r="R154" s="62">
        <f t="shared" si="109"/>
        <v>293.33333333333491</v>
      </c>
      <c r="S154" s="62">
        <f ca="1">AVERAGE(OFFSET($R$3,0,0,'Données projet'!$E$9+1,1))-AVERAGE(OFFSET($H$3,0,0,'Données projet'!$E$9+1,1))</f>
        <v>242.7456246505439</v>
      </c>
      <c r="T154" s="62">
        <f t="shared" si="142"/>
        <v>195.88560859972426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-2.2737367544323206E-13</v>
      </c>
      <c r="AJ154" s="14">
        <f>AI154*VLOOKUP('Données projet'!$B$10,Paramètres!$A$1:$I$89,3,0)*VLOOKUP('Données projet'!$B$10,Paramètres!$A$1:$I$89,5,0)</f>
        <v>-1.064108801074326E-13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211.93796316015613</v>
      </c>
      <c r="AO154" s="62">
        <f t="shared" si="144"/>
        <v>165.73212396548013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7.4685280726245535E-18</v>
      </c>
      <c r="AX154" s="23">
        <f t="shared" ref="AX154:AX203" si="166">SUM(AU154:AW154)</f>
        <v>7.4685280726245535E-18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75.08799999999998</v>
      </c>
      <c r="D155" s="12">
        <f t="shared" si="140"/>
        <v>20.931781433141548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741.20533036109248</v>
      </c>
      <c r="H155" s="70">
        <f t="shared" si="110"/>
        <v>460.56778599605479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5.3205440053716299E-14</v>
      </c>
      <c r="P155" s="14">
        <f t="shared" si="141"/>
        <v>8.602146238565607E-13</v>
      </c>
      <c r="Q155" s="22">
        <f t="shared" si="162"/>
        <v>1.590873277977066E-12</v>
      </c>
      <c r="R155" s="62">
        <f t="shared" si="109"/>
        <v>293.33333333333491</v>
      </c>
      <c r="S155" s="62">
        <f ca="1">AVERAGE(OFFSET($R$3,0,0,'Données projet'!$E$9+1,1))-AVERAGE(OFFSET($H$3,0,0,'Données projet'!$E$9+1,1))</f>
        <v>242.7456246505439</v>
      </c>
      <c r="T155" s="62">
        <f t="shared" si="142"/>
        <v>195.88560859972426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-2.2737367544323206E-13</v>
      </c>
      <c r="AJ155" s="14">
        <f>AI155*VLOOKUP('Données projet'!$B$10,Paramètres!$A$1:$I$89,3,0)*VLOOKUP('Données projet'!$B$10,Paramètres!$A$1:$I$89,5,0)</f>
        <v>-1.064108801074326E-13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211.93796316015613</v>
      </c>
      <c r="AO155" s="62">
        <f t="shared" si="144"/>
        <v>165.73212396548013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5.2810468456349177E-18</v>
      </c>
      <c r="AX155" s="23">
        <f t="shared" si="166"/>
        <v>5.2810468456349177E-18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75.581999999999979</v>
      </c>
      <c r="D156" s="12">
        <f t="shared" si="140"/>
        <v>21.053414706764119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745.95758721010895</v>
      </c>
      <c r="H156" s="70">
        <f t="shared" si="110"/>
        <v>461.64001394761408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5.3205440053716299E-14</v>
      </c>
      <c r="P156" s="14">
        <f t="shared" si="141"/>
        <v>8.602146238565607E-13</v>
      </c>
      <c r="Q156" s="22">
        <f t="shared" si="162"/>
        <v>1.590873277977066E-12</v>
      </c>
      <c r="R156" s="62">
        <f t="shared" si="109"/>
        <v>293.33333333333491</v>
      </c>
      <c r="S156" s="62">
        <f ca="1">AVERAGE(OFFSET($R$3,0,0,'Données projet'!$E$9+1,1))-AVERAGE(OFFSET($H$3,0,0,'Données projet'!$E$9+1,1))</f>
        <v>242.7456246505439</v>
      </c>
      <c r="T156" s="62">
        <f t="shared" si="142"/>
        <v>195.88560859972426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-2.2737367544323206E-13</v>
      </c>
      <c r="AJ156" s="14">
        <f>AI156*VLOOKUP('Données projet'!$B$10,Paramètres!$A$1:$I$89,3,0)*VLOOKUP('Données projet'!$B$10,Paramètres!$A$1:$I$89,5,0)</f>
        <v>-1.064108801074326E-13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211.93796316015613</v>
      </c>
      <c r="AO156" s="62">
        <f t="shared" si="144"/>
        <v>165.73212396548013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3.7342640363122767E-18</v>
      </c>
      <c r="AX156" s="23">
        <f t="shared" si="166"/>
        <v>3.7342640363122767E-18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76.075999999999979</v>
      </c>
      <c r="D157" s="12">
        <f t="shared" si="140"/>
        <v>21.174955478194743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750.70913000711732</v>
      </c>
      <c r="H157" s="70">
        <f t="shared" si="110"/>
        <v>462.71208079118912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5.3205440053716299E-14</v>
      </c>
      <c r="P157" s="14">
        <f t="shared" si="141"/>
        <v>8.602146238565607E-13</v>
      </c>
      <c r="Q157" s="22">
        <f t="shared" si="162"/>
        <v>1.590873277977066E-12</v>
      </c>
      <c r="R157" s="62">
        <f t="shared" si="109"/>
        <v>293.33333333333491</v>
      </c>
      <c r="S157" s="62">
        <f ca="1">AVERAGE(OFFSET($R$3,0,0,'Données projet'!$E$9+1,1))-AVERAGE(OFFSET($H$3,0,0,'Données projet'!$E$9+1,1))</f>
        <v>242.7456246505439</v>
      </c>
      <c r="T157" s="62">
        <f t="shared" si="142"/>
        <v>195.88560859972426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-2.2737367544323206E-13</v>
      </c>
      <c r="AJ157" s="14">
        <f>AI157*VLOOKUP('Données projet'!$B$10,Paramètres!$A$1:$I$89,3,0)*VLOOKUP('Données projet'!$B$10,Paramètres!$A$1:$I$89,5,0)</f>
        <v>-1.064108801074326E-13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211.93796316015613</v>
      </c>
      <c r="AO157" s="62">
        <f t="shared" si="144"/>
        <v>165.73212396548013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2.6405234228174589E-18</v>
      </c>
      <c r="AX157" s="23">
        <f t="shared" si="166"/>
        <v>2.6405234228174589E-18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76.569999999999979</v>
      </c>
      <c r="D158" s="12">
        <f t="shared" si="140"/>
        <v>21.296404417770301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755.4599639266479</v>
      </c>
      <c r="H158" s="70">
        <f t="shared" si="110"/>
        <v>463.78398769428327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5.3205440053716299E-14</v>
      </c>
      <c r="P158" s="14">
        <f t="shared" si="141"/>
        <v>8.602146238565607E-13</v>
      </c>
      <c r="Q158" s="22">
        <f t="shared" si="162"/>
        <v>1.590873277977066E-12</v>
      </c>
      <c r="R158" s="62">
        <f t="shared" si="109"/>
        <v>293.33333333333491</v>
      </c>
      <c r="S158" s="62">
        <f ca="1">AVERAGE(OFFSET($R$3,0,0,'Données projet'!$E$9+1,1))-AVERAGE(OFFSET($H$3,0,0,'Données projet'!$E$9+1,1))</f>
        <v>242.7456246505439</v>
      </c>
      <c r="T158" s="62">
        <f t="shared" si="142"/>
        <v>195.88560859972426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-2.2737367544323206E-13</v>
      </c>
      <c r="AJ158" s="14">
        <f>AI158*VLOOKUP('Données projet'!$B$10,Paramètres!$A$1:$I$89,3,0)*VLOOKUP('Données projet'!$B$10,Paramètres!$A$1:$I$89,5,0)</f>
        <v>-1.064108801074326E-13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211.93796316015613</v>
      </c>
      <c r="AO158" s="62">
        <f t="shared" si="144"/>
        <v>165.73212396548013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1.8671320181561384E-18</v>
      </c>
      <c r="AX158" s="23">
        <f t="shared" si="166"/>
        <v>1.8671320181561384E-18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77.063999999999979</v>
      </c>
      <c r="D159" s="12">
        <f t="shared" si="140"/>
        <v>21.417762186678065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760.21009407260237</v>
      </c>
      <c r="H159" s="70">
        <f t="shared" si="110"/>
        <v>464.85573580846426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5.3205440053716299E-14</v>
      </c>
      <c r="P159" s="14">
        <f t="shared" si="141"/>
        <v>8.602146238565607E-13</v>
      </c>
      <c r="Q159" s="22">
        <f t="shared" si="162"/>
        <v>1.590873277977066E-12</v>
      </c>
      <c r="R159" s="62">
        <f t="shared" si="109"/>
        <v>293.33333333333491</v>
      </c>
      <c r="S159" s="62">
        <f ca="1">AVERAGE(OFFSET($R$3,0,0,'Données projet'!$E$9+1,1))-AVERAGE(OFFSET($H$3,0,0,'Données projet'!$E$9+1,1))</f>
        <v>242.7456246505439</v>
      </c>
      <c r="T159" s="62">
        <f t="shared" si="142"/>
        <v>195.88560859972426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-2.2737367544323206E-13</v>
      </c>
      <c r="AJ159" s="14">
        <f>AI159*VLOOKUP('Données projet'!$B$10,Paramètres!$A$1:$I$89,3,0)*VLOOKUP('Données projet'!$B$10,Paramètres!$A$1:$I$89,5,0)</f>
        <v>-1.064108801074326E-13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211.93796316015613</v>
      </c>
      <c r="AO159" s="62">
        <f t="shared" si="144"/>
        <v>165.73212396548013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1.3202617114087294E-18</v>
      </c>
      <c r="AX159" s="23">
        <f t="shared" si="166"/>
        <v>1.3202617114087294E-18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77.557999999999979</v>
      </c>
      <c r="D160" s="12">
        <f t="shared" si="140"/>
        <v>21.539029437138336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764.95952547966419</v>
      </c>
      <c r="H160" s="70">
        <f t="shared" si="110"/>
        <v>465.92732626968257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5.3205440053716299E-14</v>
      </c>
      <c r="P160" s="14">
        <f t="shared" si="141"/>
        <v>8.602146238565607E-13</v>
      </c>
      <c r="Q160" s="22">
        <f t="shared" si="162"/>
        <v>1.590873277977066E-12</v>
      </c>
      <c r="R160" s="62">
        <f t="shared" si="109"/>
        <v>293.33333333333491</v>
      </c>
      <c r="S160" s="62">
        <f ca="1">AVERAGE(OFFSET($R$3,0,0,'Données projet'!$E$9+1,1))-AVERAGE(OFFSET($H$3,0,0,'Données projet'!$E$9+1,1))</f>
        <v>242.7456246505439</v>
      </c>
      <c r="T160" s="62">
        <f t="shared" si="142"/>
        <v>195.88560859972426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-2.2737367544323206E-13</v>
      </c>
      <c r="AJ160" s="14">
        <f>AI160*VLOOKUP('Données projet'!$B$10,Paramètres!$A$1:$I$89,3,0)*VLOOKUP('Données projet'!$B$10,Paramètres!$A$1:$I$89,5,0)</f>
        <v>-1.064108801074326E-13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211.93796316015613</v>
      </c>
      <c r="AO160" s="62">
        <f t="shared" si="144"/>
        <v>165.73212396548013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9.3356600907806918E-19</v>
      </c>
      <c r="AX160" s="23">
        <f t="shared" si="166"/>
        <v>9.3356600907806918E-19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78.051999999999978</v>
      </c>
      <c r="D161" s="12">
        <f t="shared" si="140"/>
        <v>21.660206812582402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769.70826311467101</v>
      </c>
      <c r="H161" s="70">
        <f t="shared" si="110"/>
        <v>466.99876019858095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5.3205440053716299E-14</v>
      </c>
      <c r="P161" s="14">
        <f t="shared" si="141"/>
        <v>8.602146238565607E-13</v>
      </c>
      <c r="Q161" s="22">
        <f t="shared" si="162"/>
        <v>1.590873277977066E-12</v>
      </c>
      <c r="R161" s="62">
        <f t="shared" si="109"/>
        <v>293.33333333333491</v>
      </c>
      <c r="S161" s="62">
        <f ca="1">AVERAGE(OFFSET($R$3,0,0,'Données projet'!$E$9+1,1))-AVERAGE(OFFSET($H$3,0,0,'Données projet'!$E$9+1,1))</f>
        <v>242.7456246505439</v>
      </c>
      <c r="T161" s="62">
        <f t="shared" si="142"/>
        <v>195.88560859972426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-2.2737367544323206E-13</v>
      </c>
      <c r="AJ161" s="14">
        <f>AI161*VLOOKUP('Données projet'!$B$10,Paramètres!$A$1:$I$89,3,0)*VLOOKUP('Données projet'!$B$10,Paramètres!$A$1:$I$89,5,0)</f>
        <v>-1.064108801074326E-13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211.93796316015613</v>
      </c>
      <c r="AO161" s="62">
        <f t="shared" si="144"/>
        <v>165.73212396548013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6.6013085570436471E-19</v>
      </c>
      <c r="AX161" s="23">
        <f t="shared" si="166"/>
        <v>6.6013085570436471E-19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78.545999999999978</v>
      </c>
      <c r="D162" s="12">
        <f t="shared" si="140"/>
        <v>21.781294947825838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774.45631187795368</v>
      </c>
      <c r="H162" s="70">
        <f t="shared" si="110"/>
        <v>468.0700387007966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5.3205440053716299E-14</v>
      </c>
      <c r="P162" s="14">
        <f t="shared" si="141"/>
        <v>8.602146238565607E-13</v>
      </c>
      <c r="Q162" s="22">
        <f t="shared" si="162"/>
        <v>1.590873277977066E-12</v>
      </c>
      <c r="R162" s="62">
        <f t="shared" si="109"/>
        <v>293.33333333333491</v>
      </c>
      <c r="S162" s="62">
        <f ca="1">AVERAGE(OFFSET($R$3,0,0,'Données projet'!$E$9+1,1))-AVERAGE(OFFSET($H$3,0,0,'Données projet'!$E$9+1,1))</f>
        <v>242.7456246505439</v>
      </c>
      <c r="T162" s="62">
        <f t="shared" si="142"/>
        <v>195.88560859972426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-2.2737367544323206E-13</v>
      </c>
      <c r="AJ162" s="14">
        <f>AI162*VLOOKUP('Données projet'!$B$10,Paramètres!$A$1:$I$89,3,0)*VLOOKUP('Données projet'!$B$10,Paramètres!$A$1:$I$89,5,0)</f>
        <v>-1.064108801074326E-13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211.93796316015613</v>
      </c>
      <c r="AO162" s="62">
        <f t="shared" si="144"/>
        <v>165.73212396548013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4.6678300453903459E-19</v>
      </c>
      <c r="AX162" s="23">
        <f t="shared" si="166"/>
        <v>4.6678300453903459E-19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79.039999999999978</v>
      </c>
      <c r="D163" s="12">
        <f t="shared" si="140"/>
        <v>21.902294469237312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779.20367660463887</v>
      </c>
      <c r="H163" s="70">
        <f t="shared" si="110"/>
        <v>469.14116286725493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5.3205440053716299E-14</v>
      </c>
      <c r="P163" s="14">
        <f t="shared" si="141"/>
        <v>8.602146238565607E-13</v>
      </c>
      <c r="Q163" s="22">
        <f t="shared" si="162"/>
        <v>1.590873277977066E-12</v>
      </c>
      <c r="R163" s="62">
        <f t="shared" si="109"/>
        <v>293.33333333333491</v>
      </c>
      <c r="S163" s="62">
        <f ca="1">AVERAGE(OFFSET($R$3,0,0,'Données projet'!$E$9+1,1))-AVERAGE(OFFSET($H$3,0,0,'Données projet'!$E$9+1,1))</f>
        <v>242.7456246505439</v>
      </c>
      <c r="T163" s="62">
        <f t="shared" si="142"/>
        <v>195.88560859972426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-2.2737367544323206E-13</v>
      </c>
      <c r="AJ163" s="14">
        <f>AI163*VLOOKUP('Données projet'!$B$10,Paramètres!$A$1:$I$89,3,0)*VLOOKUP('Données projet'!$B$10,Paramètres!$A$1:$I$89,5,0)</f>
        <v>-1.064108801074326E-13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211.93796316015613</v>
      </c>
      <c r="AO163" s="62">
        <f t="shared" si="144"/>
        <v>165.73212396548013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3.3006542785218236E-19</v>
      </c>
      <c r="AX163" s="23">
        <f t="shared" si="166"/>
        <v>3.3006542785218236E-19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79.533999999999978</v>
      </c>
      <c r="D164" s="12">
        <f t="shared" si="140"/>
        <v>22.023205994903069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783.95036206591828</v>
      </c>
      <c r="H164" s="70">
        <f t="shared" si="110"/>
        <v>470.21213377445611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5.3205440053716299E-14</v>
      </c>
      <c r="P164" s="14">
        <f t="shared" si="141"/>
        <v>8.602146238565607E-13</v>
      </c>
      <c r="Q164" s="22">
        <f t="shared" si="162"/>
        <v>1.590873277977066E-12</v>
      </c>
      <c r="R164" s="62">
        <f t="shared" si="109"/>
        <v>293.33333333333491</v>
      </c>
      <c r="S164" s="62">
        <f ca="1">AVERAGE(OFFSET($R$3,0,0,'Données projet'!$E$9+1,1))-AVERAGE(OFFSET($H$3,0,0,'Données projet'!$E$9+1,1))</f>
        <v>242.7456246505439</v>
      </c>
      <c r="T164" s="62">
        <f t="shared" si="142"/>
        <v>195.88560859972426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-2.2737367544323206E-13</v>
      </c>
      <c r="AJ164" s="14">
        <f>AI164*VLOOKUP('Données projet'!$B$10,Paramètres!$A$1:$I$89,3,0)*VLOOKUP('Données projet'!$B$10,Paramètres!$A$1:$I$89,5,0)</f>
        <v>-1.064108801074326E-13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211.93796316015613</v>
      </c>
      <c r="AO164" s="62">
        <f t="shared" si="144"/>
        <v>165.73212396548013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2.333915022695173E-19</v>
      </c>
      <c r="AX164" s="23">
        <f t="shared" si="166"/>
        <v>2.333915022695173E-19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80.027999999999977</v>
      </c>
      <c r="D165" s="12">
        <f t="shared" si="140"/>
        <v>22.144030134787155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788.69637297028669</v>
      </c>
      <c r="H165" s="70">
        <f t="shared" si="110"/>
        <v>471.28295248475422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5.3205440053716299E-14</v>
      </c>
      <c r="P165" s="14">
        <f t="shared" si="141"/>
        <v>8.602146238565607E-13</v>
      </c>
      <c r="Q165" s="22">
        <f t="shared" si="162"/>
        <v>1.590873277977066E-12</v>
      </c>
      <c r="R165" s="62">
        <f t="shared" si="109"/>
        <v>293.33333333333491</v>
      </c>
      <c r="S165" s="62">
        <f ca="1">AVERAGE(OFFSET($R$3,0,0,'Données projet'!$E$9+1,1))-AVERAGE(OFFSET($H$3,0,0,'Données projet'!$E$9+1,1))</f>
        <v>242.7456246505439</v>
      </c>
      <c r="T165" s="62">
        <f t="shared" si="142"/>
        <v>195.88560859972426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-2.2737367544323206E-13</v>
      </c>
      <c r="AJ165" s="14">
        <f>AI165*VLOOKUP('Données projet'!$B$10,Paramètres!$A$1:$I$89,3,0)*VLOOKUP('Données projet'!$B$10,Paramètres!$A$1:$I$89,5,0)</f>
        <v>-1.064108801074326E-13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211.93796316015613</v>
      </c>
      <c r="AO165" s="62">
        <f t="shared" si="144"/>
        <v>165.73212396548013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1.6503271392609118E-19</v>
      </c>
      <c r="AX165" s="23">
        <f t="shared" si="166"/>
        <v>1.6503271392609118E-19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80.521999999999977</v>
      </c>
      <c r="D166" s="12">
        <f t="shared" si="140"/>
        <v>22.264767490887625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793.44171396474633</v>
      </c>
      <c r="H166" s="70">
        <f t="shared" si="110"/>
        <v>472.3536200466292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5.3205440053716299E-14</v>
      </c>
      <c r="P166" s="14">
        <f t="shared" si="141"/>
        <v>8.602146238565607E-13</v>
      </c>
      <c r="Q166" s="22">
        <f t="shared" si="162"/>
        <v>1.590873277977066E-12</v>
      </c>
      <c r="R166" s="62">
        <f t="shared" si="109"/>
        <v>293.33333333333491</v>
      </c>
      <c r="S166" s="62">
        <f ca="1">AVERAGE(OFFSET($R$3,0,0,'Données projet'!$E$9+1,1))-AVERAGE(OFFSET($H$3,0,0,'Données projet'!$E$9+1,1))</f>
        <v>242.7456246505439</v>
      </c>
      <c r="T166" s="62">
        <f t="shared" si="142"/>
        <v>195.88560859972426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-2.2737367544323206E-13</v>
      </c>
      <c r="AJ166" s="14">
        <f>AI166*VLOOKUP('Données projet'!$B$10,Paramètres!$A$1:$I$89,3,0)*VLOOKUP('Données projet'!$B$10,Paramètres!$A$1:$I$89,5,0)</f>
        <v>-1.064108801074326E-13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211.93796316015613</v>
      </c>
      <c r="AO166" s="62">
        <f t="shared" si="144"/>
        <v>165.73212396548013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1.1669575113475865E-19</v>
      </c>
      <c r="AX166" s="23">
        <f t="shared" si="166"/>
        <v>1.1669575113475865E-19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81.015999999999977</v>
      </c>
      <c r="D167" s="12">
        <f t="shared" si="140"/>
        <v>22.385418657388872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798.18638963598414</v>
      </c>
      <c r="H167" s="70">
        <f t="shared" si="110"/>
        <v>473.42413749495222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5.3205440053716299E-14</v>
      </c>
      <c r="P167" s="14">
        <f t="shared" si="141"/>
        <v>8.602146238565607E-13</v>
      </c>
      <c r="Q167" s="22">
        <f t="shared" si="162"/>
        <v>1.590873277977066E-12</v>
      </c>
      <c r="R167" s="62">
        <f t="shared" si="109"/>
        <v>293.33333333333491</v>
      </c>
      <c r="S167" s="62">
        <f ca="1">AVERAGE(OFFSET($R$3,0,0,'Données projet'!$E$9+1,1))-AVERAGE(OFFSET($H$3,0,0,'Données projet'!$E$9+1,1))</f>
        <v>242.7456246505439</v>
      </c>
      <c r="T167" s="62">
        <f t="shared" si="142"/>
        <v>195.88560859972426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-2.2737367544323206E-13</v>
      </c>
      <c r="AJ167" s="14">
        <f>AI167*VLOOKUP('Données projet'!$B$10,Paramètres!$A$1:$I$89,3,0)*VLOOKUP('Données projet'!$B$10,Paramètres!$A$1:$I$89,5,0)</f>
        <v>-1.064108801074326E-13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211.93796316015613</v>
      </c>
      <c r="AO167" s="62">
        <f t="shared" si="144"/>
        <v>165.73212396548013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8.2516356963045589E-20</v>
      </c>
      <c r="AX167" s="23">
        <f t="shared" si="166"/>
        <v>8.2516356963045589E-20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81.509999999999977</v>
      </c>
      <c r="D168" s="12">
        <f t="shared" si="140"/>
        <v>22.505984220809903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802.93040451151501</v>
      </c>
      <c r="H168" s="70">
        <f t="shared" si="110"/>
        <v>474.49450585124384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5.3205440053716299E-14</v>
      </c>
      <c r="P168" s="14">
        <f t="shared" si="141"/>
        <v>8.602146238565607E-13</v>
      </c>
      <c r="Q168" s="22">
        <f t="shared" si="162"/>
        <v>1.590873277977066E-12</v>
      </c>
      <c r="R168" s="62">
        <f t="shared" si="109"/>
        <v>293.33333333333491</v>
      </c>
      <c r="S168" s="62">
        <f ca="1">AVERAGE(OFFSET($R$3,0,0,'Données projet'!$E$9+1,1))-AVERAGE(OFFSET($H$3,0,0,'Données projet'!$E$9+1,1))</f>
        <v>242.7456246505439</v>
      </c>
      <c r="T168" s="62">
        <f t="shared" si="142"/>
        <v>195.88560859972426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-2.2737367544323206E-13</v>
      </c>
      <c r="AJ168" s="14">
        <f>AI168*VLOOKUP('Données projet'!$B$10,Paramètres!$A$1:$I$89,3,0)*VLOOKUP('Données projet'!$B$10,Paramètres!$A$1:$I$89,5,0)</f>
        <v>-1.064108801074326E-13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211.93796316015613</v>
      </c>
      <c r="AO168" s="62">
        <f t="shared" si="144"/>
        <v>165.73212396548013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5.8347875567379324E-20</v>
      </c>
      <c r="AX168" s="23">
        <f t="shared" si="166"/>
        <v>5.8347875567379324E-20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82.003999999999976</v>
      </c>
      <c r="D169" s="12">
        <f t="shared" si="140"/>
        <v>22.626464760149261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807.67376306080121</v>
      </c>
      <c r="H169" s="70">
        <f t="shared" si="110"/>
        <v>475.56472612392656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5.3205440053716299E-14</v>
      </c>
      <c r="P169" s="14">
        <f t="shared" si="141"/>
        <v>8.602146238565607E-13</v>
      </c>
      <c r="Q169" s="22">
        <f t="shared" si="162"/>
        <v>1.590873277977066E-12</v>
      </c>
      <c r="R169" s="62">
        <f t="shared" si="109"/>
        <v>293.33333333333491</v>
      </c>
      <c r="S169" s="62">
        <f ca="1">AVERAGE(OFFSET($R$3,0,0,'Données projet'!$E$9+1,1))-AVERAGE(OFFSET($H$3,0,0,'Données projet'!$E$9+1,1))</f>
        <v>242.7456246505439</v>
      </c>
      <c r="T169" s="62">
        <f t="shared" si="142"/>
        <v>195.88560859972426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-2.2737367544323206E-13</v>
      </c>
      <c r="AJ169" s="14">
        <f>AI169*VLOOKUP('Données projet'!$B$10,Paramètres!$A$1:$I$89,3,0)*VLOOKUP('Données projet'!$B$10,Paramètres!$A$1:$I$89,5,0)</f>
        <v>-1.064108801074326E-13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211.93796316015613</v>
      </c>
      <c r="AO169" s="62">
        <f t="shared" si="144"/>
        <v>165.73212396548013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4.1258178481522795E-20</v>
      </c>
      <c r="AX169" s="23">
        <f t="shared" si="166"/>
        <v>4.1258178481522795E-20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82.497999999999976</v>
      </c>
      <c r="D170" s="12">
        <f t="shared" si="140"/>
        <v>22.746860847025957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812.41646969634064</v>
      </c>
      <c r="H170" s="70">
        <f t="shared" si="110"/>
        <v>476.63479930857011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5.3205440053716299E-14</v>
      </c>
      <c r="P170" s="14">
        <f t="shared" si="141"/>
        <v>8.602146238565607E-13</v>
      </c>
      <c r="Q170" s="22">
        <f t="shared" si="162"/>
        <v>1.590873277977066E-12</v>
      </c>
      <c r="R170" s="62">
        <f t="shared" si="109"/>
        <v>293.33333333333491</v>
      </c>
      <c r="S170" s="62">
        <f ca="1">AVERAGE(OFFSET($R$3,0,0,'Données projet'!$E$9+1,1))-AVERAGE(OFFSET($H$3,0,0,'Données projet'!$E$9+1,1))</f>
        <v>242.7456246505439</v>
      </c>
      <c r="T170" s="62">
        <f t="shared" si="142"/>
        <v>195.88560859972426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-2.2737367544323206E-13</v>
      </c>
      <c r="AJ170" s="14">
        <f>AI170*VLOOKUP('Données projet'!$B$10,Paramètres!$A$1:$I$89,3,0)*VLOOKUP('Données projet'!$B$10,Paramètres!$A$1:$I$89,5,0)</f>
        <v>-1.064108801074326E-13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211.93796316015613</v>
      </c>
      <c r="AO170" s="62">
        <f t="shared" si="144"/>
        <v>165.73212396548013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2.9173937783689662E-20</v>
      </c>
      <c r="AX170" s="23">
        <f t="shared" si="166"/>
        <v>2.9173937783689662E-20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82.991999999999976</v>
      </c>
      <c r="D171" s="12">
        <f t="shared" si="140"/>
        <v>22.867173045817303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817.1585287747298</v>
      </c>
      <c r="H171" s="70">
        <f t="shared" si="110"/>
        <v>477.70472638813175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5.3205440053716299E-14</v>
      </c>
      <c r="P171" s="14">
        <f t="shared" si="141"/>
        <v>8.602146238565607E-13</v>
      </c>
      <c r="Q171" s="22">
        <f t="shared" si="162"/>
        <v>1.590873277977066E-12</v>
      </c>
      <c r="R171" s="62">
        <f t="shared" si="109"/>
        <v>293.33333333333491</v>
      </c>
      <c r="S171" s="62">
        <f ca="1">AVERAGE(OFFSET($R$3,0,0,'Données projet'!$E$9+1,1))-AVERAGE(OFFSET($H$3,0,0,'Données projet'!$E$9+1,1))</f>
        <v>242.7456246505439</v>
      </c>
      <c r="T171" s="62">
        <f t="shared" si="142"/>
        <v>195.88560859972426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-2.2737367544323206E-13</v>
      </c>
      <c r="AJ171" s="14">
        <f>AI171*VLOOKUP('Données projet'!$B$10,Paramètres!$A$1:$I$89,3,0)*VLOOKUP('Données projet'!$B$10,Paramètres!$A$1:$I$89,5,0)</f>
        <v>-1.064108801074326E-13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211.93796316015613</v>
      </c>
      <c r="AO171" s="62">
        <f t="shared" si="144"/>
        <v>165.73212396548013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2.0629089240761397E-20</v>
      </c>
      <c r="AX171" s="23">
        <f t="shared" si="166"/>
        <v>2.0629089240761397E-20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83.485999999999976</v>
      </c>
      <c r="D172" s="12">
        <f t="shared" si="140"/>
        <v>22.987401913793153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821.89994459770139</v>
      </c>
      <c r="H172" s="70">
        <f t="shared" si="110"/>
        <v>478.77450833318966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5.3205440053716299E-14</v>
      </c>
      <c r="P172" s="14">
        <f t="shared" si="141"/>
        <v>8.602146238565607E-13</v>
      </c>
      <c r="Q172" s="22">
        <f t="shared" si="162"/>
        <v>1.590873277977066E-12</v>
      </c>
      <c r="R172" s="62">
        <f t="shared" si="109"/>
        <v>293.33333333333491</v>
      </c>
      <c r="S172" s="62">
        <f ca="1">AVERAGE(OFFSET($R$3,0,0,'Données projet'!$E$9+1,1))-AVERAGE(OFFSET($H$3,0,0,'Données projet'!$E$9+1,1))</f>
        <v>242.7456246505439</v>
      </c>
      <c r="T172" s="62">
        <f t="shared" si="142"/>
        <v>195.88560859972426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-2.2737367544323206E-13</v>
      </c>
      <c r="AJ172" s="14">
        <f>AI172*VLOOKUP('Données projet'!$B$10,Paramètres!$A$1:$I$89,3,0)*VLOOKUP('Données projet'!$B$10,Paramètres!$A$1:$I$89,5,0)</f>
        <v>-1.064108801074326E-13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211.93796316015613</v>
      </c>
      <c r="AO172" s="62">
        <f t="shared" si="144"/>
        <v>165.73212396548013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1.4586968891844831E-20</v>
      </c>
      <c r="AX172" s="23">
        <f t="shared" si="166"/>
        <v>1.4586968891844831E-20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83.979999999999976</v>
      </c>
      <c r="D173" s="12">
        <f t="shared" si="140"/>
        <v>23.10754800124684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826.64072141313329</v>
      </c>
      <c r="H173" s="70">
        <f t="shared" si="110"/>
        <v>479.84414610217152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5.3205440053716299E-14</v>
      </c>
      <c r="P173" s="14">
        <f t="shared" si="141"/>
        <v>8.602146238565607E-13</v>
      </c>
      <c r="Q173" s="22">
        <f t="shared" si="162"/>
        <v>1.590873277977066E-12</v>
      </c>
      <c r="R173" s="62">
        <f t="shared" si="109"/>
        <v>293.33333333333491</v>
      </c>
      <c r="S173" s="62">
        <f ca="1">AVERAGE(OFFSET($R$3,0,0,'Données projet'!$E$9+1,1))-AVERAGE(OFFSET($H$3,0,0,'Données projet'!$E$9+1,1))</f>
        <v>242.7456246505439</v>
      </c>
      <c r="T173" s="62">
        <f t="shared" si="142"/>
        <v>195.88560859972426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-2.2737367544323206E-13</v>
      </c>
      <c r="AJ173" s="14">
        <f>AI173*VLOOKUP('Données projet'!$B$10,Paramètres!$A$1:$I$89,3,0)*VLOOKUP('Données projet'!$B$10,Paramètres!$A$1:$I$89,5,0)</f>
        <v>-1.064108801074326E-13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211.93796316015613</v>
      </c>
      <c r="AO173" s="62">
        <f t="shared" si="144"/>
        <v>165.73212396548013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1.0314544620380699E-20</v>
      </c>
      <c r="AX173" s="23">
        <f t="shared" si="166"/>
        <v>1.0314544620380699E-20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84.473999999999975</v>
      </c>
      <c r="D174" s="12">
        <f t="shared" si="140"/>
        <v>23.22761185162317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831.38086341603832</v>
      </c>
      <c r="H174" s="70">
        <f t="shared" si="110"/>
        <v>480.91364064157693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5.3205440053716299E-14</v>
      </c>
      <c r="P174" s="14">
        <f t="shared" si="141"/>
        <v>8.602146238565607E-13</v>
      </c>
      <c r="Q174" s="22">
        <f t="shared" si="162"/>
        <v>1.590873277977066E-12</v>
      </c>
      <c r="R174" s="62">
        <f t="shared" si="109"/>
        <v>293.33333333333491</v>
      </c>
      <c r="S174" s="62">
        <f ca="1">AVERAGE(OFFSET($R$3,0,0,'Données projet'!$E$9+1,1))-AVERAGE(OFFSET($H$3,0,0,'Données projet'!$E$9+1,1))</f>
        <v>242.7456246505439</v>
      </c>
      <c r="T174" s="62">
        <f t="shared" si="142"/>
        <v>195.88560859972426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-2.2737367544323206E-13</v>
      </c>
      <c r="AJ174" s="14">
        <f>AI174*VLOOKUP('Données projet'!$B$10,Paramètres!$A$1:$I$89,3,0)*VLOOKUP('Données projet'!$B$10,Paramètres!$A$1:$I$89,5,0)</f>
        <v>-1.064108801074326E-13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211.93796316015613</v>
      </c>
      <c r="AO174" s="62">
        <f t="shared" si="144"/>
        <v>165.73212396548013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7.2934844459224155E-21</v>
      </c>
      <c r="AX174" s="23">
        <f t="shared" si="166"/>
        <v>7.2934844459224155E-21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84.967999999999975</v>
      </c>
      <c r="D175" s="12">
        <f t="shared" si="140"/>
        <v>23.347594001643046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836.12037474952513</v>
      </c>
      <c r="H175" s="70">
        <f t="shared" si="110"/>
        <v>481.98299288619489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5.3205440053716299E-14</v>
      </c>
      <c r="P175" s="14">
        <f t="shared" si="141"/>
        <v>8.602146238565607E-13</v>
      </c>
      <c r="Q175" s="22">
        <f t="shared" si="162"/>
        <v>1.590873277977066E-12</v>
      </c>
      <c r="R175" s="62">
        <f t="shared" si="109"/>
        <v>293.33333333333491</v>
      </c>
      <c r="S175" s="62">
        <f ca="1">AVERAGE(OFFSET($R$3,0,0,'Données projet'!$E$9+1,1))-AVERAGE(OFFSET($H$3,0,0,'Données projet'!$E$9+1,1))</f>
        <v>242.7456246505439</v>
      </c>
      <c r="T175" s="62">
        <f t="shared" si="142"/>
        <v>195.88560859972426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-2.2737367544323206E-13</v>
      </c>
      <c r="AJ175" s="14">
        <f>AI175*VLOOKUP('Données projet'!$B$10,Paramètres!$A$1:$I$89,3,0)*VLOOKUP('Données projet'!$B$10,Paramètres!$A$1:$I$89,5,0)</f>
        <v>-1.064108801074326E-13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211.93796316015613</v>
      </c>
      <c r="AO175" s="62">
        <f t="shared" si="144"/>
        <v>165.73212396548013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5.1572723101903493E-21</v>
      </c>
      <c r="AX175" s="23">
        <f t="shared" si="166"/>
        <v>5.1572723101903493E-21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85.461999999999975</v>
      </c>
      <c r="D176" s="12">
        <f t="shared" si="140"/>
        <v>23.467494981425435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840.85925950573994</v>
      </c>
      <c r="H176" s="70">
        <f t="shared" si="110"/>
        <v>483.05220375931589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5.3205440053716299E-14</v>
      </c>
      <c r="P176" s="14">
        <f t="shared" si="141"/>
        <v>8.602146238565607E-13</v>
      </c>
      <c r="Q176" s="22">
        <f t="shared" si="162"/>
        <v>1.590873277977066E-12</v>
      </c>
      <c r="R176" s="62">
        <f t="shared" si="109"/>
        <v>293.33333333333491</v>
      </c>
      <c r="S176" s="62">
        <f ca="1">AVERAGE(OFFSET($R$3,0,0,'Données projet'!$E$9+1,1))-AVERAGE(OFFSET($H$3,0,0,'Données projet'!$E$9+1,1))</f>
        <v>242.7456246505439</v>
      </c>
      <c r="T176" s="62">
        <f t="shared" si="142"/>
        <v>195.88560859972426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-2.2737367544323206E-13</v>
      </c>
      <c r="AJ176" s="14">
        <f>AI176*VLOOKUP('Données projet'!$B$10,Paramètres!$A$1:$I$89,3,0)*VLOOKUP('Données projet'!$B$10,Paramètres!$A$1:$I$89,5,0)</f>
        <v>-1.064108801074326E-13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211.93796316015613</v>
      </c>
      <c r="AO176" s="62">
        <f t="shared" si="144"/>
        <v>165.73212396548013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3.6467422229612078E-21</v>
      </c>
      <c r="AX176" s="23">
        <f t="shared" si="166"/>
        <v>3.6467422229612078E-21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85.955999999999975</v>
      </c>
      <c r="D177" s="12">
        <f t="shared" si="140"/>
        <v>23.587315314606048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845.59752172678338</v>
      </c>
      <c r="H177" s="70">
        <f t="shared" si="110"/>
        <v>484.1212741729388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5.3205440053716299E-14</v>
      </c>
      <c r="P177" s="14">
        <f t="shared" si="141"/>
        <v>8.602146238565607E-13</v>
      </c>
      <c r="Q177" s="22">
        <f t="shared" si="162"/>
        <v>1.590873277977066E-12</v>
      </c>
      <c r="R177" s="62">
        <f t="shared" si="109"/>
        <v>293.33333333333491</v>
      </c>
      <c r="S177" s="62">
        <f ca="1">AVERAGE(OFFSET($R$3,0,0,'Données projet'!$E$9+1,1))-AVERAGE(OFFSET($H$3,0,0,'Données projet'!$E$9+1,1))</f>
        <v>242.7456246505439</v>
      </c>
      <c r="T177" s="62">
        <f t="shared" si="142"/>
        <v>195.88560859972426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-2.2737367544323206E-13</v>
      </c>
      <c r="AJ177" s="14">
        <f>AI177*VLOOKUP('Données projet'!$B$10,Paramètres!$A$1:$I$89,3,0)*VLOOKUP('Données projet'!$B$10,Paramètres!$A$1:$I$89,5,0)</f>
        <v>-1.064108801074326E-13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211.93796316015613</v>
      </c>
      <c r="AO177" s="62">
        <f t="shared" si="144"/>
        <v>165.73212396548013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2.5786361550951747E-21</v>
      </c>
      <c r="AX177" s="23">
        <f t="shared" si="166"/>
        <v>2.5786361550951747E-21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86.449999999999974</v>
      </c>
      <c r="D178" s="12">
        <f t="shared" si="140"/>
        <v>23.707055518453593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850.33516540560652</v>
      </c>
      <c r="H178" s="70">
        <f t="shared" si="110"/>
        <v>485.19020502797326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5.3205440053716299E-14</v>
      </c>
      <c r="P178" s="14">
        <f t="shared" si="141"/>
        <v>8.602146238565607E-13</v>
      </c>
      <c r="Q178" s="22">
        <f t="shared" si="162"/>
        <v>1.590873277977066E-12</v>
      </c>
      <c r="R178" s="62">
        <f t="shared" si="109"/>
        <v>293.33333333333491</v>
      </c>
      <c r="S178" s="62">
        <f ca="1">AVERAGE(OFFSET($R$3,0,0,'Données projet'!$E$9+1,1))-AVERAGE(OFFSET($H$3,0,0,'Données projet'!$E$9+1,1))</f>
        <v>242.7456246505439</v>
      </c>
      <c r="T178" s="62">
        <f t="shared" si="142"/>
        <v>195.88560859972426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-2.2737367544323206E-13</v>
      </c>
      <c r="AJ178" s="14">
        <f>AI178*VLOOKUP('Données projet'!$B$10,Paramètres!$A$1:$I$89,3,0)*VLOOKUP('Données projet'!$B$10,Paramètres!$A$1:$I$89,5,0)</f>
        <v>-1.064108801074326E-13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211.93796316015613</v>
      </c>
      <c r="AO178" s="62">
        <f t="shared" si="144"/>
        <v>165.73212396548013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1.8233711114806039E-21</v>
      </c>
      <c r="AX178" s="23">
        <f t="shared" si="166"/>
        <v>1.8233711114806039E-21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86.943999999999974</v>
      </c>
      <c r="D179" s="12">
        <f t="shared" si="140"/>
        <v>23.82671610398301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855.07219448688613</v>
      </c>
      <c r="H179" s="70">
        <f t="shared" si="110"/>
        <v>486.25899721443699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5.3205440053716299E-14</v>
      </c>
      <c r="P179" s="14">
        <f t="shared" si="141"/>
        <v>8.602146238565607E-13</v>
      </c>
      <c r="Q179" s="22">
        <f t="shared" si="162"/>
        <v>1.590873277977066E-12</v>
      </c>
      <c r="R179" s="62">
        <f t="shared" si="109"/>
        <v>293.33333333333491</v>
      </c>
      <c r="S179" s="62">
        <f ca="1">AVERAGE(OFFSET($R$3,0,0,'Données projet'!$E$9+1,1))-AVERAGE(OFFSET($H$3,0,0,'Données projet'!$E$9+1,1))</f>
        <v>242.7456246505439</v>
      </c>
      <c r="T179" s="62">
        <f t="shared" si="142"/>
        <v>195.88560859972426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-2.2737367544323206E-13</v>
      </c>
      <c r="AJ179" s="14">
        <f>AI179*VLOOKUP('Données projet'!$B$10,Paramètres!$A$1:$I$89,3,0)*VLOOKUP('Données projet'!$B$10,Paramètres!$A$1:$I$89,5,0)</f>
        <v>-1.064108801074326E-13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211.93796316015613</v>
      </c>
      <c r="AO179" s="62">
        <f t="shared" si="144"/>
        <v>165.73212396548013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1.2893180775475873E-21</v>
      </c>
      <c r="AX179" s="23">
        <f t="shared" si="166"/>
        <v>1.2893180775475873E-21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87.437999999999974</v>
      </c>
      <c r="D180" s="12">
        <f t="shared" si="140"/>
        <v>23.946297576066275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859.80861286787979</v>
      </c>
      <c r="H180" s="70">
        <f t="shared" si="110"/>
        <v>487.32765161164866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5.3205440053716299E-14</v>
      </c>
      <c r="P180" s="14">
        <f t="shared" si="141"/>
        <v>8.602146238565607E-13</v>
      </c>
      <c r="Q180" s="22">
        <f t="shared" si="162"/>
        <v>1.590873277977066E-12</v>
      </c>
      <c r="R180" s="62">
        <f t="shared" si="109"/>
        <v>293.33333333333491</v>
      </c>
      <c r="S180" s="62">
        <f ca="1">AVERAGE(OFFSET($R$3,0,0,'Données projet'!$E$9+1,1))-AVERAGE(OFFSET($H$3,0,0,'Données projet'!$E$9+1,1))</f>
        <v>242.7456246505439</v>
      </c>
      <c r="T180" s="62">
        <f t="shared" si="142"/>
        <v>195.88560859972426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-2.2737367544323206E-13</v>
      </c>
      <c r="AJ180" s="14">
        <f>AI180*VLOOKUP('Données projet'!$B$10,Paramètres!$A$1:$I$89,3,0)*VLOOKUP('Données projet'!$B$10,Paramètres!$A$1:$I$89,5,0)</f>
        <v>-1.064108801074326E-13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211.93796316015613</v>
      </c>
      <c r="AO180" s="62">
        <f t="shared" si="144"/>
        <v>165.73212396548013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9.1168555574030194E-22</v>
      </c>
      <c r="AX180" s="23">
        <f t="shared" si="166"/>
        <v>9.1168555574030194E-22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87.931999999999974</v>
      </c>
      <c r="D181" s="12">
        <f t="shared" si="140"/>
        <v>24.065800433540435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864.54442439925936</v>
      </c>
      <c r="H181" s="70">
        <f t="shared" si="110"/>
        <v>488.39616908841617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5.3205440053716299E-14</v>
      </c>
      <c r="P181" s="14">
        <f t="shared" si="141"/>
        <v>8.602146238565607E-13</v>
      </c>
      <c r="Q181" s="22">
        <f t="shared" si="162"/>
        <v>1.590873277977066E-12</v>
      </c>
      <c r="R181" s="62">
        <f t="shared" si="109"/>
        <v>293.33333333333491</v>
      </c>
      <c r="S181" s="62">
        <f ca="1">AVERAGE(OFFSET($R$3,0,0,'Données projet'!$E$9+1,1))-AVERAGE(OFFSET($H$3,0,0,'Données projet'!$E$9+1,1))</f>
        <v>242.7456246505439</v>
      </c>
      <c r="T181" s="62">
        <f t="shared" si="142"/>
        <v>195.88560859972426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-2.2737367544323206E-13</v>
      </c>
      <c r="AJ181" s="14">
        <f>AI181*VLOOKUP('Données projet'!$B$10,Paramètres!$A$1:$I$89,3,0)*VLOOKUP('Données projet'!$B$10,Paramètres!$A$1:$I$89,5,0)</f>
        <v>-1.064108801074326E-13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211.93796316015613</v>
      </c>
      <c r="AO181" s="62">
        <f t="shared" si="144"/>
        <v>165.73212396548013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6.4465903877379367E-22</v>
      </c>
      <c r="AX181" s="23">
        <f t="shared" si="166"/>
        <v>6.4465903877379367E-22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88.425999999999974</v>
      </c>
      <c r="D182" s="12">
        <f t="shared" si="140"/>
        <v>24.185225169313263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869.27963288592673</v>
      </c>
      <c r="H182" s="70">
        <f t="shared" si="110"/>
        <v>489.46455050322049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5.3205440053716299E-14</v>
      </c>
      <c r="P182" s="14">
        <f t="shared" si="141"/>
        <v>8.602146238565607E-13</v>
      </c>
      <c r="Q182" s="22">
        <f t="shared" si="162"/>
        <v>1.590873277977066E-12</v>
      </c>
      <c r="R182" s="62">
        <f t="shared" si="109"/>
        <v>293.33333333333491</v>
      </c>
      <c r="S182" s="62">
        <f ca="1">AVERAGE(OFFSET($R$3,0,0,'Données projet'!$E$9+1,1))-AVERAGE(OFFSET($H$3,0,0,'Données projet'!$E$9+1,1))</f>
        <v>242.7456246505439</v>
      </c>
      <c r="T182" s="62">
        <f t="shared" si="142"/>
        <v>195.88560859972426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-2.2737367544323206E-13</v>
      </c>
      <c r="AJ182" s="14">
        <f>AI182*VLOOKUP('Données projet'!$B$10,Paramètres!$A$1:$I$89,3,0)*VLOOKUP('Données projet'!$B$10,Paramètres!$A$1:$I$89,5,0)</f>
        <v>-1.064108801074326E-13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211.93796316015613</v>
      </c>
      <c r="AO182" s="62">
        <f t="shared" si="144"/>
        <v>165.73212396548013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4.5584277787015097E-22</v>
      </c>
      <c r="AX182" s="23">
        <f t="shared" si="166"/>
        <v>4.5584277787015097E-22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88.919999999999973</v>
      </c>
      <c r="D183" s="12">
        <f t="shared" si="140"/>
        <v>24.30457227046648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874.01424208781134</v>
      </c>
      <c r="H183" s="70">
        <f t="shared" si="110"/>
        <v>490.53279670439571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5.3205440053716299E-14</v>
      </c>
      <c r="P183" s="14">
        <f t="shared" si="141"/>
        <v>8.602146238565607E-13</v>
      </c>
      <c r="Q183" s="22">
        <f t="shared" si="162"/>
        <v>1.590873277977066E-12</v>
      </c>
      <c r="R183" s="62">
        <f t="shared" si="109"/>
        <v>293.33333333333491</v>
      </c>
      <c r="S183" s="62">
        <f ca="1">AVERAGE(OFFSET($R$3,0,0,'Données projet'!$E$9+1,1))-AVERAGE(OFFSET($H$3,0,0,'Données projet'!$E$9+1,1))</f>
        <v>242.7456246505439</v>
      </c>
      <c r="T183" s="62">
        <f t="shared" si="142"/>
        <v>195.88560859972426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-2.2737367544323206E-13</v>
      </c>
      <c r="AJ183" s="14">
        <f>AI183*VLOOKUP('Données projet'!$B$10,Paramètres!$A$1:$I$89,3,0)*VLOOKUP('Données projet'!$B$10,Paramètres!$A$1:$I$89,5,0)</f>
        <v>-1.064108801074326E-13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211.93796316015613</v>
      </c>
      <c r="AO183" s="62">
        <f t="shared" si="144"/>
        <v>165.73212396548013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3.2232951938689683E-22</v>
      </c>
      <c r="AX183" s="23">
        <f t="shared" si="166"/>
        <v>3.2232951938689683E-22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89.413999999999973</v>
      </c>
      <c r="D184" s="12">
        <f t="shared" si="140"/>
        <v>24.42384221835654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878.74825572064674</v>
      </c>
      <c r="H184" s="70">
        <f t="shared" si="110"/>
        <v>491.6009085303042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5.3205440053716299E-14</v>
      </c>
      <c r="P184" s="14">
        <f t="shared" si="141"/>
        <v>8.602146238565607E-13</v>
      </c>
      <c r="Q184" s="22">
        <f t="shared" si="162"/>
        <v>1.590873277977066E-12</v>
      </c>
      <c r="R184" s="62">
        <f t="shared" si="109"/>
        <v>293.33333333333491</v>
      </c>
      <c r="S184" s="62">
        <f ca="1">AVERAGE(OFFSET($R$3,0,0,'Données projet'!$E$9+1,1))-AVERAGE(OFFSET($H$3,0,0,'Données projet'!$E$9+1,1))</f>
        <v>242.7456246505439</v>
      </c>
      <c r="T184" s="62">
        <f t="shared" si="142"/>
        <v>195.88560859972426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-2.2737367544323206E-13</v>
      </c>
      <c r="AJ184" s="14">
        <f>AI184*VLOOKUP('Données projet'!$B$10,Paramètres!$A$1:$I$89,3,0)*VLOOKUP('Données projet'!$B$10,Paramètres!$A$1:$I$89,5,0)</f>
        <v>-1.064108801074326E-13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211.93796316015613</v>
      </c>
      <c r="AO184" s="62">
        <f t="shared" si="144"/>
        <v>165.73212396548013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2.2792138893507548E-22</v>
      </c>
      <c r="AX184" s="23">
        <f t="shared" si="166"/>
        <v>2.2792138893507548E-22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89.907999999999973</v>
      </c>
      <c r="D185" s="12">
        <f t="shared" si="140"/>
        <v>24.543035488713222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883.48167745673345</v>
      </c>
      <c r="H185" s="70">
        <f t="shared" si="110"/>
        <v>492.66888680950876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5.3205440053716299E-14</v>
      </c>
      <c r="P185" s="14">
        <f t="shared" si="141"/>
        <v>8.602146238565607E-13</v>
      </c>
      <c r="Q185" s="22">
        <f t="shared" si="162"/>
        <v>1.590873277977066E-12</v>
      </c>
      <c r="R185" s="62">
        <f t="shared" si="109"/>
        <v>293.33333333333491</v>
      </c>
      <c r="S185" s="62">
        <f ca="1">AVERAGE(OFFSET($R$3,0,0,'Données projet'!$E$9+1,1))-AVERAGE(OFFSET($H$3,0,0,'Données projet'!$E$9+1,1))</f>
        <v>242.7456246505439</v>
      </c>
      <c r="T185" s="62">
        <f t="shared" si="142"/>
        <v>195.88560859972426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-2.2737367544323206E-13</v>
      </c>
      <c r="AJ185" s="14">
        <f>AI185*VLOOKUP('Données projet'!$B$10,Paramètres!$A$1:$I$89,3,0)*VLOOKUP('Données projet'!$B$10,Paramètres!$A$1:$I$89,5,0)</f>
        <v>-1.064108801074326E-13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211.93796316015613</v>
      </c>
      <c r="AO185" s="62">
        <f t="shared" si="144"/>
        <v>165.73212396548013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1.6116475969344842E-22</v>
      </c>
      <c r="AX185" s="23">
        <f t="shared" si="166"/>
        <v>1.6116475969344842E-22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90.401999999999973</v>
      </c>
      <c r="D186" s="12">
        <f t="shared" si="140"/>
        <v>24.662152551735971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888.21451092568088</v>
      </c>
      <c r="H186" s="70">
        <f t="shared" si="110"/>
        <v>493.7367323609401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5.3205440053716299E-14</v>
      </c>
      <c r="P186" s="14">
        <f t="shared" si="141"/>
        <v>8.602146238565607E-13</v>
      </c>
      <c r="Q186" s="22">
        <f t="shared" si="162"/>
        <v>1.590873277977066E-12</v>
      </c>
      <c r="R186" s="62">
        <f t="shared" si="109"/>
        <v>293.33333333333491</v>
      </c>
      <c r="S186" s="62">
        <f ca="1">AVERAGE(OFFSET($R$3,0,0,'Données projet'!$E$9+1,1))-AVERAGE(OFFSET($H$3,0,0,'Données projet'!$E$9+1,1))</f>
        <v>242.7456246505439</v>
      </c>
      <c r="T186" s="62">
        <f t="shared" si="142"/>
        <v>195.88560859972426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-2.2737367544323206E-13</v>
      </c>
      <c r="AJ186" s="14">
        <f>AI186*VLOOKUP('Données projet'!$B$10,Paramètres!$A$1:$I$89,3,0)*VLOOKUP('Données projet'!$B$10,Paramètres!$A$1:$I$89,5,0)</f>
        <v>-1.064108801074326E-13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211.93796316015613</v>
      </c>
      <c r="AO186" s="62">
        <f t="shared" si="144"/>
        <v>165.73212396548013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1.1396069446753774E-22</v>
      </c>
      <c r="AX186" s="23">
        <f t="shared" si="166"/>
        <v>1.1396069446753774E-22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90.895999999999972</v>
      </c>
      <c r="D187" s="12">
        <f t="shared" si="140"/>
        <v>24.781193872187952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892.94675971513482</v>
      </c>
      <c r="H187" s="70">
        <f t="shared" si="110"/>
        <v>494.80444599406064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5.3205440053716299E-14</v>
      </c>
      <c r="P187" s="14">
        <f t="shared" si="141"/>
        <v>8.602146238565607E-13</v>
      </c>
      <c r="Q187" s="22">
        <f t="shared" si="162"/>
        <v>1.590873277977066E-12</v>
      </c>
      <c r="R187" s="62">
        <f t="shared" si="109"/>
        <v>293.33333333333491</v>
      </c>
      <c r="S187" s="62">
        <f ca="1">AVERAGE(OFFSET($R$3,0,0,'Données projet'!$E$9+1,1))-AVERAGE(OFFSET($H$3,0,0,'Données projet'!$E$9+1,1))</f>
        <v>242.7456246505439</v>
      </c>
      <c r="T187" s="62">
        <f t="shared" si="142"/>
        <v>195.88560859972426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-2.2737367544323206E-13</v>
      </c>
      <c r="AJ187" s="14">
        <f>AI187*VLOOKUP('Données projet'!$B$10,Paramètres!$A$1:$I$89,3,0)*VLOOKUP('Données projet'!$B$10,Paramètres!$A$1:$I$89,5,0)</f>
        <v>-1.064108801074326E-13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211.93796316015613</v>
      </c>
      <c r="AO187" s="62">
        <f t="shared" si="144"/>
        <v>165.73212396548013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8.0582379846724208E-23</v>
      </c>
      <c r="AX187" s="23">
        <f t="shared" si="166"/>
        <v>8.0582379846724208E-23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91.389999999999972</v>
      </c>
      <c r="D188" s="12">
        <f t="shared" si="140"/>
        <v>24.900159909488185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897.67842737148749</v>
      </c>
      <c r="H188" s="70">
        <f t="shared" si="110"/>
        <v>495.8720285090252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5.3205440053716299E-14</v>
      </c>
      <c r="P188" s="14">
        <f t="shared" si="141"/>
        <v>8.602146238565607E-13</v>
      </c>
      <c r="Q188" s="22">
        <f t="shared" si="162"/>
        <v>1.590873277977066E-12</v>
      </c>
      <c r="R188" s="62">
        <f t="shared" si="109"/>
        <v>293.33333333333491</v>
      </c>
      <c r="S188" s="62">
        <f ca="1">AVERAGE(OFFSET($R$3,0,0,'Données projet'!$E$9+1,1))-AVERAGE(OFFSET($H$3,0,0,'Données projet'!$E$9+1,1))</f>
        <v>242.7456246505439</v>
      </c>
      <c r="T188" s="62">
        <f t="shared" si="142"/>
        <v>195.88560859972426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-2.2737367544323206E-13</v>
      </c>
      <c r="AJ188" s="14">
        <f>AI188*VLOOKUP('Données projet'!$B$10,Paramètres!$A$1:$I$89,3,0)*VLOOKUP('Données projet'!$B$10,Paramètres!$A$1:$I$89,5,0)</f>
        <v>-1.064108801074326E-13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211.93796316015613</v>
      </c>
      <c r="AO188" s="62">
        <f t="shared" si="144"/>
        <v>165.73212396548013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5.6980347233768871E-23</v>
      </c>
      <c r="AX188" s="23">
        <f t="shared" si="166"/>
        <v>5.6980347233768871E-23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91.883999999999972</v>
      </c>
      <c r="D189" s="12">
        <f t="shared" si="140"/>
        <v>25.019051117801563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902.40951740057335</v>
      </c>
      <c r="H189" s="70">
        <f t="shared" si="110"/>
        <v>496.93948069683768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5.3205440053716299E-14</v>
      </c>
      <c r="P189" s="14">
        <f t="shared" si="141"/>
        <v>8.602146238565607E-13</v>
      </c>
      <c r="Q189" s="22">
        <f t="shared" si="162"/>
        <v>1.590873277977066E-12</v>
      </c>
      <c r="R189" s="62">
        <f t="shared" si="109"/>
        <v>293.33333333333491</v>
      </c>
      <c r="S189" s="62">
        <f ca="1">AVERAGE(OFFSET($R$3,0,0,'Données projet'!$E$9+1,1))-AVERAGE(OFFSET($H$3,0,0,'Données projet'!$E$9+1,1))</f>
        <v>242.7456246505439</v>
      </c>
      <c r="T189" s="62">
        <f t="shared" si="142"/>
        <v>195.88560859972426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-2.2737367544323206E-13</v>
      </c>
      <c r="AJ189" s="14">
        <f>AI189*VLOOKUP('Données projet'!$B$10,Paramètres!$A$1:$I$89,3,0)*VLOOKUP('Données projet'!$B$10,Paramètres!$A$1:$I$89,5,0)</f>
        <v>-1.064108801074326E-13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211.93796316015613</v>
      </c>
      <c r="AO189" s="62">
        <f t="shared" si="144"/>
        <v>165.73212396548013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4.0291189923362104E-23</v>
      </c>
      <c r="AX189" s="23">
        <f t="shared" si="166"/>
        <v>4.0291189923362104E-23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92.377999999999972</v>
      </c>
      <c r="D190" s="12">
        <f t="shared" si="140"/>
        <v>25.137867946126693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907.14003326834609</v>
      </c>
      <c r="H190" s="70">
        <f t="shared" si="110"/>
        <v>498.0068033395039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5.3205440053716299E-14</v>
      </c>
      <c r="P190" s="14">
        <f t="shared" si="141"/>
        <v>8.602146238565607E-13</v>
      </c>
      <c r="Q190" s="22">
        <f t="shared" si="162"/>
        <v>1.590873277977066E-12</v>
      </c>
      <c r="R190" s="62">
        <f t="shared" si="109"/>
        <v>293.33333333333491</v>
      </c>
      <c r="S190" s="62">
        <f ca="1">AVERAGE(OFFSET($R$3,0,0,'Données projet'!$E$9+1,1))-AVERAGE(OFFSET($H$3,0,0,'Données projet'!$E$9+1,1))</f>
        <v>242.7456246505439</v>
      </c>
      <c r="T190" s="62">
        <f t="shared" si="142"/>
        <v>195.88560859972426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-2.2737367544323206E-13</v>
      </c>
      <c r="AJ190" s="14">
        <f>AI190*VLOOKUP('Données projet'!$B$10,Paramètres!$A$1:$I$89,3,0)*VLOOKUP('Données projet'!$B$10,Paramètres!$A$1:$I$89,5,0)</f>
        <v>-1.064108801074326E-13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211.93796316015613</v>
      </c>
      <c r="AO190" s="62">
        <f t="shared" si="144"/>
        <v>165.73212396548013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2.8490173616884436E-23</v>
      </c>
      <c r="AX190" s="23">
        <f t="shared" si="166"/>
        <v>2.8490173616884436E-23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92.871999999999971</v>
      </c>
      <c r="D191" s="12">
        <f t="shared" si="140"/>
        <v>25.256610838382159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911.86997840154629</v>
      </c>
      <c r="H191" s="70">
        <f t="shared" si="110"/>
        <v>499.0739972101822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5.3205440053716299E-14</v>
      </c>
      <c r="P191" s="14">
        <f t="shared" si="141"/>
        <v>8.602146238565607E-13</v>
      </c>
      <c r="Q191" s="22">
        <f t="shared" si="162"/>
        <v>1.590873277977066E-12</v>
      </c>
      <c r="R191" s="62">
        <f t="shared" si="109"/>
        <v>293.33333333333491</v>
      </c>
      <c r="S191" s="62">
        <f ca="1">AVERAGE(OFFSET($R$3,0,0,'Données projet'!$E$9+1,1))-AVERAGE(OFFSET($H$3,0,0,'Données projet'!$E$9+1,1))</f>
        <v>242.7456246505439</v>
      </c>
      <c r="T191" s="62">
        <f t="shared" si="142"/>
        <v>195.88560859972426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-2.2737367544323206E-13</v>
      </c>
      <c r="AJ191" s="14">
        <f>AI191*VLOOKUP('Données projet'!$B$10,Paramètres!$A$1:$I$89,3,0)*VLOOKUP('Données projet'!$B$10,Paramètres!$A$1:$I$89,5,0)</f>
        <v>-1.064108801074326E-13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211.93796316015613</v>
      </c>
      <c r="AO191" s="62">
        <f t="shared" si="144"/>
        <v>165.73212396548013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2.0145594961681052E-23</v>
      </c>
      <c r="AX191" s="23">
        <f t="shared" si="166"/>
        <v>2.0145594961681052E-23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93.365999999999971</v>
      </c>
      <c r="D192" s="12">
        <f t="shared" si="140"/>
        <v>25.375280233490678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916.59935618834879</v>
      </c>
      <c r="H192" s="70">
        <f t="shared" si="110"/>
        <v>500.14106307332952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5.3205440053716299E-14</v>
      </c>
      <c r="P192" s="14">
        <f t="shared" si="141"/>
        <v>8.602146238565607E-13</v>
      </c>
      <c r="Q192" s="22">
        <f t="shared" si="162"/>
        <v>1.590873277977066E-12</v>
      </c>
      <c r="R192" s="62">
        <f t="shared" si="109"/>
        <v>293.33333333333491</v>
      </c>
      <c r="S192" s="62">
        <f ca="1">AVERAGE(OFFSET($R$3,0,0,'Données projet'!$E$9+1,1))-AVERAGE(OFFSET($H$3,0,0,'Données projet'!$E$9+1,1))</f>
        <v>242.7456246505439</v>
      </c>
      <c r="T192" s="62">
        <f t="shared" si="142"/>
        <v>195.88560859972426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-2.2737367544323206E-13</v>
      </c>
      <c r="AJ192" s="14">
        <f>AI192*VLOOKUP('Données projet'!$B$10,Paramètres!$A$1:$I$89,3,0)*VLOOKUP('Données projet'!$B$10,Paramètres!$A$1:$I$89,5,0)</f>
        <v>-1.064108801074326E-13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211.93796316015613</v>
      </c>
      <c r="AO192" s="62">
        <f t="shared" si="144"/>
        <v>165.73212396548013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1.4245086808442218E-23</v>
      </c>
      <c r="AX192" s="23">
        <f t="shared" si="166"/>
        <v>1.4245086808442218E-23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93.859999999999971</v>
      </c>
      <c r="D193" s="12">
        <f t="shared" si="140"/>
        <v>25.493876565461285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921.3281699789992</v>
      </c>
      <c r="H193" s="70">
        <f t="shared" si="110"/>
        <v>501.20800168484499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5.3205440053716299E-14</v>
      </c>
      <c r="P193" s="14">
        <f t="shared" si="141"/>
        <v>8.602146238565607E-13</v>
      </c>
      <c r="Q193" s="22">
        <f t="shared" si="162"/>
        <v>1.590873277977066E-12</v>
      </c>
      <c r="R193" s="62">
        <f t="shared" si="109"/>
        <v>293.33333333333491</v>
      </c>
      <c r="S193" s="62">
        <f ca="1">AVERAGE(OFFSET($R$3,0,0,'Données projet'!$E$9+1,1))-AVERAGE(OFFSET($H$3,0,0,'Données projet'!$E$9+1,1))</f>
        <v>242.7456246505439</v>
      </c>
      <c r="T193" s="62">
        <f t="shared" si="142"/>
        <v>195.88560859972426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-2.2737367544323206E-13</v>
      </c>
      <c r="AJ193" s="14">
        <f>AI193*VLOOKUP('Données projet'!$B$10,Paramètres!$A$1:$I$89,3,0)*VLOOKUP('Données projet'!$B$10,Paramètres!$A$1:$I$89,5,0)</f>
        <v>-1.064108801074326E-13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211.93796316015613</v>
      </c>
      <c r="AO193" s="62">
        <f t="shared" si="144"/>
        <v>165.73212396548013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1.0072797480840526E-23</v>
      </c>
      <c r="AX193" s="23">
        <f t="shared" si="166"/>
        <v>1.0072797480840526E-23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94.353999999999971</v>
      </c>
      <c r="D194" s="12">
        <f t="shared" si="140"/>
        <v>25.612400263470157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926.05642308643598</v>
      </c>
      <c r="H194" s="70">
        <f t="shared" si="110"/>
        <v>502.27481379221047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5.3205440053716299E-14</v>
      </c>
      <c r="P194" s="14">
        <f t="shared" si="141"/>
        <v>8.602146238565607E-13</v>
      </c>
      <c r="Q194" s="22">
        <f t="shared" si="162"/>
        <v>1.590873277977066E-12</v>
      </c>
      <c r="R194" s="62">
        <f t="shared" si="109"/>
        <v>293.33333333333491</v>
      </c>
      <c r="S194" s="62">
        <f ca="1">AVERAGE(OFFSET($R$3,0,0,'Données projet'!$E$9+1,1))-AVERAGE(OFFSET($H$3,0,0,'Données projet'!$E$9+1,1))</f>
        <v>242.7456246505439</v>
      </c>
      <c r="T194" s="62">
        <f t="shared" si="142"/>
        <v>195.88560859972426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-2.2737367544323206E-13</v>
      </c>
      <c r="AJ194" s="14">
        <f>AI194*VLOOKUP('Données projet'!$B$10,Paramètres!$A$1:$I$89,3,0)*VLOOKUP('Données projet'!$B$10,Paramètres!$A$1:$I$89,5,0)</f>
        <v>-1.064108801074326E-13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211.93796316015613</v>
      </c>
      <c r="AO194" s="62">
        <f t="shared" si="144"/>
        <v>165.73212396548013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7.1225434042211089E-24</v>
      </c>
      <c r="AX194" s="23">
        <f t="shared" si="166"/>
        <v>7.1225434042211089E-24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94.847999999999971</v>
      </c>
      <c r="D195" s="12">
        <f t="shared" si="140"/>
        <v>25.730851751939202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930.78411878689894</v>
      </c>
      <c r="H195" s="70">
        <f t="shared" si="110"/>
        <v>503.34150013462738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5.3205440053716299E-14</v>
      </c>
      <c r="P195" s="14">
        <f t="shared" si="141"/>
        <v>8.602146238565607E-13</v>
      </c>
      <c r="Q195" s="22">
        <f t="shared" si="162"/>
        <v>1.590873277977066E-12</v>
      </c>
      <c r="R195" s="62">
        <f t="shared" ref="R195:R203" si="191">Q195+(I195+J195)*44/12</f>
        <v>293.33333333333491</v>
      </c>
      <c r="S195" s="62">
        <f ca="1">AVERAGE(OFFSET($R$3,0,0,'Données projet'!$E$9+1,1))-AVERAGE(OFFSET($H$3,0,0,'Données projet'!$E$9+1,1))</f>
        <v>242.7456246505439</v>
      </c>
      <c r="T195" s="62">
        <f t="shared" si="142"/>
        <v>195.88560859972426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-2.2737367544323206E-13</v>
      </c>
      <c r="AJ195" s="14">
        <f>AI195*VLOOKUP('Données projet'!$B$10,Paramètres!$A$1:$I$89,3,0)*VLOOKUP('Données projet'!$B$10,Paramètres!$A$1:$I$89,5,0)</f>
        <v>-1.064108801074326E-13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211.93796316015613</v>
      </c>
      <c r="AO195" s="62">
        <f t="shared" si="144"/>
        <v>165.73212396548013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5.036398740420263E-24</v>
      </c>
      <c r="AX195" s="23">
        <f t="shared" si="166"/>
        <v>5.036398740420263E-24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95.34199999999997</v>
      </c>
      <c r="D196" s="12">
        <f t="shared" si="140"/>
        <v>25.849231450613374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935.511260320524</v>
      </c>
      <c r="H196" s="70">
        <f t="shared" ref="H196:H203" si="192">(B196+E196+F196)*44/12+(C196+D196)*0.475*44/12</f>
        <v>504.40806144315155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5.3205440053716299E-14</v>
      </c>
      <c r="P196" s="14">
        <f t="shared" si="141"/>
        <v>8.602146238565607E-13</v>
      </c>
      <c r="Q196" s="22">
        <f t="shared" si="162"/>
        <v>1.590873277977066E-12</v>
      </c>
      <c r="R196" s="62">
        <f t="shared" si="191"/>
        <v>293.33333333333491</v>
      </c>
      <c r="S196" s="62">
        <f ca="1">AVERAGE(OFFSET($R$3,0,0,'Données projet'!$E$9+1,1))-AVERAGE(OFFSET($H$3,0,0,'Données projet'!$E$9+1,1))</f>
        <v>242.7456246505439</v>
      </c>
      <c r="T196" s="62">
        <f t="shared" si="142"/>
        <v>195.88560859972426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-2.2737367544323206E-13</v>
      </c>
      <c r="AJ196" s="14">
        <f>AI196*VLOOKUP('Données projet'!$B$10,Paramètres!$A$1:$I$89,3,0)*VLOOKUP('Données projet'!$B$10,Paramètres!$A$1:$I$89,5,0)</f>
        <v>-1.064108801074326E-13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211.93796316015613</v>
      </c>
      <c r="AO196" s="62">
        <f t="shared" si="144"/>
        <v>165.73212396548013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3.5612717021105544E-24</v>
      </c>
      <c r="AX196" s="23">
        <f t="shared" si="166"/>
        <v>3.5612717021105544E-24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95.83599999999997</v>
      </c>
      <c r="D197" s="12">
        <f t="shared" ref="D197:D203" si="202">IFERROR(EXP(-1.0587+0.8836*LN(C197)+0.284),0)</f>
        <v>25.967539774636116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940.23785089192768</v>
      </c>
      <c r="H197" s="70">
        <f t="shared" si="192"/>
        <v>505.4744984408245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5.3205440053716299E-14</v>
      </c>
      <c r="P197" s="14">
        <f t="shared" ref="P197:P203" si="203">EXP(-1.0587+0.8836*LN(O197)+0.284)</f>
        <v>8.602146238565607E-13</v>
      </c>
      <c r="Q197" s="22">
        <f t="shared" si="162"/>
        <v>1.590873277977066E-12</v>
      </c>
      <c r="R197" s="62">
        <f t="shared" si="191"/>
        <v>293.33333333333491</v>
      </c>
      <c r="S197" s="62">
        <f ca="1">AVERAGE(OFFSET($R$3,0,0,'Données projet'!$E$9+1,1))-AVERAGE(OFFSET($H$3,0,0,'Données projet'!$E$9+1,1))</f>
        <v>242.7456246505439</v>
      </c>
      <c r="T197" s="62">
        <f t="shared" ref="T197:T203" si="204">$T$3</f>
        <v>195.88560859972426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-2.2737367544323206E-13</v>
      </c>
      <c r="AJ197" s="14">
        <f>AI197*VLOOKUP('Données projet'!$B$10,Paramètres!$A$1:$I$89,3,0)*VLOOKUP('Données projet'!$B$10,Paramètres!$A$1:$I$89,5,0)</f>
        <v>-1.064108801074326E-13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211.93796316015613</v>
      </c>
      <c r="AO197" s="62">
        <f t="shared" ref="AO197:AO203" si="205">$AO$3</f>
        <v>165.73212396548013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2.5181993702101315E-24</v>
      </c>
      <c r="AX197" s="23">
        <f t="shared" si="166"/>
        <v>2.5181993702101315E-24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96.32999999999997</v>
      </c>
      <c r="D198" s="12">
        <f t="shared" si="202"/>
        <v>26.08577713462325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944.96389367077575</v>
      </c>
      <c r="H198" s="70">
        <f t="shared" si="192"/>
        <v>506.5408118428021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5.3205440053716299E-14</v>
      </c>
      <c r="P198" s="14">
        <f t="shared" si="203"/>
        <v>8.602146238565607E-13</v>
      </c>
      <c r="Q198" s="22">
        <f t="shared" si="162"/>
        <v>1.590873277977066E-12</v>
      </c>
      <c r="R198" s="62">
        <f t="shared" si="191"/>
        <v>293.33333333333491</v>
      </c>
      <c r="S198" s="62">
        <f ca="1">AVERAGE(OFFSET($R$3,0,0,'Données projet'!$E$9+1,1))-AVERAGE(OFFSET($H$3,0,0,'Données projet'!$E$9+1,1))</f>
        <v>242.7456246505439</v>
      </c>
      <c r="T198" s="62">
        <f t="shared" si="204"/>
        <v>195.88560859972426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-2.2737367544323206E-13</v>
      </c>
      <c r="AJ198" s="14">
        <f>AI198*VLOOKUP('Données projet'!$B$10,Paramètres!$A$1:$I$89,3,0)*VLOOKUP('Données projet'!$B$10,Paramètres!$A$1:$I$89,5,0)</f>
        <v>-1.064108801074326E-13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211.93796316015613</v>
      </c>
      <c r="AO198" s="62">
        <f t="shared" si="205"/>
        <v>165.73212396548013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1.7806358510552772E-24</v>
      </c>
      <c r="AX198" s="23">
        <f t="shared" si="166"/>
        <v>1.7806358510552772E-24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96.82399999999997</v>
      </c>
      <c r="D199" s="12">
        <f t="shared" si="202"/>
        <v>26.203943936735264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949.68939179234212</v>
      </c>
      <c r="H199" s="70">
        <f t="shared" si="192"/>
        <v>507.60700235648051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5.3205440053716299E-14</v>
      </c>
      <c r="P199" s="14">
        <f t="shared" si="203"/>
        <v>8.602146238565607E-13</v>
      </c>
      <c r="Q199" s="22">
        <f t="shared" si="162"/>
        <v>1.590873277977066E-12</v>
      </c>
      <c r="R199" s="62">
        <f t="shared" si="191"/>
        <v>293.33333333333491</v>
      </c>
      <c r="S199" s="62">
        <f ca="1">AVERAGE(OFFSET($R$3,0,0,'Données projet'!$E$9+1,1))-AVERAGE(OFFSET($H$3,0,0,'Données projet'!$E$9+1,1))</f>
        <v>242.7456246505439</v>
      </c>
      <c r="T199" s="62">
        <f t="shared" si="204"/>
        <v>195.88560859972426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-2.2737367544323206E-13</v>
      </c>
      <c r="AJ199" s="14">
        <f>AI199*VLOOKUP('Données projet'!$B$10,Paramètres!$A$1:$I$89,3,0)*VLOOKUP('Données projet'!$B$10,Paramètres!$A$1:$I$89,5,0)</f>
        <v>-1.064108801074326E-13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211.93796316015613</v>
      </c>
      <c r="AO199" s="62">
        <f t="shared" si="205"/>
        <v>165.73212396548013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1.2590996851050658E-24</v>
      </c>
      <c r="AX199" s="23">
        <f t="shared" si="166"/>
        <v>1.2590996851050658E-24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97.317999999999969</v>
      </c>
      <c r="D200" s="12">
        <f t="shared" si="202"/>
        <v>26.32204058274829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954.4143483580566</v>
      </c>
      <c r="H200" s="70">
        <f t="shared" si="192"/>
        <v>508.67307068161983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5.3205440053716299E-14</v>
      </c>
      <c r="P200" s="14">
        <f t="shared" si="203"/>
        <v>8.602146238565607E-13</v>
      </c>
      <c r="Q200" s="22">
        <f t="shared" si="162"/>
        <v>1.590873277977066E-12</v>
      </c>
      <c r="R200" s="62">
        <f t="shared" si="191"/>
        <v>293.33333333333491</v>
      </c>
      <c r="S200" s="62">
        <f ca="1">AVERAGE(OFFSET($R$3,0,0,'Données projet'!$E$9+1,1))-AVERAGE(OFFSET($H$3,0,0,'Données projet'!$E$9+1,1))</f>
        <v>242.7456246505439</v>
      </c>
      <c r="T200" s="62">
        <f t="shared" si="204"/>
        <v>195.88560859972426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-2.2737367544323206E-13</v>
      </c>
      <c r="AJ200" s="14">
        <f>AI200*VLOOKUP('Données projet'!$B$10,Paramètres!$A$1:$I$89,3,0)*VLOOKUP('Données projet'!$B$10,Paramètres!$A$1:$I$89,5,0)</f>
        <v>-1.064108801074326E-13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211.93796316015613</v>
      </c>
      <c r="AO200" s="62">
        <f t="shared" si="205"/>
        <v>165.73212396548013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8.9031792552763861E-25</v>
      </c>
      <c r="AX200" s="23">
        <f t="shared" si="166"/>
        <v>8.9031792552763861E-25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97.811999999999969</v>
      </c>
      <c r="D201" s="12">
        <f t="shared" si="202"/>
        <v>26.44006747012326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959.13876643603896</v>
      </c>
      <c r="H201" s="70">
        <f t="shared" si="192"/>
        <v>509.73901751046458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5.3205440053716299E-14</v>
      </c>
      <c r="P201" s="14">
        <f t="shared" si="203"/>
        <v>8.602146238565607E-13</v>
      </c>
      <c r="Q201" s="22">
        <f t="shared" si="162"/>
        <v>1.590873277977066E-12</v>
      </c>
      <c r="R201" s="62">
        <f t="shared" si="191"/>
        <v>293.33333333333491</v>
      </c>
      <c r="S201" s="62">
        <f ca="1">AVERAGE(OFFSET($R$3,0,0,'Données projet'!$E$9+1,1))-AVERAGE(OFFSET($H$3,0,0,'Données projet'!$E$9+1,1))</f>
        <v>242.7456246505439</v>
      </c>
      <c r="T201" s="62">
        <f t="shared" si="204"/>
        <v>195.88560859972426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-2.2737367544323206E-13</v>
      </c>
      <c r="AJ201" s="14">
        <f>AI201*VLOOKUP('Données projet'!$B$10,Paramètres!$A$1:$I$89,3,0)*VLOOKUP('Données projet'!$B$10,Paramètres!$A$1:$I$89,5,0)</f>
        <v>-1.064108801074326E-13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211.93796316015613</v>
      </c>
      <c r="AO201" s="62">
        <f t="shared" si="205"/>
        <v>165.73212396548013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6.2954984255253288E-25</v>
      </c>
      <c r="AX201" s="23">
        <f t="shared" si="166"/>
        <v>6.2954984255253288E-25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98.305999999999969</v>
      </c>
      <c r="D202" s="12">
        <f t="shared" si="202"/>
        <v>26.558024992073921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963.86264906162307</v>
      </c>
      <c r="H202" s="70">
        <f t="shared" si="192"/>
        <v>510.80484352786198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5.3205440053716299E-14</v>
      </c>
      <c r="P202" s="14">
        <f t="shared" si="203"/>
        <v>8.602146238565607E-13</v>
      </c>
      <c r="Q202" s="22">
        <f t="shared" si="162"/>
        <v>1.590873277977066E-12</v>
      </c>
      <c r="R202" s="62">
        <f t="shared" si="191"/>
        <v>293.33333333333491</v>
      </c>
      <c r="S202" s="62">
        <f ca="1">AVERAGE(OFFSET($R$3,0,0,'Données projet'!$E$9+1,1))-AVERAGE(OFFSET($H$3,0,0,'Données projet'!$E$9+1,1))</f>
        <v>242.7456246505439</v>
      </c>
      <c r="T202" s="62">
        <f t="shared" si="204"/>
        <v>195.88560859972426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-2.2737367544323206E-13</v>
      </c>
      <c r="AJ202" s="14">
        <f>AI202*VLOOKUP('Données projet'!$B$10,Paramètres!$A$1:$I$89,3,0)*VLOOKUP('Données projet'!$B$10,Paramètres!$A$1:$I$89,5,0)</f>
        <v>-1.064108801074326E-13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211.93796316015613</v>
      </c>
      <c r="AO202" s="62">
        <f t="shared" si="205"/>
        <v>165.73212396548013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4.4515896276381931E-25</v>
      </c>
      <c r="AX202" s="23">
        <f t="shared" si="166"/>
        <v>4.4515896276381931E-25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98.799999999999969</v>
      </c>
      <c r="D203" s="12">
        <f t="shared" si="202"/>
        <v>26.675913537633271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968.58599923787062</v>
      </c>
      <c r="H203" s="70">
        <f t="shared" si="192"/>
        <v>511.87054941137785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5.3205440053716299E-14</v>
      </c>
      <c r="P203" s="14">
        <f t="shared" si="203"/>
        <v>8.602146238565607E-13</v>
      </c>
      <c r="Q203" s="22">
        <f t="shared" si="162"/>
        <v>1.590873277977066E-12</v>
      </c>
      <c r="R203" s="62">
        <f t="shared" si="191"/>
        <v>293.33333333333491</v>
      </c>
      <c r="S203" s="62">
        <f ca="1">AVERAGE(OFFSET($R$3,0,0,'Données projet'!$E$9+1,1))-AVERAGE(OFFSET($H$3,0,0,'Données projet'!$E$9+1,1))</f>
        <v>242.7456246505439</v>
      </c>
      <c r="T203" s="62">
        <f t="shared" si="204"/>
        <v>195.88560859972426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-2.2737367544323206E-13</v>
      </c>
      <c r="AJ203" s="14">
        <f>AI203*VLOOKUP('Données projet'!$B$10,Paramètres!$A$1:$I$89,3,0)*VLOOKUP('Données projet'!$B$10,Paramètres!$A$1:$I$89,5,0)</f>
        <v>-1.064108801074326E-13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211.93796316015613</v>
      </c>
      <c r="AO203" s="62">
        <f t="shared" si="205"/>
        <v>165.73212396548013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3.1477492127626644E-25</v>
      </c>
      <c r="AX203" s="23">
        <f t="shared" si="166"/>
        <v>3.1477492127626644E-25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1.1278916335706877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1.2235261841298362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4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5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4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6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6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5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4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5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C19" sqref="C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18" t="s">
        <v>191</v>
      </c>
      <c r="C2" s="319"/>
      <c r="D2" s="319"/>
      <c r="E2" s="319"/>
      <c r="F2" s="319"/>
      <c r="G2" s="32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17"/>
      <c r="C4" s="317"/>
      <c r="D4" s="317"/>
      <c r="E4" s="317"/>
      <c r="F4" s="317"/>
      <c r="G4" s="31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46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A10" sqref="A1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18" t="s">
        <v>271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Cèdre de l'Atlas</v>
      </c>
      <c r="B6" s="155">
        <f>'Données projet'!D9</f>
        <v>1.6498900000000001</v>
      </c>
      <c r="C6" s="156">
        <f ca="1">IF(OR('Données projet'!B9="",'Données projet'!C9="",'Données projet'!C9=0%),0,Calculateur!S3)</f>
        <v>242.7456246505439</v>
      </c>
      <c r="D6" s="156">
        <f>IF(OR('Données projet'!B9="",'Données projet'!C9="",'Données projet'!C9=0%),0,Calculateur!T3)</f>
        <v>195.88560859972426</v>
      </c>
      <c r="E6" s="156">
        <f ca="1">MIN(C6,D6)</f>
        <v>195.88560859972426</v>
      </c>
      <c r="F6" s="156">
        <f ca="1">E6*B6</f>
        <v>323.1897067725991</v>
      </c>
      <c r="G6" s="156">
        <f ca="1">F6*(100%-'Données projet'!$C$24)*(100%-'Données projet'!$C$25)*(100%-'Données projet'!$C$26)*(100%-'Données projet'!$C$27)</f>
        <v>276.3271992905722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276.3271992905722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Epicéa de Sitka</v>
      </c>
      <c r="B7" s="163">
        <f>'Données projet'!D10</f>
        <v>0.99984499999999998</v>
      </c>
      <c r="C7" s="156">
        <f ca="1">IF(OR('Données projet'!B10="",'Données projet'!C10="",'Données projet'!C10=0%),0,Calculateur!AN3)</f>
        <v>211.93796316015613</v>
      </c>
      <c r="D7" s="156">
        <f>IF(OR('Données projet'!B10="",'Données projet'!C10="",'Données projet'!C10=0%),0,Calculateur!AO3)</f>
        <v>165.73212396548013</v>
      </c>
      <c r="E7" s="156">
        <f t="shared" ref="E7:E15" ca="1" si="0">MIN(C7,D7)</f>
        <v>165.73212396548013</v>
      </c>
      <c r="F7" s="156">
        <f t="shared" ref="F7:F15" ca="1" si="1">E7*B7</f>
        <v>165.70643548626546</v>
      </c>
      <c r="G7" s="156">
        <f ca="1">F7*(100%-'Données projet'!$C$24)*(100%-'Données projet'!$C$25)*(100%-'Données projet'!$C$26)*(100%-'Données projet'!$C$27)</f>
        <v>141.67900234075697</v>
      </c>
      <c r="H7" s="164">
        <f>IF(OR('Données projet'!B10="",'Données projet'!C10="",'Données projet'!C10=0%),0,AVERAGE(Calculateur!$AX$3:$AX$33)*B7)</f>
        <v>2.0860230688989652</v>
      </c>
      <c r="I7" s="158">
        <f>H7*(100%-'Données projet'!$C$24)*(100%-'Données projet'!$C$25)*(100%-'Données projet'!$C$26)*(100%-'Données projet'!$C$27)</f>
        <v>1.7835497239086151</v>
      </c>
      <c r="J7" s="159">
        <f>IF(OR('Données projet'!B10="",'Données projet'!C10="",'Données projet'!C10=0%),0,SUM(Calculateur!$AQ$3:$AQ$33)*VLOOKUP('Données projet'!$B$10,Paramètres!$A$1:$I$89,9,0)*B7)</f>
        <v>44.713068399999997</v>
      </c>
      <c r="K7" s="160">
        <f>J7*(100%-'Données projet'!$C$24)*(100%-'Données projet'!$C$25)*(100%-'Données projet'!$C$26)*(100%-'Données projet'!$C$27)</f>
        <v>38.229673481999995</v>
      </c>
      <c r="L7" s="161">
        <f t="shared" ref="L7:L15" ca="1" si="2">G7+I7+K7</f>
        <v>181.69222554666555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488.89614225886453</v>
      </c>
      <c r="G16" s="175">
        <f t="shared" ca="1" si="3"/>
        <v>418.00620163132919</v>
      </c>
      <c r="H16" s="176">
        <f t="shared" si="3"/>
        <v>2.0860230688989652</v>
      </c>
      <c r="I16" s="176">
        <f t="shared" si="3"/>
        <v>1.7835497239086151</v>
      </c>
      <c r="J16" s="177">
        <f t="shared" si="3"/>
        <v>44.713068399999997</v>
      </c>
      <c r="K16" s="177">
        <f t="shared" si="3"/>
        <v>38.229673481999995</v>
      </c>
      <c r="L16" s="178">
        <f t="shared" ca="1" si="3"/>
        <v>458.01942483723775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Cèdre de l'Atlas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Epicéa de Sitka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Q4" zoomScale="90" zoomScaleNormal="90" workbookViewId="0">
      <selection activeCell="V29" sqref="V2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18" t="s">
        <v>272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2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1" t="s">
        <v>315</v>
      </c>
      <c r="I4" s="341"/>
      <c r="K4" s="338" t="s">
        <v>253</v>
      </c>
      <c r="L4" s="339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0" t="s">
        <v>310</v>
      </c>
      <c r="S7" s="331"/>
      <c r="T7" s="331"/>
      <c r="U7" s="331"/>
      <c r="V7" s="332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Cèdre de l'Atlas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755.08081044529763</v>
      </c>
      <c r="U10" s="190">
        <f>'Données projet'!D9</f>
        <v>1.6498900000000001</v>
      </c>
      <c r="V10" s="189">
        <f>U10*T10</f>
        <v>1245.8002783455922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Epicéa de Sitka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5688.8936220336209</v>
      </c>
      <c r="U11" s="190">
        <f>'Données projet'!D10</f>
        <v>0.99984499999999998</v>
      </c>
      <c r="V11" s="189">
        <f t="shared" ref="V11" si="0">U11*T11</f>
        <v>5688.0118435222057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Cèdre de l'Atlas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2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2"/>
      <c r="H16" s="203"/>
      <c r="I16" s="204"/>
      <c r="J16" s="216"/>
      <c r="K16" s="225"/>
      <c r="L16" s="338" t="s">
        <v>254</v>
      </c>
      <c r="M16" s="339"/>
      <c r="N16" s="2">
        <v>45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2"/>
      <c r="J17" s="216"/>
      <c r="K17" s="225"/>
      <c r="L17" s="296" t="s">
        <v>289</v>
      </c>
      <c r="M17" s="298"/>
      <c r="N17" s="187">
        <f>VLOOKUP(N16,Calculateur!$A$2:$H$153,3,0)/VLOOKUP('Scénario référence'!$G$15,Paramètres!A1:I89,3,0)/VLOOKUP('Scénario référence'!$G$15,Paramètres!A1:I89,5,0)</f>
        <v>44.999999999999979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2"/>
      <c r="J18" s="216"/>
      <c r="K18" s="225"/>
      <c r="L18" s="296" t="s">
        <v>255</v>
      </c>
      <c r="M18" s="298"/>
      <c r="N18" s="205">
        <v>28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2"/>
      <c r="H19" s="232" t="s">
        <v>178</v>
      </c>
      <c r="I19" s="232" t="s">
        <v>287</v>
      </c>
      <c r="J19" s="260"/>
      <c r="K19" s="183"/>
      <c r="L19" s="338" t="s">
        <v>288</v>
      </c>
      <c r="M19" s="339"/>
      <c r="N19" s="191">
        <f>N17*N18</f>
        <v>1259.9999999999993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2"/>
      <c r="H20" s="203">
        <v>0</v>
      </c>
      <c r="I20" s="204">
        <f>13587/2.65</f>
        <v>5127.1698113207549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3975/2.65</f>
        <v>1500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f>2835/2.65</f>
        <v>1069.8113207547169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49</v>
      </c>
      <c r="B23" s="193">
        <f>'Données projet'!D36</f>
        <v>105</v>
      </c>
      <c r="C23" s="206"/>
      <c r="D23" s="194">
        <f>B23*C23</f>
        <v>0</v>
      </c>
      <c r="E23" s="206"/>
      <c r="F23" s="261"/>
      <c r="H23" s="203">
        <v>3</v>
      </c>
      <c r="I23" s="204">
        <f>2835/2.65</f>
        <v>1069.8113207547169</v>
      </c>
      <c r="K23" s="225"/>
      <c r="L23" s="340" t="s">
        <v>260</v>
      </c>
      <c r="M23" s="340"/>
      <c r="N23" s="340"/>
      <c r="O23" s="25"/>
      <c r="P23" s="25"/>
      <c r="Q23" s="265"/>
      <c r="R23" s="25"/>
      <c r="S23" s="185" t="s">
        <v>264</v>
      </c>
      <c r="T23" s="33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-15537.410913582018</v>
      </c>
      <c r="U23" s="335"/>
      <c r="V23" s="33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56</v>
      </c>
      <c r="B24" s="193">
        <f>'Données projet'!D37</f>
        <v>74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6">
        <f ca="1">'Scénario référence'!$B$8*$M$30*'Données projet'!$C$5+('Scénario référence'!B9+'Scénario référence'!B10+'Scénario référence'!F8+'Scénario référence'!F9)*$N$19/(1+M4)^N16*'Données projet'!$C$5</f>
        <v>460.66301844494768</v>
      </c>
      <c r="U24" s="336"/>
      <c r="V24" s="336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63</v>
      </c>
      <c r="B25" s="193">
        <f>'Données projet'!D38</f>
        <v>77</v>
      </c>
      <c r="C25" s="206">
        <v>30</v>
      </c>
      <c r="D25" s="194">
        <f t="shared" si="2"/>
        <v>2310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7">
        <f ca="1">T23-T24</f>
        <v>-15998.073932026966</v>
      </c>
      <c r="U25" s="337"/>
      <c r="V25" s="337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71</v>
      </c>
      <c r="B26" s="193">
        <f>'Données projet'!D39</f>
        <v>89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4" t="s">
        <v>258</v>
      </c>
      <c r="M26" s="325"/>
      <c r="N26" s="325"/>
      <c r="O26" s="325"/>
      <c r="P26" s="326"/>
      <c r="Q26" s="265"/>
      <c r="R26" s="25"/>
      <c r="S26" s="198" t="s">
        <v>265</v>
      </c>
      <c r="T26" s="334" t="str">
        <f ca="1">IF(T25&lt;0,"Votre projet est additionnel","Votre projet n'est pas additionnel")</f>
        <v>Votre projet est additionnel</v>
      </c>
      <c r="U26" s="334"/>
      <c r="V26" s="33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79</v>
      </c>
      <c r="B27" s="193">
        <f>'Données projet'!D40</f>
        <v>84</v>
      </c>
      <c r="C27" s="206">
        <v>50</v>
      </c>
      <c r="D27" s="194">
        <f t="shared" si="2"/>
        <v>4200</v>
      </c>
      <c r="E27" s="206"/>
      <c r="F27" s="264"/>
      <c r="G27" s="259"/>
      <c r="H27" s="203"/>
      <c r="I27" s="204"/>
      <c r="K27" s="225"/>
      <c r="L27" s="327"/>
      <c r="M27" s="328"/>
      <c r="N27" s="328"/>
      <c r="O27" s="328"/>
      <c r="P27" s="329"/>
      <c r="Q27" s="265"/>
      <c r="R27" s="25"/>
      <c r="S27" s="333" t="s">
        <v>267</v>
      </c>
      <c r="T27" s="333"/>
      <c r="U27" s="333"/>
      <c r="V27" s="333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87</v>
      </c>
      <c r="B28" s="193">
        <f>'Données projet'!D41</f>
        <v>85</v>
      </c>
      <c r="C28" s="206">
        <v>50</v>
      </c>
      <c r="D28" s="194">
        <f t="shared" si="2"/>
        <v>4250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95</v>
      </c>
      <c r="B29" s="193">
        <f>'Données projet'!D42</f>
        <v>509</v>
      </c>
      <c r="C29" s="206">
        <v>50</v>
      </c>
      <c r="D29" s="194">
        <f t="shared" si="2"/>
        <v>25450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>
        <v>50</v>
      </c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>
        <v>50</v>
      </c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Epicéa de Sitka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25</v>
      </c>
      <c r="B54" s="193">
        <f>'Données projet'!D62</f>
        <v>52</v>
      </c>
      <c r="C54" s="204">
        <v>20</v>
      </c>
      <c r="D54" s="191">
        <f>B54*C54</f>
        <v>1040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29</v>
      </c>
      <c r="B55" s="193">
        <f>'Données projet'!D63</f>
        <v>52</v>
      </c>
      <c r="C55" s="204">
        <v>30</v>
      </c>
      <c r="D55" s="191">
        <f t="shared" ref="D55:D73" si="4">B55*C55</f>
        <v>1560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34</v>
      </c>
      <c r="B56" s="193">
        <f>'Données projet'!D64</f>
        <v>65</v>
      </c>
      <c r="C56" s="204">
        <v>40</v>
      </c>
      <c r="D56" s="191">
        <f t="shared" si="4"/>
        <v>2600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39</v>
      </c>
      <c r="B57" s="193">
        <f>'Données projet'!D65</f>
        <v>70</v>
      </c>
      <c r="C57" s="204">
        <v>50</v>
      </c>
      <c r="D57" s="191">
        <f t="shared" si="4"/>
        <v>3500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44</v>
      </c>
      <c r="B58" s="193">
        <f>'Données projet'!D66</f>
        <v>53</v>
      </c>
      <c r="C58" s="204">
        <v>55</v>
      </c>
      <c r="D58" s="191">
        <f t="shared" si="4"/>
        <v>2915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50</v>
      </c>
      <c r="B59" s="193">
        <f>'Données projet'!D67</f>
        <v>55</v>
      </c>
      <c r="C59" s="204">
        <v>55</v>
      </c>
      <c r="D59" s="191">
        <f t="shared" si="4"/>
        <v>3025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56</v>
      </c>
      <c r="B60" s="193">
        <f>'Données projet'!D68</f>
        <v>662</v>
      </c>
      <c r="C60" s="204">
        <v>60</v>
      </c>
      <c r="D60" s="191">
        <f t="shared" si="4"/>
        <v>39720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str">
        <f>IF(O89+1&lt;=MIN('Données projet'!$E$9:$E$18),O89+1,"STOP")</f>
        <v>STOP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2025-01-21T09:44:13Z</dcterms:modified>
</cp:coreProperties>
</file>