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GF DES BRUYERES (La Chevillotte) - 16327294 LE/"/>
    </mc:Choice>
  </mc:AlternateContent>
  <xr:revisionPtr revIDLastSave="73" documentId="11_0D588C58E5F5BCB3E8B934A0CBE13DB2AF048424" xr6:coauthVersionLast="47" xr6:coauthVersionMax="47" xr10:uidLastSave="{197F80EA-7E7A-4459-B4CC-1A4F0873D1D0}"/>
  <bookViews>
    <workbookView xWindow="-27330" yWindow="9105" windowWidth="19245" windowHeight="78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X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B10" i="2"/>
  <c r="HG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A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FR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B28" i="2"/>
  <c r="HI28" i="2"/>
  <c r="HG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HG38" i="2"/>
  <c r="FS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EW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HI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G130" i="2"/>
  <c r="EB130" i="2"/>
  <c r="HH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I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FR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FR145" i="2"/>
  <c r="EX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EV150" i="2"/>
  <c r="FS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S164" i="2" l="1"/>
  <c r="EX164" i="2"/>
  <c r="FR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DG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G178" i="2"/>
  <c r="EB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B179" i="2" l="1"/>
  <c r="EA179" i="2"/>
  <c r="HG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I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HI202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86" i="2" a="1"/>
  <c r="DN186" i="2" s="1"/>
  <c r="DN43" i="2" a="1"/>
  <c r="DN43" i="2" s="1"/>
  <c r="DN41" i="2" a="1"/>
  <c r="DN41" i="2" s="1"/>
  <c r="DN29" i="2" a="1"/>
  <c r="DN29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AH163" i="2" l="1" a="1"/>
  <c r="AH163" i="2" s="1"/>
  <c r="AH62" i="2" a="1"/>
  <c r="AH62" i="2" s="1"/>
  <c r="DN137" i="2" a="1"/>
  <c r="DN137" i="2" s="1"/>
  <c r="DN45" i="2" a="1"/>
  <c r="DN45" i="2" s="1"/>
  <c r="DN16" i="2" a="1"/>
  <c r="DN16" i="2" s="1"/>
  <c r="GT190" i="2" a="1"/>
  <c r="GT190" i="2" s="1"/>
  <c r="FD107" i="2" a="1"/>
  <c r="FD107" i="2" s="1"/>
  <c r="FY42" i="2" a="1"/>
  <c r="FY42" i="2" s="1"/>
  <c r="DN170" i="2" a="1"/>
  <c r="DN170" i="2" s="1"/>
  <c r="DN155" i="2" a="1"/>
  <c r="DN155" i="2" s="1"/>
  <c r="GT133" i="2" a="1"/>
  <c r="GT133" i="2" s="1"/>
  <c r="FY72" i="2" a="1"/>
  <c r="FY72" i="2" s="1"/>
  <c r="FY173" i="2" a="1"/>
  <c r="FY173" i="2" s="1"/>
  <c r="FY165" i="2" a="1"/>
  <c r="FY165" i="2" s="1"/>
  <c r="DN188" i="2" a="1"/>
  <c r="DN188" i="2" s="1"/>
  <c r="DN110" i="2" a="1"/>
  <c r="DN110" i="2" s="1"/>
  <c r="DN177" i="2" a="1"/>
  <c r="DN177" i="2" s="1"/>
  <c r="BX107" i="2" a="1"/>
  <c r="BX107" i="2" s="1"/>
  <c r="AH19" i="2" a="1"/>
  <c r="AH19" i="2" s="1"/>
  <c r="DN162" i="2" a="1"/>
  <c r="DN162" i="2" s="1"/>
  <c r="FD167" i="2" a="1"/>
  <c r="FD167" i="2" s="1"/>
  <c r="DN114" i="2" a="1"/>
  <c r="DN114" i="2" s="1"/>
  <c r="DN129" i="2" a="1"/>
  <c r="DN129" i="2" s="1"/>
  <c r="GT121" i="2" a="1"/>
  <c r="GT121" i="2" s="1"/>
  <c r="AH92" i="2" a="1"/>
  <c r="AH92" i="2" s="1"/>
  <c r="FY159" i="2" a="1"/>
  <c r="FY159" i="2" s="1"/>
  <c r="FY146" i="2" a="1"/>
  <c r="FY146" i="2" s="1"/>
  <c r="DN70" i="2" a="1"/>
  <c r="DN70" i="2" s="1"/>
  <c r="AH166" i="2" a="1"/>
  <c r="AH166" i="2" s="1"/>
  <c r="DN49" i="2" a="1"/>
  <c r="DN49" i="2" s="1"/>
  <c r="GT38" i="2" a="1"/>
  <c r="GT38" i="2" s="1"/>
  <c r="FD131" i="2" a="1"/>
  <c r="FD131" i="2" s="1"/>
  <c r="FY82" i="2" a="1"/>
  <c r="FY82" i="2" s="1"/>
  <c r="DN103" i="2" a="1"/>
  <c r="DN103" i="2" s="1"/>
  <c r="DN50" i="2" a="1"/>
  <c r="DN50" i="2" s="1"/>
  <c r="GT122" i="2" a="1"/>
  <c r="GT122" i="2" s="1"/>
  <c r="FY178" i="2" a="1"/>
  <c r="FY178" i="2" s="1"/>
  <c r="FY143" i="2" a="1"/>
  <c r="FY143" i="2" s="1"/>
  <c r="FY32" i="2" a="1"/>
  <c r="FY32" i="2" s="1"/>
  <c r="FS203" i="2"/>
  <c r="DN187" i="2" a="1"/>
  <c r="DN187" i="2" s="1"/>
  <c r="AH199" i="2" a="1"/>
  <c r="AH199" i="2" s="1"/>
  <c r="GT138" i="2" a="1"/>
  <c r="GT138" i="2" s="1"/>
  <c r="GT147" i="2" a="1"/>
  <c r="GT147" i="2" s="1"/>
  <c r="GT152" i="2" a="1"/>
  <c r="GT152" i="2" s="1"/>
  <c r="DN167" i="2" a="1"/>
  <c r="DN167" i="2" s="1"/>
  <c r="DN153" i="2" a="1"/>
  <c r="DN153" i="2" s="1"/>
  <c r="GT191" i="2" a="1"/>
  <c r="GT191" i="2" s="1"/>
  <c r="DN132" i="2" a="1"/>
  <c r="DN132" i="2" s="1"/>
  <c r="DN164" i="2" a="1"/>
  <c r="DN164" i="2" s="1"/>
  <c r="GT126" i="2" a="1"/>
  <c r="GT126" i="2" s="1"/>
  <c r="FD43" i="2" a="1"/>
  <c r="FD43" i="2" s="1"/>
  <c r="FY182" i="2" a="1"/>
  <c r="FY182" i="2" s="1"/>
  <c r="AH151" i="2" a="1"/>
  <c r="AH151" i="2" s="1"/>
  <c r="DN113" i="2" a="1"/>
  <c r="DN113" i="2" s="1"/>
  <c r="GT51" i="2" a="1"/>
  <c r="GT51" i="2" s="1"/>
  <c r="FD59" i="2" a="1"/>
  <c r="FD59" i="2" s="1"/>
  <c r="FY55" i="2" a="1"/>
  <c r="FY55" i="2" s="1"/>
  <c r="FY191" i="2" a="1"/>
  <c r="FY191" i="2" s="1"/>
  <c r="FY22" i="2" a="1"/>
  <c r="FY22" i="2" s="1"/>
  <c r="DN31" i="2" a="1"/>
  <c r="DN31" i="2" s="1"/>
  <c r="DN115" i="2" a="1"/>
  <c r="DN115" i="2" s="1"/>
  <c r="AH90" i="2" a="1"/>
  <c r="AH90" i="2" s="1"/>
  <c r="FY196" i="2" a="1"/>
  <c r="FY196" i="2" s="1"/>
  <c r="DN30" i="2" a="1"/>
  <c r="DN30" i="2" s="1"/>
  <c r="DN135" i="2" a="1"/>
  <c r="DN135" i="2" s="1"/>
  <c r="GT74" i="2" a="1"/>
  <c r="GT74" i="2" s="1"/>
  <c r="FD64" i="2" a="1"/>
  <c r="FD64" i="2" s="1"/>
  <c r="FY115" i="2" a="1"/>
  <c r="FY115" i="2" s="1"/>
  <c r="DN25" i="2" a="1"/>
  <c r="DN25" i="2" s="1"/>
  <c r="GT68" i="2" a="1"/>
  <c r="GT68" i="2" s="1"/>
  <c r="FD144" i="2" a="1"/>
  <c r="FD144" i="2" s="1"/>
  <c r="FY126" i="2" a="1"/>
  <c r="FY126" i="2" s="1"/>
  <c r="FY110" i="2" a="1"/>
  <c r="FY110" i="2" s="1"/>
  <c r="FY90" i="2" a="1"/>
  <c r="FY90" i="2" s="1"/>
  <c r="DN55" i="2" a="1"/>
  <c r="DN55" i="2" s="1"/>
  <c r="DN86" i="2" a="1"/>
  <c r="DN86" i="2" s="1"/>
  <c r="GT107" i="2" a="1"/>
  <c r="GT107" i="2" s="1"/>
  <c r="GT174" i="2" a="1"/>
  <c r="GT174" i="2" s="1"/>
  <c r="GT33" i="2" a="1"/>
  <c r="GT33" i="2" s="1"/>
  <c r="DN46" i="2" a="1"/>
  <c r="DN46" i="2" s="1"/>
  <c r="DN38" i="2" a="1"/>
  <c r="DN38" i="2" s="1"/>
  <c r="GT178" i="2" a="1"/>
  <c r="GT178" i="2" s="1"/>
  <c r="FD189" i="2" a="1"/>
  <c r="FD189" i="2" s="1"/>
  <c r="FY86" i="2" a="1"/>
  <c r="FY86" i="2" s="1"/>
  <c r="DN123" i="2" a="1"/>
  <c r="DN123" i="2" s="1"/>
  <c r="DN184" i="2" a="1"/>
  <c r="DN184" i="2" s="1"/>
  <c r="GT181" i="2" a="1"/>
  <c r="GT181" i="2" s="1"/>
  <c r="FD21" i="2" a="1"/>
  <c r="FD21" i="2" s="1"/>
  <c r="FY188" i="2" a="1"/>
  <c r="FY188" i="2" s="1"/>
  <c r="FY153" i="2" a="1"/>
  <c r="FY153" i="2" s="1"/>
  <c r="FY57" i="2" a="1"/>
  <c r="FY57" i="2" s="1"/>
  <c r="DN63" i="2" a="1"/>
  <c r="DN63" i="2" s="1"/>
  <c r="DN124" i="2" a="1"/>
  <c r="DN124" i="2" s="1"/>
  <c r="GT189" i="2" a="1"/>
  <c r="GT189" i="2" s="1"/>
  <c r="FD14" i="2" a="1"/>
  <c r="FD14" i="2" s="1"/>
  <c r="FY58" i="2" a="1"/>
  <c r="FY58" i="2" s="1"/>
  <c r="DN152" i="2" a="1"/>
  <c r="DN152" i="2" s="1"/>
  <c r="GT184" i="2" a="1"/>
  <c r="GT184" i="2" s="1"/>
  <c r="FY172" i="2" a="1"/>
  <c r="FY172" i="2" s="1"/>
  <c r="FY28" i="2" a="1"/>
  <c r="FY28" i="2" s="1"/>
  <c r="FY102" i="2" a="1"/>
  <c r="FY102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55" i="2" l="1"/>
  <c r="CD183" i="2"/>
  <c r="CD140" i="2"/>
  <c r="CD59" i="2"/>
  <c r="CD78" i="2"/>
  <c r="CD36" i="2"/>
  <c r="CD55" i="2"/>
  <c r="CD203" i="2"/>
  <c r="CD123" i="2"/>
  <c r="CD66" i="2"/>
  <c r="CD41" i="2"/>
  <c r="CD151" i="2"/>
  <c r="CD185" i="2"/>
  <c r="CD176" i="2"/>
  <c r="CD150" i="2"/>
  <c r="CD164" i="2"/>
  <c r="CD83" i="2"/>
  <c r="CD19" i="2"/>
  <c r="CD169" i="2"/>
  <c r="CD17" i="2"/>
  <c r="CD69" i="2"/>
  <c r="CD193" i="2"/>
  <c r="CD44" i="2"/>
  <c r="CD162" i="2"/>
  <c r="CD109" i="2"/>
  <c r="CD136" i="2"/>
  <c r="CD104" i="2"/>
  <c r="CD71" i="2"/>
  <c r="CD120" i="2"/>
  <c r="CD30" i="2"/>
  <c r="CD9" i="2"/>
  <c r="CD82" i="2"/>
  <c r="CD116" i="2"/>
  <c r="CD141" i="2"/>
  <c r="CD178" i="2"/>
  <c r="CD46" i="2"/>
  <c r="CD43" i="2"/>
  <c r="CD61" i="2"/>
  <c r="CD24" i="2"/>
  <c r="CD65" i="2"/>
  <c r="CD4" i="2"/>
  <c r="CD106" i="2"/>
  <c r="CD130" i="2"/>
  <c r="CD76" i="2"/>
  <c r="CD180" i="2"/>
  <c r="CD16" i="2"/>
  <c r="CD80" i="2"/>
  <c r="CD29" i="2"/>
  <c r="CD154" i="2"/>
  <c r="CD121" i="2"/>
  <c r="CD3" i="2"/>
  <c r="C9" i="4" s="1"/>
  <c r="E9" i="4" s="1"/>
  <c r="F9" i="4" s="1"/>
  <c r="G9" i="4" s="1"/>
  <c r="L9" i="4" s="1"/>
  <c r="CD58" i="2"/>
  <c r="CD25" i="2"/>
  <c r="CD62" i="2"/>
  <c r="CD94" i="2"/>
  <c r="CD111" i="2"/>
  <c r="CD84" i="2"/>
  <c r="CD172" i="2"/>
  <c r="CD67" i="2"/>
  <c r="CD63" i="2"/>
  <c r="CD156" i="2"/>
  <c r="CD194" i="2"/>
  <c r="CD200" i="2"/>
  <c r="CD50" i="2"/>
  <c r="CD161" i="2"/>
  <c r="CD198" i="2"/>
  <c r="CD173" i="2"/>
  <c r="CD28" i="2"/>
  <c r="CD107" i="2"/>
  <c r="CD45" i="2"/>
  <c r="CD38" i="2"/>
  <c r="CD108" i="2"/>
  <c r="CD68" i="2"/>
  <c r="CD42" i="2"/>
  <c r="CD57" i="2"/>
  <c r="CD5" i="2"/>
  <c r="CD98" i="2"/>
  <c r="CD33" i="2"/>
  <c r="CD157" i="2"/>
  <c r="CD179" i="2"/>
  <c r="CD202" i="2"/>
  <c r="CD144" i="2"/>
  <c r="CD110" i="2"/>
  <c r="CD32" i="2"/>
  <c r="CD89" i="2"/>
  <c r="CD73" i="2"/>
  <c r="CD145" i="2"/>
  <c r="CD158" i="2"/>
  <c r="CD147" i="2"/>
  <c r="CD40" i="2"/>
  <c r="CD12" i="2"/>
  <c r="CD91" i="2"/>
  <c r="CD112" i="2"/>
  <c r="CD85" i="2"/>
  <c r="CD132" i="2"/>
  <c r="CD11" i="2"/>
  <c r="CD166" i="2"/>
  <c r="CD186" i="2"/>
  <c r="CD86" i="2"/>
  <c r="CD70" i="2"/>
  <c r="CD14" i="2"/>
  <c r="CD177" i="2"/>
  <c r="CD81" i="2"/>
  <c r="CD135" i="2"/>
  <c r="CD191" i="2"/>
  <c r="CD115" i="2"/>
  <c r="CD171" i="2"/>
  <c r="CD142" i="2"/>
  <c r="CD47" i="2"/>
  <c r="CD133" i="2"/>
  <c r="CD119" i="2"/>
  <c r="CD34" i="2"/>
  <c r="CD72" i="2"/>
  <c r="CD88" i="2"/>
  <c r="CD118" i="2"/>
  <c r="CD188" i="2"/>
  <c r="CD10" i="2"/>
  <c r="CD148" i="2"/>
  <c r="CD31" i="2"/>
  <c r="CD18" i="2"/>
  <c r="CD48" i="2"/>
  <c r="CD95" i="2"/>
  <c r="CD60" i="2"/>
  <c r="CD152" i="2"/>
  <c r="CD54" i="2"/>
  <c r="CD75" i="2"/>
  <c r="CD159" i="2"/>
  <c r="CD153" i="2"/>
  <c r="CD168" i="2"/>
  <c r="CD122" i="2"/>
  <c r="CD182" i="2"/>
  <c r="CD174" i="2"/>
  <c r="CD103" i="2"/>
  <c r="CD87" i="2"/>
  <c r="CD100" i="2"/>
  <c r="CD101" i="2"/>
  <c r="CD126" i="2"/>
  <c r="CD134" i="2"/>
  <c r="CD7" i="2"/>
  <c r="CD128" i="2"/>
  <c r="CD160" i="2"/>
  <c r="CD143" i="2"/>
  <c r="CD102" i="2"/>
  <c r="CD52" i="2"/>
  <c r="CD74" i="2"/>
  <c r="CD131" i="2"/>
  <c r="CD201" i="2"/>
  <c r="CD170" i="2"/>
  <c r="CD167" i="2"/>
  <c r="CD53" i="2"/>
  <c r="CD181" i="2"/>
  <c r="CD124" i="2"/>
  <c r="CD127" i="2"/>
  <c r="CD184" i="2"/>
  <c r="CD51" i="2"/>
  <c r="CD197" i="2"/>
  <c r="CD146" i="2"/>
  <c r="CD21" i="2"/>
  <c r="CD195" i="2"/>
  <c r="CD8" i="2"/>
  <c r="CD20" i="2"/>
  <c r="CD23" i="2"/>
  <c r="CD6" i="2"/>
  <c r="CD138" i="2"/>
  <c r="CD79" i="2"/>
  <c r="CD187" i="2"/>
  <c r="CD105" i="2"/>
  <c r="CD149" i="2"/>
  <c r="CD129" i="2"/>
  <c r="CD39" i="2"/>
  <c r="CD190" i="2"/>
  <c r="CD165" i="2"/>
  <c r="CD114" i="2"/>
  <c r="CD192" i="2"/>
  <c r="CD199" i="2"/>
  <c r="CD92" i="2"/>
  <c r="CD26" i="2"/>
  <c r="CD49" i="2"/>
  <c r="CD15" i="2"/>
  <c r="CD64" i="2"/>
  <c r="CD175" i="2"/>
  <c r="CD96" i="2"/>
  <c r="CD97" i="2"/>
  <c r="CD125" i="2"/>
  <c r="CD56" i="2"/>
  <c r="CD37" i="2"/>
  <c r="CD196" i="2"/>
  <c r="CD113" i="2"/>
  <c r="CD117" i="2"/>
  <c r="CD137" i="2"/>
  <c r="CD139" i="2"/>
  <c r="CD189" i="2"/>
  <c r="CD99" i="2"/>
  <c r="CD77" i="2"/>
  <c r="CD93" i="2"/>
  <c r="CD90" i="2"/>
  <c r="CD22" i="2"/>
  <c r="CD13" i="2"/>
  <c r="CD27" i="2"/>
  <c r="CD35" i="2"/>
  <c r="CD163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<sst xmlns="http://schemas.openxmlformats.org/spreadsheetml/2006/main" count="1175" uniqueCount="327">
  <si>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</si>
  <si>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</si>
  <si>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</si>
  <si>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</si>
  <si>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</si>
  <si>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</si>
  <si>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</si>
  <si>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</si>
  <si>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</si>
  <si>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</si>
  <si>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</si>
  <si>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</si>
  <si>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</si>
  <si>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</si>
  <si>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</si>
  <si>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</si>
  <si>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</si>
  <si>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</si>
  <si>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</si>
  <si>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</si>
  <si>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</si>
  <si>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</si>
  <si>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</si>
  <si>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</si>
  <si>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</si>
  <si>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</si>
  <si>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</si>
  <si>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</si>
  <si>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</si>
  <si>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</si>
  <si>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</si>
  <si>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</si>
  <si>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</si>
  <si>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</si>
  <si>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</si>
  <si>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</si>
  <si>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</si>
  <si>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</si>
  <si>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</si>
  <si>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</si>
  <si>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</si>
  <si>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</si>
  <si>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</si>
  <si>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</si>
  <si>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</si>
  <si>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</si>
  <si>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</si>
  <si>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</si>
  <si>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</si>
  <si>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</si>
  <si>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</si>
  <si>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</si>
  <si>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</si>
  <si>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</si>
  <si>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</si>
  <si>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</si>
  <si>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</si>
  <si>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</si>
  <si>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</si>
  <si>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</si>
  <si>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</si>
  <si>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</si>
  <si>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</si>
  <si>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</si>
  <si>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</si>
  <si>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</si>
  <si>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</si>
  <si>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</si>
  <si>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</si>
  <si>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</si>
  <si>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</si>
  <si>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</si>
  <si>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</si>
  <si>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</si>
  <si>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</si>
  <si>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</si>
  <si>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</si>
  <si>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</si>
  <si>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</si>
  <si>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</si>
  <si>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</si>
  <si>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</si>
  <si>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</si>
  <si>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</si>
  <si>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</si>
  <si>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</si>
  <si>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</si>
  <si>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</si>
  <si>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</si>
  <si>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</si>
  <si>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</si>
  <si>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</si>
  <si>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</si>
  <si>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</si>
  <si>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</si>
  <si>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</si>
  <si>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</si>
  <si>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</si>
  <si>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</si>
  <si>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</si>
  <si>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</si>
  <si>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</si>
  <si>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</si>
  <si>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</si>
  <si>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</si>
  <si>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</si>
  <si>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</si>
  <si>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</si>
  <si>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</si>
  <si>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</si>
  <si>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</si>
  <si>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</si>
  <si>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</si>
  <si>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</si>
  <si>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</si>
  <si>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</si>
  <si>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</si>
  <si>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</si>
  <si>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</si>
  <si>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</si>
  <si>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</si>
  <si>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</si>
  <si>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</si>
  <si>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</si>
  <si>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</si>
  <si>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</si>
  <si>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</si>
  <si>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</si>
  <si>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</si>
  <si>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</si>
  <si>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</si>
  <si>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</si>
  <si>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</si>
  <si>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</si>
  <si>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</si>
  <si>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</si>
  <si>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</si>
  <si>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</si>
  <si>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</si>
  <si>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</si>
  <si>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</si>
  <si>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</si>
  <si>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</si>
  <si>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</si>
  <si>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</si>
  <si>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</si>
  <si>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</si>
  <si>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</si>
  <si>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</si>
  <si>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</si>
  <si>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</si>
  <si>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</si>
  <si>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</si>
  <si>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</si>
  <si>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</si>
  <si>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</si>
  <si>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</si>
  <si>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</si>
  <si>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</si>
  <si>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</si>
  <si>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</si>
  <si>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</si>
  <si>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</si>
  <si>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</si>
  <si>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</si>
  <si>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</si>
  <si>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</si>
  <si>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</si>
  <si>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</si>
  <si>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</si>
  <si>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</si>
  <si>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</si>
  <si>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</si>
  <si>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</si>
  <si>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</si>
  <si>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</si>
  <si>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</si>
  <si>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</si>
  <si>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</si>
  <si>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</si>
  <si>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</si>
  <si>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</si>
  <si>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</si>
  <si>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</si>
  <si>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</si>
  <si>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</si>
  <si>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</si>
  <si>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</si>
  <si>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</si>
  <si>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</si>
  <si>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</si>
  <si>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</si>
  <si>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</si>
  <si>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</si>
  <si>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</si>
  <si>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</si>
  <si>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</si>
  <si>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</si>
  <si>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</si>
  <si>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</si>
  <si>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</si>
  <si>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</si>
  <si>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</si>
  <si>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</si>
  <si>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</si>
  <si>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</si>
  <si>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</si>
  <si>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</si>
  <si>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</si>
  <si>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</si>
  <si>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</si>
  <si>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</si>
  <si>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</si>
  <si>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</si>
  <si>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</si>
  <si>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</si>
  <si>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</si>
  <si>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</si>
  <si>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</si>
  <si>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</si>
  <si>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</si>
  <si>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</si>
  <si>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</si>
  <si>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</si>
  <si>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</si>
  <si>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</si>
  <si>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</si>
  <si>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</si>
  <si>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</si>
  <si>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</si>
  <si>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</si>
  <si>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</si>
  <si>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</si>
  <si>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</si>
  <si>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</si>
  <si>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</si>
  <si>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</si>
  <si>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</si>
  <si>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</si>
  <si>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</si>
  <si>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</si>
  <si>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</si>
  <si>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</si>
  <si>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</si>
  <si>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</si>
  <si>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</si>
  <si>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</si>
  <si>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</si>
  <si>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</si>
  <si>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</si>
  <si>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</si>
  <si>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</si>
  <si>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</si>
  <si>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</si>
  <si>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</si>
  <si>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</si>
  <si>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</si>
  <si>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</si>
  <si>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</si>
  <si>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</si>
  <si>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</si>
  <si>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</si>
  <si>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</si>
  <si>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</si>
  <si>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</si>
  <si>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</si>
  <si>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</si>
  <si>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</si>
  <si>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</si>
  <si>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</si>
  <si>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</si>
  <si>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</si>
  <si>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</si>
  <si>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</si>
  <si>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</si>
  <si>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</si>
  <si>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</si>
  <si>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</si>
  <si>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</si>
  <si>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</si>
  <si>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</si>
  <si>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</si>
  <si>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</si>
  <si>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</si>
  <si>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</si>
  <si>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</si>
  <si>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</si>
  <si>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</si>
  <si>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</si>
  <si>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</si>
  <si>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</si>
  <si>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</si>
  <si>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</si>
  <si>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</si>
  <si>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</si>
  <si>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</si>
  <si>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</si>
  <si>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</si>
  <si>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</si>
  <si>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</si>
  <si>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</si>
  <si>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</si>
  <si>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</si>
  <si>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</si>
  <si>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</si>
  <si>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</si>
  <si>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</si>
  <si>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</si>
  <si>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</si>
  <si>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</si>
  <si>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</si>
  <si>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</si>
  <si>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</si>
  <si>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</si>
  <si>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</si>
  <si>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</si>
  <si>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</si>
  <si>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</si>
  <si>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</si>
  <si>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</si>
  <si>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</si>
  <si>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</si>
  <si>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</si>
  <si>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</si>
  <si>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f6</t>
  </si>
  <si>
    <t>DOU F3</t>
  </si>
  <si>
    <t>DOU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</si>
</sst>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1.3596051459487031</c:v>
                </c:pt>
                <c:pt idx="2">
                  <c:v>1.5937575248522151</c:v>
                </c:pt>
                <c:pt idx="3">
                  <c:v>1.8683881381966498</c:v>
                </c:pt>
                <c:pt idx="4">
                  <c:v>2.1905194943060229</c:v>
                </c:pt>
                <c:pt idx="5">
                  <c:v>2.5683965081169045</c:v>
                </c:pt>
                <c:pt idx="6">
                  <c:v>3.0116999499207693</c:v>
                </c:pt>
                <c:pt idx="7">
                  <c:v>3.531797273008348</c:v>
                </c:pt>
                <c:pt idx="8">
                  <c:v>4.1420373834162785</c:v>
                </c:pt>
                <c:pt idx="9">
                  <c:v>4.8580970701950799</c:v>
                </c:pt>
                <c:pt idx="10">
                  <c:v>5.6983881736243864</c:v>
                </c:pt>
                <c:pt idx="11">
                  <c:v>6.6845361676185853</c:v>
                </c:pt>
                <c:pt idx="12">
                  <c:v>7.841942713594908</c:v>
                </c:pt>
                <c:pt idx="13">
                  <c:v>9.2004469562283351</c:v>
                </c:pt>
                <c:pt idx="14">
                  <c:v>10.7951029355483</c:v>
                </c:pt>
                <c:pt idx="15">
                  <c:v>12.667093553908154</c:v>
                </c:pt>
                <c:pt idx="16">
                  <c:v>14.864805141907441</c:v>
                </c:pt>
                <c:pt idx="17">
                  <c:v>17.445090910233535</c:v>
                </c:pt>
                <c:pt idx="18">
                  <c:v>20.474756567478391</c:v>
                </c:pt>
                <c:pt idx="19">
                  <c:v>24.032307260163574</c:v>
                </c:pt>
                <c:pt idx="20">
                  <c:v>28.210001906933012</c:v>
                </c:pt>
                <c:pt idx="21">
                  <c:v>33.116269138376602</c:v>
                </c:pt>
                <c:pt idx="22">
                  <c:v>38.878548634153333</c:v>
                </c:pt>
                <c:pt idx="23">
                  <c:v>45.646632925430801</c:v>
                </c:pt>
                <c:pt idx="24">
                  <c:v>53.596598003944166</c:v>
                </c:pt>
                <c:pt idx="25">
                  <c:v>62.935426703422642</c:v>
                </c:pt>
                <c:pt idx="26">
                  <c:v>73.906447211883389</c:v>
                </c:pt>
                <c:pt idx="27">
                  <c:v>86.795730725612032</c:v>
                </c:pt>
                <c:pt idx="28">
                  <c:v>101.93961774610851</c:v>
                </c:pt>
                <c:pt idx="29">
                  <c:v>119.73357253127944</c:v>
                </c:pt>
                <c:pt idx="30">
                  <c:v>140.64260054426089</c:v>
                </c:pt>
                <c:pt idx="31">
                  <c:v>165.21350534270547</c:v>
                </c:pt>
                <c:pt idx="32">
                  <c:v>194.08931033154144</c:v>
                </c:pt>
                <c:pt idx="33">
                  <c:v>228.02622847451343</c:v>
                </c:pt>
                <c:pt idx="34">
                  <c:v>267.91363096898345</c:v>
                </c:pt>
                <c:pt idx="35">
                  <c:v>191.50151449920875</c:v>
                </c:pt>
                <c:pt idx="36">
                  <c:v>205.15409759380873</c:v>
                </c:pt>
                <c:pt idx="37">
                  <c:v>218.78567661966409</c:v>
                </c:pt>
                <c:pt idx="38">
                  <c:v>232.39774509293701</c:v>
                </c:pt>
                <c:pt idx="39">
                  <c:v>245.99160715471373</c:v>
                </c:pt>
                <c:pt idx="40">
                  <c:v>259.56841094735989</c:v>
                </c:pt>
                <c:pt idx="41">
                  <c:v>273.12917463350499</c:v>
                </c:pt>
                <c:pt idx="42">
                  <c:v>286.67480697179559</c:v>
                </c:pt>
                <c:pt idx="43">
                  <c:v>300.20612379682763</c:v>
                </c:pt>
                <c:pt idx="44">
                  <c:v>243.89731673519807</c:v>
                </c:pt>
                <c:pt idx="45">
                  <c:v>256.33144866120921</c:v>
                </c:pt>
                <c:pt idx="46">
                  <c:v>268.75193988996409</c:v>
                </c:pt>
                <c:pt idx="47">
                  <c:v>281.1595099025497</c:v>
                </c:pt>
                <c:pt idx="48">
                  <c:v>293.55480946209173</c:v>
                </c:pt>
                <c:pt idx="49">
                  <c:v>305.93842986358663</c:v>
                </c:pt>
                <c:pt idx="50">
                  <c:v>318.31091060679847</c:v>
                </c:pt>
                <c:pt idx="51">
                  <c:v>330.67274581315957</c:v>
                </c:pt>
                <c:pt idx="52">
                  <c:v>343.02438963250273</c:v>
                </c:pt>
                <c:pt idx="53">
                  <c:v>296.42752891565436</c:v>
                </c:pt>
                <c:pt idx="54">
                  <c:v>307.7563662840484</c:v>
                </c:pt>
                <c:pt idx="55">
                  <c:v>319.07594111758192</c:v>
                </c:pt>
                <c:pt idx="56">
                  <c:v>330.38662846286434</c:v>
                </c:pt>
                <c:pt idx="57">
                  <c:v>341.68877558027884</c:v>
                </c:pt>
                <c:pt idx="58">
                  <c:v>352.98270487328563</c:v>
                </c:pt>
                <c:pt idx="59">
                  <c:v>364.26871642309652</c:v>
                </c:pt>
                <c:pt idx="60">
                  <c:v>375.54709019271689</c:v>
                </c:pt>
                <c:pt idx="61">
                  <c:v>386.81808795232041</c:v>
                </c:pt>
                <c:pt idx="62">
                  <c:v>398.08195496845178</c:v>
                </c:pt>
                <c:pt idx="63">
                  <c:v>345.78303872576083</c:v>
                </c:pt>
                <c:pt idx="64">
                  <c:v>355.70096178559101</c:v>
                </c:pt>
                <c:pt idx="65">
                  <c:v>365.61282993885561</c:v>
                </c:pt>
                <c:pt idx="66">
                  <c:v>375.51883055664013</c:v>
                </c:pt>
                <c:pt idx="67">
                  <c:v>385.41914031330333</c:v>
                </c:pt>
                <c:pt idx="68">
                  <c:v>395.31392606215076</c:v>
                </c:pt>
                <c:pt idx="69">
                  <c:v>405.20334561883334</c:v>
                </c:pt>
                <c:pt idx="70">
                  <c:v>415.08754846425785</c:v>
                </c:pt>
                <c:pt idx="71">
                  <c:v>424.96667637703518</c:v>
                </c:pt>
                <c:pt idx="72">
                  <c:v>434.84086400404158</c:v>
                </c:pt>
                <c:pt idx="73">
                  <c:v>382.79777735196711</c:v>
                </c:pt>
                <c:pt idx="74">
                  <c:v>391.13913353462567</c:v>
                </c:pt>
                <c:pt idx="75">
                  <c:v>399.47663122556878</c:v>
                </c:pt>
                <c:pt idx="76">
                  <c:v>407.81036235985977</c:v>
                </c:pt>
                <c:pt idx="77">
                  <c:v>416.14041480643317</c:v>
                </c:pt>
                <c:pt idx="78">
                  <c:v>424.46687262750271</c:v>
                </c:pt>
                <c:pt idx="79">
                  <c:v>432.78981631654597</c:v>
                </c:pt>
                <c:pt idx="80">
                  <c:v>441.10932301702246</c:v>
                </c:pt>
                <c:pt idx="81">
                  <c:v>449.425466723726</c:v>
                </c:pt>
                <c:pt idx="82">
                  <c:v>457.73831846845314</c:v>
                </c:pt>
                <c:pt idx="83">
                  <c:v>466.04794649147794</c:v>
                </c:pt>
                <c:pt idx="84">
                  <c:v>474.35441640015728</c:v>
                </c:pt>
                <c:pt idx="85">
                  <c:v>415.15115130786558</c:v>
                </c:pt>
                <c:pt idx="86">
                  <c:v>421.86273990988087</c:v>
                </c:pt>
                <c:pt idx="87">
                  <c:v>428.57202965981304</c:v>
                </c:pt>
                <c:pt idx="88">
                  <c:v>435.27906164846587</c:v>
                </c:pt>
                <c:pt idx="89">
                  <c:v>441.98387559615657</c:v>
                </c:pt>
                <c:pt idx="90">
                  <c:v>448.68650991898068</c:v>
                </c:pt>
                <c:pt idx="91">
                  <c:v>455.38700179091057</c:v>
                </c:pt>
                <c:pt idx="92">
                  <c:v>462.08538720204592</c:v>
                </c:pt>
                <c:pt idx="93">
                  <c:v>468.7817010133096</c:v>
                </c:pt>
                <c:pt idx="94">
                  <c:v>475.47597700785383</c:v>
                </c:pt>
                <c:pt idx="95">
                  <c:v>482.16824793942186</c:v>
                </c:pt>
                <c:pt idx="96">
                  <c:v>488.8585455778794</c:v>
                </c:pt>
                <c:pt idx="97">
                  <c:v>424.35413318945899</c:v>
                </c:pt>
                <c:pt idx="98">
                  <c:v>429.61931958368149</c:v>
                </c:pt>
                <c:pt idx="99">
                  <c:v>434.88311918977115</c:v>
                </c:pt>
                <c:pt idx="100">
                  <c:v>440.14555117661922</c:v>
                </c:pt>
                <c:pt idx="101">
                  <c:v>445.40663421694967</c:v>
                </c:pt>
                <c:pt idx="102">
                  <c:v>450.66638650600265</c:v>
                </c:pt>
                <c:pt idx="103">
                  <c:v>455.92482577929877</c:v>
                </c:pt>
                <c:pt idx="104">
                  <c:v>461.18196932954152</c:v>
                </c:pt>
                <c:pt idx="105">
                  <c:v>466.43783402270793</c:v>
                </c:pt>
                <c:pt idx="106">
                  <c:v>471.69243631337594</c:v>
                </c:pt>
                <c:pt idx="107">
                  <c:v>476.94579225933194</c:v>
                </c:pt>
                <c:pt idx="108">
                  <c:v>482.19791753550356</c:v>
                </c:pt>
                <c:pt idx="109">
                  <c:v>425.06500720397804</c:v>
                </c:pt>
                <c:pt idx="110">
                  <c:v>429.15282054523828</c:v>
                </c:pt>
                <c:pt idx="111">
                  <c:v>433.23979692771996</c:v>
                </c:pt>
                <c:pt idx="112">
                  <c:v>437.3259453695112</c:v>
                </c:pt>
                <c:pt idx="113">
                  <c:v>441.41127470625241</c:v>
                </c:pt>
                <c:pt idx="114">
                  <c:v>445.49579359652063</c:v>
                </c:pt>
                <c:pt idx="115">
                  <c:v>449.57951052700531</c:v>
                </c:pt>
                <c:pt idx="116">
                  <c:v>453.66243381748609</c:v>
                </c:pt>
                <c:pt idx="117">
                  <c:v>457.74457162562243</c:v>
                </c:pt>
                <c:pt idx="118">
                  <c:v>461.82593195156272</c:v>
                </c:pt>
                <c:pt idx="119">
                  <c:v>465.90652264238201</c:v>
                </c:pt>
                <c:pt idx="120">
                  <c:v>469.98635139635672</c:v>
                </c:pt>
                <c:pt idx="121">
                  <c:v>2.1694074926714947E-12</c:v>
                </c:pt>
                <c:pt idx="122">
                  <c:v>2.1694074926714947E-12</c:v>
                </c:pt>
                <c:pt idx="123">
                  <c:v>2.1694074926714947E-12</c:v>
                </c:pt>
                <c:pt idx="124">
                  <c:v>2.1694074926714947E-12</c:v>
                </c:pt>
                <c:pt idx="125">
                  <c:v>2.1694074926714947E-12</c:v>
                </c:pt>
                <c:pt idx="126">
                  <c:v>2.1694074926714947E-12</c:v>
                </c:pt>
                <c:pt idx="127">
                  <c:v>2.1694074926714947E-12</c:v>
                </c:pt>
                <c:pt idx="128">
                  <c:v>2.1694074926714947E-12</c:v>
                </c:pt>
                <c:pt idx="129">
                  <c:v>2.1694074926714947E-12</c:v>
                </c:pt>
                <c:pt idx="130">
                  <c:v>2.1694074926714947E-12</c:v>
                </c:pt>
                <c:pt idx="131">
                  <c:v>2.1694074926714947E-12</c:v>
                </c:pt>
                <c:pt idx="132">
                  <c:v>2.1694074926714947E-12</c:v>
                </c:pt>
                <c:pt idx="133">
                  <c:v>2.1694074926714947E-12</c:v>
                </c:pt>
                <c:pt idx="134">
                  <c:v>2.1694074926714947E-12</c:v>
                </c:pt>
                <c:pt idx="135">
                  <c:v>2.1694074926714947E-12</c:v>
                </c:pt>
                <c:pt idx="136">
                  <c:v>2.1694074926714947E-12</c:v>
                </c:pt>
                <c:pt idx="137">
                  <c:v>2.1694074926714947E-12</c:v>
                </c:pt>
                <c:pt idx="138">
                  <c:v>2.1694074926714947E-12</c:v>
                </c:pt>
                <c:pt idx="139">
                  <c:v>2.1694074926714947E-12</c:v>
                </c:pt>
                <c:pt idx="140">
                  <c:v>2.1694074926714947E-12</c:v>
                </c:pt>
                <c:pt idx="141">
                  <c:v>2.1694074926714947E-12</c:v>
                </c:pt>
                <c:pt idx="142">
                  <c:v>2.1694074926714947E-12</c:v>
                </c:pt>
                <c:pt idx="143">
                  <c:v>2.1694074926714947E-12</c:v>
                </c:pt>
                <c:pt idx="144">
                  <c:v>2.1694074926714947E-12</c:v>
                </c:pt>
                <c:pt idx="145">
                  <c:v>2.1694074926714947E-12</c:v>
                </c:pt>
                <c:pt idx="146">
                  <c:v>2.1694074926714947E-12</c:v>
                </c:pt>
                <c:pt idx="147">
                  <c:v>2.1694074926714947E-12</c:v>
                </c:pt>
                <c:pt idx="148">
                  <c:v>2.1694074926714947E-12</c:v>
                </c:pt>
                <c:pt idx="149">
                  <c:v>2.1694074926714947E-12</c:v>
                </c:pt>
                <c:pt idx="150">
                  <c:v>2.1694074926714947E-12</c:v>
                </c:pt>
                <c:pt idx="151">
                  <c:v>2.1694074926714947E-12</c:v>
                </c:pt>
                <c:pt idx="152">
                  <c:v>2.1694074926714947E-12</c:v>
                </c:pt>
                <c:pt idx="153">
                  <c:v>2.1694074926714947E-12</c:v>
                </c:pt>
                <c:pt idx="154">
                  <c:v>2.1694074926714947E-12</c:v>
                </c:pt>
                <c:pt idx="155">
                  <c:v>2.1694074926714947E-12</c:v>
                </c:pt>
                <c:pt idx="156">
                  <c:v>2.1694074926714947E-12</c:v>
                </c:pt>
                <c:pt idx="157">
                  <c:v>2.1694074926714947E-12</c:v>
                </c:pt>
                <c:pt idx="158">
                  <c:v>2.1694074926714947E-12</c:v>
                </c:pt>
                <c:pt idx="159">
                  <c:v>2.1694074926714947E-12</c:v>
                </c:pt>
                <c:pt idx="160">
                  <c:v>2.1694074926714947E-12</c:v>
                </c:pt>
                <c:pt idx="161">
                  <c:v>2.1694074926714947E-12</c:v>
                </c:pt>
                <c:pt idx="162">
                  <c:v>2.1694074926714947E-12</c:v>
                </c:pt>
                <c:pt idx="163">
                  <c:v>2.1694074926714947E-12</c:v>
                </c:pt>
                <c:pt idx="164">
                  <c:v>2.1694074926714947E-12</c:v>
                </c:pt>
                <c:pt idx="165">
                  <c:v>2.1694074926714947E-12</c:v>
                </c:pt>
                <c:pt idx="166">
                  <c:v>2.1694074926714947E-12</c:v>
                </c:pt>
                <c:pt idx="167">
                  <c:v>2.1694074926714947E-12</c:v>
                </c:pt>
                <c:pt idx="168">
                  <c:v>2.1694074926714947E-12</c:v>
                </c:pt>
                <c:pt idx="169">
                  <c:v>2.1694074926714947E-12</c:v>
                </c:pt>
                <c:pt idx="170">
                  <c:v>2.1694074926714947E-12</c:v>
                </c:pt>
                <c:pt idx="171">
                  <c:v>2.1694074926714947E-12</c:v>
                </c:pt>
                <c:pt idx="172">
                  <c:v>2.1694074926714947E-12</c:v>
                </c:pt>
                <c:pt idx="173">
                  <c:v>2.1694074926714947E-12</c:v>
                </c:pt>
                <c:pt idx="174">
                  <c:v>2.1694074926714947E-12</c:v>
                </c:pt>
                <c:pt idx="175">
                  <c:v>2.1694074926714947E-12</c:v>
                </c:pt>
                <c:pt idx="176">
                  <c:v>2.1694074926714947E-12</c:v>
                </c:pt>
                <c:pt idx="177">
                  <c:v>2.1694074926714947E-12</c:v>
                </c:pt>
                <c:pt idx="178">
                  <c:v>2.1694074926714947E-12</c:v>
                </c:pt>
                <c:pt idx="179">
                  <c:v>2.1694074926714947E-12</c:v>
                </c:pt>
                <c:pt idx="180">
                  <c:v>2.1694074926714947E-12</c:v>
                </c:pt>
                <c:pt idx="181">
                  <c:v>2.1694074926714947E-12</c:v>
                </c:pt>
                <c:pt idx="182">
                  <c:v>2.1694074926714947E-12</c:v>
                </c:pt>
                <c:pt idx="183">
                  <c:v>2.1694074926714947E-12</c:v>
                </c:pt>
                <c:pt idx="184">
                  <c:v>2.1694074926714947E-12</c:v>
                </c:pt>
                <c:pt idx="185">
                  <c:v>2.1694074926714947E-12</c:v>
                </c:pt>
                <c:pt idx="186">
                  <c:v>2.1694074926714947E-12</c:v>
                </c:pt>
                <c:pt idx="187">
                  <c:v>2.1694074926714947E-12</c:v>
                </c:pt>
                <c:pt idx="188">
                  <c:v>2.1694074926714947E-12</c:v>
                </c:pt>
                <c:pt idx="189">
                  <c:v>2.1694074926714947E-12</c:v>
                </c:pt>
                <c:pt idx="190">
                  <c:v>2.1694074926714947E-12</c:v>
                </c:pt>
                <c:pt idx="191">
                  <c:v>2.1694074926714947E-12</c:v>
                </c:pt>
                <c:pt idx="192">
                  <c:v>2.1694074926714947E-12</c:v>
                </c:pt>
                <c:pt idx="193">
                  <c:v>2.1694074926714947E-12</c:v>
                </c:pt>
                <c:pt idx="194">
                  <c:v>2.1694074926714947E-12</c:v>
                </c:pt>
                <c:pt idx="195">
                  <c:v>2.1694074926714947E-12</c:v>
                </c:pt>
                <c:pt idx="196">
                  <c:v>2.1694074926714947E-12</c:v>
                </c:pt>
                <c:pt idx="197">
                  <c:v>2.1694074926714947E-12</c:v>
                </c:pt>
                <c:pt idx="198">
                  <c:v>2.1694074926714947E-12</c:v>
                </c:pt>
                <c:pt idx="199">
                  <c:v>2.1694074926714947E-12</c:v>
                </c:pt>
                <c:pt idx="200">
                  <c:v>2.1694074926714947E-12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2.8272102084997344</c:v>
                </c:pt>
                <c:pt idx="2">
                  <c:v>3.5788566901737902</c:v>
                </c:pt>
                <c:pt idx="3">
                  <c:v>4.531117706493057</c:v>
                </c:pt>
                <c:pt idx="4">
                  <c:v>5.7377335509034753</c:v>
                </c:pt>
                <c:pt idx="5">
                  <c:v>7.2668895236956779</c:v>
                </c:pt>
                <c:pt idx="6">
                  <c:v>9.2051109085193712</c:v>
                </c:pt>
                <c:pt idx="7">
                  <c:v>11.662211246066207</c:v>
                </c:pt>
                <c:pt idx="8">
                  <c:v>14.777579498070502</c:v>
                </c:pt>
                <c:pt idx="9">
                  <c:v>18.728169317879601</c:v>
                </c:pt>
                <c:pt idx="10">
                  <c:v>23.738652410648331</c:v>
                </c:pt>
                <c:pt idx="11">
                  <c:v>31.12626639247307</c:v>
                </c:pt>
                <c:pt idx="12">
                  <c:v>38.464964372941715</c:v>
                </c:pt>
                <c:pt idx="13">
                  <c:v>45.765480575487345</c:v>
                </c:pt>
                <c:pt idx="14">
                  <c:v>53.034801453682995</c:v>
                </c:pt>
                <c:pt idx="15">
                  <c:v>60.277824781565108</c:v>
                </c:pt>
                <c:pt idx="16">
                  <c:v>70.231581273775319</c:v>
                </c:pt>
                <c:pt idx="17">
                  <c:v>80.149089629029859</c:v>
                </c:pt>
                <c:pt idx="18">
                  <c:v>90.035480308255856</c:v>
                </c:pt>
                <c:pt idx="19">
                  <c:v>99.894659637488587</c:v>
                </c:pt>
                <c:pt idx="20">
                  <c:v>109.72969694198616</c:v>
                </c:pt>
                <c:pt idx="21">
                  <c:v>83.859901104581667</c:v>
                </c:pt>
                <c:pt idx="22">
                  <c:v>93.735681241434392</c:v>
                </c:pt>
                <c:pt idx="23">
                  <c:v>103.58548385887735</c:v>
                </c:pt>
                <c:pt idx="24">
                  <c:v>113.41213176407327</c:v>
                </c:pt>
                <c:pt idx="25">
                  <c:v>123.2179171969117</c:v>
                </c:pt>
                <c:pt idx="26">
                  <c:v>109.72969694198621</c:v>
                </c:pt>
                <c:pt idx="27">
                  <c:v>119.54306466746482</c:v>
                </c:pt>
                <c:pt idx="28">
                  <c:v>129.33679508789001</c:v>
                </c:pt>
                <c:pt idx="29">
                  <c:v>139.11258684370458</c:v>
                </c:pt>
                <c:pt idx="30">
                  <c:v>148.8718798484274</c:v>
                </c:pt>
                <c:pt idx="31">
                  <c:v>133.24917866009699</c:v>
                </c:pt>
                <c:pt idx="32">
                  <c:v>142.0420473531201</c:v>
                </c:pt>
                <c:pt idx="33">
                  <c:v>150.82187042131599</c:v>
                </c:pt>
                <c:pt idx="34">
                  <c:v>159.58951541202768</c:v>
                </c:pt>
                <c:pt idx="35">
                  <c:v>168.34574659970926</c:v>
                </c:pt>
                <c:pt idx="36">
                  <c:v>152.52761887470737</c:v>
                </c:pt>
                <c:pt idx="37">
                  <c:v>161.04966060230026</c:v>
                </c:pt>
                <c:pt idx="38">
                  <c:v>169.56102628246933</c:v>
                </c:pt>
                <c:pt idx="39">
                  <c:v>178.06232809976677</c:v>
                </c:pt>
                <c:pt idx="40">
                  <c:v>186.55411491856776</c:v>
                </c:pt>
                <c:pt idx="41">
                  <c:v>170.04708058296916</c:v>
                </c:pt>
                <c:pt idx="42">
                  <c:v>177.81956828372503</c:v>
                </c:pt>
                <c:pt idx="43">
                  <c:v>185.58409039382227</c:v>
                </c:pt>
                <c:pt idx="44">
                  <c:v>193.34102766077947</c:v>
                </c:pt>
                <c:pt idx="45">
                  <c:v>201.0907277386975</c:v>
                </c:pt>
                <c:pt idx="46">
                  <c:v>185.34156577928113</c:v>
                </c:pt>
                <c:pt idx="47">
                  <c:v>192.61412738977921</c:v>
                </c:pt>
                <c:pt idx="48">
                  <c:v>199.88030093828698</c:v>
                </c:pt>
                <c:pt idx="49">
                  <c:v>207.14035174929197</c:v>
                </c:pt>
                <c:pt idx="50">
                  <c:v>214.39452500136431</c:v>
                </c:pt>
                <c:pt idx="51">
                  <c:v>198.91183713251783</c:v>
                </c:pt>
                <c:pt idx="52">
                  <c:v>205.20492267834973</c:v>
                </c:pt>
                <c:pt idx="53">
                  <c:v>211.49354608688316</c:v>
                </c:pt>
                <c:pt idx="54">
                  <c:v>217.77785897700315</c:v>
                </c:pt>
                <c:pt idx="55">
                  <c:v>224.05800348821421</c:v>
                </c:pt>
                <c:pt idx="56">
                  <c:v>209.55905099136103</c:v>
                </c:pt>
                <c:pt idx="57">
                  <c:v>215.60299864573798</c:v>
                </c:pt>
                <c:pt idx="58">
                  <c:v>221.6430479019896</c:v>
                </c:pt>
                <c:pt idx="59">
                  <c:v>227.67932016371932</c:v>
                </c:pt>
                <c:pt idx="60">
                  <c:v>233.71192986094175</c:v>
                </c:pt>
                <c:pt idx="61">
                  <c:v>219.71064874291369</c:v>
                </c:pt>
                <c:pt idx="62">
                  <c:v>225.02381820970086</c:v>
                </c:pt>
                <c:pt idx="63">
                  <c:v>230.334113128403</c:v>
                </c:pt>
                <c:pt idx="64">
                  <c:v>235.641609242801</c:v>
                </c:pt>
                <c:pt idx="65">
                  <c:v>240.94637860003536</c:v>
                </c:pt>
                <c:pt idx="66">
                  <c:v>227.92069413364405</c:v>
                </c:pt>
                <c:pt idx="67">
                  <c:v>232.98820644971886</c:v>
                </c:pt>
                <c:pt idx="68">
                  <c:v>238.05320186844804</c:v>
                </c:pt>
                <c:pt idx="69">
                  <c:v>243.1157415962266</c:v>
                </c:pt>
                <c:pt idx="70">
                  <c:v>248.17588407773675</c:v>
                </c:pt>
                <c:pt idx="71">
                  <c:v>235.40041910588843</c:v>
                </c:pt>
                <c:pt idx="72">
                  <c:v>239.49988976533083</c:v>
                </c:pt>
                <c:pt idx="73">
                  <c:v>243.59776231305094</c:v>
                </c:pt>
                <c:pt idx="74">
                  <c:v>247.69406748216684</c:v>
                </c:pt>
                <c:pt idx="75">
                  <c:v>251.78883490429243</c:v>
                </c:pt>
                <c:pt idx="76">
                  <c:v>241.18744081547288</c:v>
                </c:pt>
                <c:pt idx="77">
                  <c:v>245.04369450396993</c:v>
                </c:pt>
                <c:pt idx="78">
                  <c:v>248.89856916975472</c:v>
                </c:pt>
                <c:pt idx="79">
                  <c:v>252.75208922948948</c:v>
                </c:pt>
                <c:pt idx="80">
                  <c:v>256.60427829304331</c:v>
                </c:pt>
                <c:pt idx="81">
                  <c:v>246.73037039602514</c:v>
                </c:pt>
                <c:pt idx="82">
                  <c:v>250.10293857751753</c:v>
                </c:pt>
                <c:pt idx="83">
                  <c:v>253.47447536439972</c:v>
                </c:pt>
                <c:pt idx="84">
                  <c:v>256.84499644168284</c:v>
                </c:pt>
                <c:pt idx="85">
                  <c:v>260.21451704825046</c:v>
                </c:pt>
                <c:pt idx="86">
                  <c:v>251.54800828294844</c:v>
                </c:pt>
                <c:pt idx="87">
                  <c:v>254.91910787155098</c:v>
                </c:pt>
                <c:pt idx="88">
                  <c:v>258.28919833503375</c:v>
                </c:pt>
                <c:pt idx="89">
                  <c:v>261.65829472678655</c:v>
                </c:pt>
                <c:pt idx="90">
                  <c:v>265.02641168010274</c:v>
                </c:pt>
                <c:pt idx="91">
                  <c:v>256.36355503466274</c:v>
                </c:pt>
                <c:pt idx="92">
                  <c:v>259.73321764902863</c:v>
                </c:pt>
                <c:pt idx="93">
                  <c:v>263.10189251350153</c:v>
                </c:pt>
                <c:pt idx="94">
                  <c:v>266.46959408660342</c:v>
                </c:pt>
                <c:pt idx="95">
                  <c:v>269.83633643082231</c:v>
                </c:pt>
                <c:pt idx="96">
                  <c:v>260.21451704825063</c:v>
                </c:pt>
                <c:pt idx="97">
                  <c:v>263.82362430075233</c:v>
                </c:pt>
                <c:pt idx="98">
                  <c:v>267.43161774582057</c:v>
                </c:pt>
                <c:pt idx="99">
                  <c:v>271.0385145613493</c:v>
                </c:pt>
                <c:pt idx="100">
                  <c:v>274.64433142982574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H8" sqref="H8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1" zoomScale="80" zoomScaleNormal="80" workbookViewId="0">
      <selection activeCell="C97" sqref="C97"/>
    </sheetView>
  </sheetViews>
  <sheetFormatPr baseColWidth="10" defaultColWidth="11.3984375" defaultRowHeight="14.25" x14ac:dyDescent="0.45"/>
  <cols>
    <col min="1" max="1" width="13.73046875" style="23" customWidth="1"/>
    <col min="2" max="2" width="36.1328125" style="23" customWidth="1"/>
    <col min="3" max="3" width="14.86328125" style="23" bestFit="1" customWidth="1"/>
    <col min="4" max="4" width="16.3984375" style="23" customWidth="1"/>
    <col min="5" max="5" width="23.265625" style="23" customWidth="1"/>
    <col min="6" max="6" width="28.86328125" style="23" bestFit="1" customWidth="1"/>
    <col min="7" max="8" width="14.73046875" style="23" customWidth="1"/>
    <col min="9" max="9" width="17" style="23" customWidth="1"/>
    <col min="10" max="10" width="13.86328125" style="23" customWidth="1"/>
    <col min="11" max="16384" width="11.39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2.54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0.73</v>
      </c>
      <c r="D9" s="33">
        <f t="shared" ref="D9:D18" si="0">C9*$C$5</f>
        <v>1.8542000000000001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156</v>
      </c>
      <c r="C10" s="32">
        <v>0.16</v>
      </c>
      <c r="D10" s="33">
        <f t="shared" si="0"/>
        <v>0.40640000000000004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13</v>
      </c>
      <c r="C11" s="32">
        <v>0.11</v>
      </c>
      <c r="D11" s="33">
        <f t="shared" si="0"/>
        <v>0.27939999999999998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2.54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C32" s="23" t="s">
        <v>326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21</v>
      </c>
      <c r="B36" s="60">
        <v>195.31</v>
      </c>
      <c r="C36" s="60">
        <v>1</v>
      </c>
      <c r="D36" s="60">
        <v>64.599999999999994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9.300476190476191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28</v>
      </c>
      <c r="B37" s="60">
        <v>282.01</v>
      </c>
      <c r="C37" s="60">
        <v>2</v>
      </c>
      <c r="D37" s="60">
        <v>67.639999999999986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21.61428571428571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35</v>
      </c>
      <c r="B38" s="60">
        <v>377.23</v>
      </c>
      <c r="C38" s="60">
        <v>3</v>
      </c>
      <c r="D38" s="60">
        <v>86.700000000000045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23.265714285714289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42</v>
      </c>
      <c r="B39" s="60">
        <v>450.49</v>
      </c>
      <c r="C39" s="60">
        <v>4</v>
      </c>
      <c r="D39" s="60">
        <v>100.04000000000002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22.851428571428578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49</v>
      </c>
      <c r="B40" s="60">
        <v>504.24</v>
      </c>
      <c r="C40" s="60">
        <v>5</v>
      </c>
      <c r="D40" s="60">
        <v>112.69999999999999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21.970000000000002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56</v>
      </c>
      <c r="B41" s="60">
        <v>534.03</v>
      </c>
      <c r="C41" s="60">
        <v>6</v>
      </c>
      <c r="D41" s="60">
        <v>94.669999999999959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20.355714285714278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63</v>
      </c>
      <c r="B42" s="60">
        <v>569.67999999999995</v>
      </c>
      <c r="C42" s="60">
        <v>7</v>
      </c>
      <c r="D42" s="60">
        <v>99.599999999999966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18.617142857142849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70</v>
      </c>
      <c r="B43" s="60">
        <v>586.86</v>
      </c>
      <c r="C43" s="60">
        <v>8</v>
      </c>
      <c r="D43" s="60">
        <v>586.86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16.682857142857149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Séquoia toujours vert</v>
      </c>
      <c r="C58" s="23" t="s">
        <v>325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34</v>
      </c>
      <c r="B62" s="60">
        <v>275.44</v>
      </c>
      <c r="C62" s="60">
        <v>1</v>
      </c>
      <c r="D62" s="60">
        <v>94.509999999999991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8.1011764705882356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43</v>
      </c>
      <c r="B63" s="60">
        <v>309.51</v>
      </c>
      <c r="C63" s="60">
        <v>2</v>
      </c>
      <c r="D63" s="60">
        <v>72.429999999999978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14.286666666666665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52</v>
      </c>
      <c r="B64" s="60">
        <v>354.81</v>
      </c>
      <c r="C64" s="60">
        <v>3</v>
      </c>
      <c r="D64" s="60">
        <v>61.259999999999991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13.08111111111111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62</v>
      </c>
      <c r="B65" s="60">
        <v>413.24</v>
      </c>
      <c r="C65" s="60">
        <v>4</v>
      </c>
      <c r="D65" s="60">
        <v>66.019999999999982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11.968999999999999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72</v>
      </c>
      <c r="B66" s="60">
        <v>452.35</v>
      </c>
      <c r="C66" s="60">
        <v>5</v>
      </c>
      <c r="D66" s="60">
        <v>64.210000000000036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10.513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84</v>
      </c>
      <c r="B67" s="60">
        <v>494.47</v>
      </c>
      <c r="C67" s="60">
        <v>6</v>
      </c>
      <c r="D67" s="60">
        <v>70.220000000000027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8.8608333333333373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96</v>
      </c>
      <c r="B68" s="60">
        <v>509.95</v>
      </c>
      <c r="C68" s="60">
        <v>7</v>
      </c>
      <c r="D68" s="60">
        <v>74.37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7.1416666666666657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108</v>
      </c>
      <c r="B69" s="50">
        <v>502.84</v>
      </c>
      <c r="C69" s="50">
        <v>8</v>
      </c>
      <c r="D69" s="50">
        <v>65.25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5.6049999999999995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120</v>
      </c>
      <c r="B70" s="50">
        <v>489.81</v>
      </c>
      <c r="C70" s="50">
        <v>9</v>
      </c>
      <c r="D70" s="50">
        <v>489.81</v>
      </c>
      <c r="E70" s="51">
        <v>0.6</v>
      </c>
      <c r="F70" s="51">
        <v>0.2</v>
      </c>
      <c r="G70" s="51">
        <v>0.2</v>
      </c>
      <c r="H70" s="51">
        <v>0</v>
      </c>
      <c r="I70" s="49">
        <f t="shared" si="2"/>
        <v>4.3516666666666692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rouge d'Amérique</v>
      </c>
      <c r="C84" s="23" t="s">
        <v>324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10</v>
      </c>
      <c r="B88" s="60">
        <v>11.538461538461538</v>
      </c>
      <c r="C88" s="60">
        <v>0</v>
      </c>
      <c r="D88" s="60">
        <v>0</v>
      </c>
      <c r="E88" s="51">
        <v>0</v>
      </c>
      <c r="F88" s="51">
        <v>0.5</v>
      </c>
      <c r="G88" s="51">
        <v>0</v>
      </c>
      <c r="H88" s="87">
        <v>0.5</v>
      </c>
      <c r="I88" s="53">
        <f>IFERROR(B88/A88,"")</f>
        <v>1.1538461538461537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15</v>
      </c>
      <c r="B89" s="60">
        <v>30.128205128205128</v>
      </c>
      <c r="C89" s="60">
        <v>0</v>
      </c>
      <c r="D89" s="60">
        <v>0</v>
      </c>
      <c r="E89" s="51">
        <v>0</v>
      </c>
      <c r="F89" s="51">
        <v>0.5</v>
      </c>
      <c r="G89" s="51">
        <v>0</v>
      </c>
      <c r="H89" s="87">
        <v>0.5</v>
      </c>
      <c r="I89" s="53">
        <f t="shared" ref="I89:I107" si="3">IF(A89&lt;&gt;0,(B89-(B88-D88))/(A89-A88),"")</f>
        <v>3.7179487179487181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20</v>
      </c>
      <c r="B90" s="60">
        <v>55.769230769230759</v>
      </c>
      <c r="C90" s="60">
        <v>1</v>
      </c>
      <c r="D90" s="60">
        <v>18.589743589743588</v>
      </c>
      <c r="E90" s="87">
        <v>0</v>
      </c>
      <c r="F90" s="87">
        <v>0.5</v>
      </c>
      <c r="G90" s="87">
        <v>0</v>
      </c>
      <c r="H90" s="87">
        <v>0.5</v>
      </c>
      <c r="I90" s="53">
        <f t="shared" si="3"/>
        <v>5.128205128205126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25</v>
      </c>
      <c r="B91" s="60">
        <v>62.820512820512818</v>
      </c>
      <c r="C91" s="60">
        <v>2</v>
      </c>
      <c r="D91" s="60">
        <v>12.179487179487179</v>
      </c>
      <c r="E91" s="87">
        <v>0</v>
      </c>
      <c r="F91" s="87">
        <v>0.5</v>
      </c>
      <c r="G91" s="87">
        <v>0</v>
      </c>
      <c r="H91" s="87">
        <v>0.5</v>
      </c>
      <c r="I91" s="53">
        <f t="shared" si="3"/>
        <v>5.1282051282051295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30</v>
      </c>
      <c r="B92" s="60">
        <v>76.282051282051285</v>
      </c>
      <c r="C92" s="60">
        <v>3</v>
      </c>
      <c r="D92" s="60">
        <v>12.820512820512819</v>
      </c>
      <c r="E92" s="87">
        <v>0</v>
      </c>
      <c r="F92" s="87">
        <v>0.5</v>
      </c>
      <c r="G92" s="87">
        <v>0</v>
      </c>
      <c r="H92" s="87">
        <v>0.5</v>
      </c>
      <c r="I92" s="53">
        <f t="shared" si="3"/>
        <v>5.1282051282051295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35</v>
      </c>
      <c r="B93" s="60">
        <v>86.538461538461533</v>
      </c>
      <c r="C93" s="60">
        <v>4</v>
      </c>
      <c r="D93" s="60">
        <v>12.820512820512819</v>
      </c>
      <c r="E93" s="87">
        <v>0</v>
      </c>
      <c r="F93" s="87">
        <v>0.5</v>
      </c>
      <c r="G93" s="87">
        <v>0</v>
      </c>
      <c r="H93" s="87">
        <v>0.5</v>
      </c>
      <c r="I93" s="53">
        <f t="shared" si="3"/>
        <v>4.6153846153846132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40</v>
      </c>
      <c r="B94" s="60">
        <v>96.153846153846146</v>
      </c>
      <c r="C94" s="60">
        <v>5</v>
      </c>
      <c r="D94" s="60">
        <v>12.820512820512819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4.4871794871794863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45</v>
      </c>
      <c r="B95" s="60">
        <v>103.84615384615384</v>
      </c>
      <c r="C95" s="60">
        <v>6</v>
      </c>
      <c r="D95" s="60">
        <v>12.179487179487179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3"/>
        <v>4.1025641025641022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50</v>
      </c>
      <c r="B96" s="60">
        <v>110.89743589743588</v>
      </c>
      <c r="C96" s="60">
        <v>7</v>
      </c>
      <c r="D96" s="60">
        <v>11.538461538461538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3.8461538461538454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55</v>
      </c>
      <c r="B97" s="60">
        <v>116.02564102564102</v>
      </c>
      <c r="C97" s="60">
        <v>8</v>
      </c>
      <c r="D97" s="60">
        <v>10.897435897435898</v>
      </c>
      <c r="E97" s="87">
        <v>0</v>
      </c>
      <c r="F97" s="87">
        <v>0.5</v>
      </c>
      <c r="G97" s="87">
        <v>0</v>
      </c>
      <c r="H97" s="87">
        <v>0.5</v>
      </c>
      <c r="I97" s="53">
        <f t="shared" si="3"/>
        <v>3.3333333333333344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60</v>
      </c>
      <c r="B98" s="60">
        <v>121.15384615384616</v>
      </c>
      <c r="C98" s="60">
        <v>9</v>
      </c>
      <c r="D98" s="60">
        <v>10.256410256410255</v>
      </c>
      <c r="E98" s="87">
        <v>0</v>
      </c>
      <c r="F98" s="87">
        <v>0.5</v>
      </c>
      <c r="G98" s="87">
        <v>0</v>
      </c>
      <c r="H98" s="87">
        <v>0.5</v>
      </c>
      <c r="I98" s="53">
        <f t="shared" si="3"/>
        <v>3.2051282051282071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65</v>
      </c>
      <c r="B99" s="60">
        <v>125</v>
      </c>
      <c r="C99" s="60">
        <v>10</v>
      </c>
      <c r="D99" s="60">
        <v>9.615384615384615</v>
      </c>
      <c r="E99" s="87">
        <v>0.1</v>
      </c>
      <c r="F99" s="87">
        <v>0.5</v>
      </c>
      <c r="G99" s="87">
        <v>0</v>
      </c>
      <c r="H99" s="87">
        <v>0.4</v>
      </c>
      <c r="I99" s="53">
        <f t="shared" si="3"/>
        <v>2.8205128205128176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70</v>
      </c>
      <c r="B100" s="60">
        <v>128.84615384615384</v>
      </c>
      <c r="C100" s="60">
        <v>11</v>
      </c>
      <c r="D100" s="60">
        <v>8.9743589743589745</v>
      </c>
      <c r="E100" s="65">
        <v>0.1</v>
      </c>
      <c r="F100" s="65">
        <v>0.5</v>
      </c>
      <c r="G100" s="65">
        <v>0</v>
      </c>
      <c r="H100" s="65">
        <v>0.4</v>
      </c>
      <c r="I100" s="53">
        <f t="shared" si="3"/>
        <v>2.6923076923076907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75</v>
      </c>
      <c r="B101" s="60">
        <v>130.76923076923075</v>
      </c>
      <c r="C101" s="60">
        <v>12</v>
      </c>
      <c r="D101" s="60">
        <v>7.6923076923076916</v>
      </c>
      <c r="E101" s="65">
        <v>0.1</v>
      </c>
      <c r="F101" s="65">
        <v>0.5</v>
      </c>
      <c r="G101" s="65">
        <v>0</v>
      </c>
      <c r="H101" s="65">
        <v>0.4</v>
      </c>
      <c r="I101" s="53">
        <f t="shared" si="3"/>
        <v>2.1794871794871766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80</v>
      </c>
      <c r="B102" s="50">
        <v>133.33333333333334</v>
      </c>
      <c r="C102" s="60">
        <v>13</v>
      </c>
      <c r="D102" s="50">
        <v>7.0512820512820511</v>
      </c>
      <c r="E102" s="54">
        <v>0.1</v>
      </c>
      <c r="F102" s="54">
        <v>0.5</v>
      </c>
      <c r="G102" s="54">
        <v>0</v>
      </c>
      <c r="H102" s="54">
        <v>0.4</v>
      </c>
      <c r="I102" s="53">
        <f t="shared" si="3"/>
        <v>2.0512820512820582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85</v>
      </c>
      <c r="B103" s="50">
        <v>135.25641025641025</v>
      </c>
      <c r="C103" s="60">
        <v>14</v>
      </c>
      <c r="D103" s="50">
        <v>6.4102564102564097</v>
      </c>
      <c r="E103" s="54">
        <v>0.1</v>
      </c>
      <c r="F103" s="54">
        <v>0.5</v>
      </c>
      <c r="G103" s="54">
        <v>0</v>
      </c>
      <c r="H103" s="54">
        <v>0.4</v>
      </c>
      <c r="I103" s="53">
        <f t="shared" si="3"/>
        <v>1.7948717948717898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90</v>
      </c>
      <c r="B104" s="50">
        <v>137.82051282051282</v>
      </c>
      <c r="C104" s="60">
        <v>15</v>
      </c>
      <c r="D104" s="50">
        <v>6.4102564102564097</v>
      </c>
      <c r="E104" s="54">
        <v>0.1</v>
      </c>
      <c r="F104" s="54">
        <v>0.5</v>
      </c>
      <c r="G104" s="54">
        <v>0</v>
      </c>
      <c r="H104" s="54">
        <v>0.4</v>
      </c>
      <c r="I104" s="53">
        <f t="shared" si="3"/>
        <v>1.7948717948717956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>
        <v>95</v>
      </c>
      <c r="B105" s="50">
        <v>140.38461538461539</v>
      </c>
      <c r="C105" s="50">
        <v>16</v>
      </c>
      <c r="D105" s="50">
        <v>7.0512820512820511</v>
      </c>
      <c r="E105" s="54">
        <v>0.1</v>
      </c>
      <c r="F105" s="54">
        <v>0.5</v>
      </c>
      <c r="G105" s="54">
        <v>0</v>
      </c>
      <c r="H105" s="54">
        <v>0.4</v>
      </c>
      <c r="I105" s="53">
        <f t="shared" si="3"/>
        <v>1.7948717948717956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>
        <v>100</v>
      </c>
      <c r="B106" s="50">
        <v>142.94871794871796</v>
      </c>
      <c r="C106" s="50">
        <v>17</v>
      </c>
      <c r="D106" s="50">
        <v>142.94871794871796</v>
      </c>
      <c r="E106" s="54">
        <v>0.1</v>
      </c>
      <c r="F106" s="54">
        <v>0.5</v>
      </c>
      <c r="G106" s="54">
        <v>0</v>
      </c>
      <c r="H106" s="54">
        <v>0.4</v>
      </c>
      <c r="I106" s="53">
        <f t="shared" si="3"/>
        <v>1.9230769230769227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" zoomScaleNormal="100" workbookViewId="0">
      <selection activeCell="G15" sqref="G15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4" bestFit="1" customWidth="1"/>
    <col min="2" max="4" width="11.3984375" style="4"/>
    <col min="5" max="5" width="9.59765625" style="4" customWidth="1"/>
    <col min="6" max="7" width="11.3984375" style="4"/>
    <col min="8" max="8" width="10.73046875" style="4" customWidth="1"/>
    <col min="9" max="9" width="9.3984375" style="4" customWidth="1"/>
    <col min="10" max="11" width="10.59765625" style="4" bestFit="1" customWidth="1"/>
    <col min="12" max="12" width="14" style="4" bestFit="1" customWidth="1"/>
    <col min="13" max="13" width="14" style="4" customWidth="1"/>
    <col min="14" max="23" width="11.3984375" style="4"/>
    <col min="24" max="24" width="11.73046875" style="4" bestFit="1" customWidth="1"/>
    <col min="25" max="25" width="14.59765625" style="4" bestFit="1" customWidth="1"/>
    <col min="26" max="26" width="12.3984375" style="4" bestFit="1" customWidth="1"/>
    <col min="27" max="27" width="9.73046875" style="4" bestFit="1" customWidth="1"/>
    <col min="28" max="28" width="11" style="4" bestFit="1" customWidth="1"/>
    <col min="29" max="29" width="9.3984375" style="4" bestFit="1" customWidth="1"/>
    <col min="30" max="31" width="9.3984375" style="4" customWidth="1"/>
    <col min="32" max="32" width="11.3984375" style="4"/>
    <col min="33" max="34" width="14" style="4" bestFit="1" customWidth="1"/>
    <col min="35" max="35" width="10.59765625" style="4" bestFit="1" customWidth="1"/>
    <col min="36" max="36" width="9.3984375" style="4" bestFit="1" customWidth="1"/>
    <col min="37" max="38" width="10.59765625" style="4" bestFit="1" customWidth="1"/>
    <col min="39" max="41" width="10.59765625" style="4" customWidth="1"/>
    <col min="42" max="42" width="9" style="4" bestFit="1" customWidth="1"/>
    <col min="43" max="43" width="10.59765625" style="4" bestFit="1" customWidth="1"/>
    <col min="44" max="44" width="9.265625" style="4" bestFit="1" customWidth="1"/>
    <col min="45" max="45" width="11.73046875" style="4" bestFit="1" customWidth="1"/>
    <col min="46" max="46" width="8.3984375" style="4" bestFit="1" customWidth="1"/>
    <col min="47" max="47" width="9.3984375" style="4" bestFit="1" customWidth="1"/>
    <col min="48" max="48" width="9.73046875" style="4" bestFit="1" customWidth="1"/>
    <col min="49" max="49" width="11" style="4" bestFit="1" customWidth="1"/>
    <col min="50" max="50" width="9.3984375" style="4" bestFit="1" customWidth="1"/>
    <col min="51" max="52" width="9.3984375" style="4" customWidth="1"/>
    <col min="53" max="53" width="10.59765625" style="4" bestFit="1" customWidth="1"/>
    <col min="54" max="54" width="14.265625" style="4" customWidth="1"/>
    <col min="55" max="55" width="14" style="4" customWidth="1"/>
    <col min="56" max="56" width="10.59765625" style="4" bestFit="1" customWidth="1"/>
    <col min="57" max="57" width="9.3984375" style="4" bestFit="1" customWidth="1"/>
    <col min="58" max="59" width="10.59765625" style="4" bestFit="1" customWidth="1"/>
    <col min="60" max="62" width="10.59765625" style="4" customWidth="1"/>
    <col min="63" max="63" width="9" style="4" bestFit="1" customWidth="1"/>
    <col min="64" max="64" width="10.59765625" style="4" bestFit="1" customWidth="1"/>
    <col min="65" max="65" width="9.265625" style="4" bestFit="1" customWidth="1"/>
    <col min="66" max="66" width="11.73046875" style="4" bestFit="1" customWidth="1"/>
    <col min="67" max="67" width="8.3984375" style="4" bestFit="1" customWidth="1"/>
    <col min="68" max="68" width="9.3984375" style="4" bestFit="1" customWidth="1"/>
    <col min="69" max="69" width="9.73046875" style="4" bestFit="1" customWidth="1"/>
    <col min="70" max="70" width="11" style="4" bestFit="1" customWidth="1"/>
    <col min="71" max="71" width="9.3984375" style="4" bestFit="1" customWidth="1"/>
    <col min="72" max="73" width="9.3984375" style="4" customWidth="1"/>
    <col min="74" max="74" width="10.59765625" style="4" bestFit="1" customWidth="1"/>
    <col min="75" max="75" width="14" style="4" bestFit="1" customWidth="1"/>
    <col min="76" max="76" width="13.86328125" style="4" customWidth="1"/>
    <col min="77" max="77" width="10.59765625" style="4" bestFit="1" customWidth="1"/>
    <col min="78" max="78" width="9.3984375" style="4" bestFit="1" customWidth="1"/>
    <col min="79" max="80" width="10.59765625" style="4" bestFit="1" customWidth="1"/>
    <col min="81" max="83" width="10.59765625" style="4" customWidth="1"/>
    <col min="84" max="84" width="11.3984375" style="4"/>
    <col min="85" max="85" width="10.59765625" style="4" bestFit="1" customWidth="1"/>
    <col min="86" max="86" width="9.265625" style="4" bestFit="1" customWidth="1"/>
    <col min="87" max="87" width="11.73046875" style="4" bestFit="1" customWidth="1"/>
    <col min="88" max="88" width="8.3984375" style="4" bestFit="1" customWidth="1"/>
    <col min="89" max="89" width="9.3984375" style="4" bestFit="1" customWidth="1"/>
    <col min="90" max="90" width="9.73046875" style="4" bestFit="1" customWidth="1"/>
    <col min="91" max="91" width="11" style="4" bestFit="1" customWidth="1"/>
    <col min="92" max="92" width="9.3984375" style="4" bestFit="1" customWidth="1"/>
    <col min="93" max="94" width="9.3984375" style="4" customWidth="1"/>
    <col min="95" max="95" width="11.3984375" style="4"/>
    <col min="96" max="97" width="14" style="4" customWidth="1"/>
    <col min="98" max="98" width="10.59765625" style="4" bestFit="1" customWidth="1"/>
    <col min="99" max="99" width="9.3984375" style="4" bestFit="1" customWidth="1"/>
    <col min="100" max="101" width="10.59765625" style="4" bestFit="1" customWidth="1"/>
    <col min="102" max="104" width="10.59765625" style="4" customWidth="1"/>
    <col min="105" max="105" width="9" style="4" bestFit="1" customWidth="1"/>
    <col min="106" max="106" width="10.59765625" style="4" bestFit="1" customWidth="1"/>
    <col min="107" max="107" width="9.265625" style="4" bestFit="1" customWidth="1"/>
    <col min="108" max="108" width="11.73046875" style="4" bestFit="1" customWidth="1"/>
    <col min="109" max="109" width="8.3984375" style="4" bestFit="1" customWidth="1"/>
    <col min="110" max="110" width="9.3984375" style="4" bestFit="1" customWidth="1"/>
    <col min="111" max="111" width="9.73046875" style="4" bestFit="1" customWidth="1"/>
    <col min="112" max="112" width="11" style="4" bestFit="1" customWidth="1"/>
    <col min="113" max="113" width="9.3984375" style="4" bestFit="1" customWidth="1"/>
    <col min="114" max="115" width="9.3984375" style="4" customWidth="1"/>
    <col min="116" max="116" width="10.59765625" style="4" bestFit="1" customWidth="1"/>
    <col min="117" max="117" width="14.265625" style="4" customWidth="1"/>
    <col min="118" max="118" width="14" style="4" bestFit="1" customWidth="1"/>
    <col min="119" max="119" width="10.59765625" style="4" bestFit="1" customWidth="1"/>
    <col min="120" max="120" width="9.3984375" style="4" bestFit="1" customWidth="1"/>
    <col min="121" max="122" width="10.59765625" style="4" bestFit="1" customWidth="1"/>
    <col min="123" max="125" width="10.59765625" style="4" customWidth="1"/>
    <col min="126" max="126" width="9" style="4" bestFit="1" customWidth="1"/>
    <col min="127" max="127" width="10.59765625" style="4" bestFit="1" customWidth="1"/>
    <col min="128" max="128" width="9.265625" style="4" bestFit="1" customWidth="1"/>
    <col min="129" max="129" width="11.73046875" style="4" bestFit="1" customWidth="1"/>
    <col min="130" max="130" width="8.3984375" style="4" bestFit="1" customWidth="1"/>
    <col min="131" max="131" width="9.3984375" style="4" bestFit="1" customWidth="1"/>
    <col min="132" max="132" width="9.73046875" style="4" bestFit="1" customWidth="1"/>
    <col min="133" max="133" width="11" style="4" bestFit="1" customWidth="1"/>
    <col min="134" max="134" width="9.3984375" style="4" bestFit="1" customWidth="1"/>
    <col min="135" max="136" width="9.3984375" style="4" customWidth="1"/>
    <col min="137" max="137" width="10.59765625" style="4" bestFit="1" customWidth="1"/>
    <col min="138" max="139" width="14" style="4" customWidth="1"/>
    <col min="140" max="140" width="10.59765625" style="4" bestFit="1" customWidth="1"/>
    <col min="141" max="141" width="9.3984375" style="4" bestFit="1" customWidth="1"/>
    <col min="142" max="143" width="10.59765625" style="4" bestFit="1" customWidth="1"/>
    <col min="144" max="146" width="10.59765625" style="4" customWidth="1"/>
    <col min="147" max="147" width="9" style="4" bestFit="1" customWidth="1"/>
    <col min="148" max="148" width="10.59765625" style="4" bestFit="1" customWidth="1"/>
    <col min="149" max="149" width="9.265625" style="4" bestFit="1" customWidth="1"/>
    <col min="150" max="150" width="11.73046875" style="4" bestFit="1" customWidth="1"/>
    <col min="151" max="151" width="8.3984375" style="4" bestFit="1" customWidth="1"/>
    <col min="152" max="152" width="9.3984375" style="4" bestFit="1" customWidth="1"/>
    <col min="153" max="153" width="9.73046875" style="4" bestFit="1" customWidth="1"/>
    <col min="154" max="154" width="11" style="4" bestFit="1" customWidth="1"/>
    <col min="155" max="155" width="9.3984375" style="4" bestFit="1" customWidth="1"/>
    <col min="156" max="157" width="9.3984375" style="4" customWidth="1"/>
    <col min="158" max="158" width="11.3984375" style="4"/>
    <col min="159" max="160" width="14" style="4" bestFit="1" customWidth="1"/>
    <col min="161" max="161" width="10.59765625" style="4" bestFit="1" customWidth="1"/>
    <col min="162" max="162" width="9.3984375" style="4" bestFit="1" customWidth="1"/>
    <col min="163" max="164" width="10.59765625" style="4" bestFit="1" customWidth="1"/>
    <col min="165" max="167" width="10.59765625" style="4" customWidth="1"/>
    <col min="168" max="168" width="9" style="4" bestFit="1" customWidth="1"/>
    <col min="169" max="169" width="10.59765625" style="4" bestFit="1" customWidth="1"/>
    <col min="170" max="170" width="9.265625" style="4" bestFit="1" customWidth="1"/>
    <col min="171" max="171" width="11.73046875" style="4" bestFit="1" customWidth="1"/>
    <col min="172" max="172" width="8.1328125" style="4" bestFit="1" customWidth="1"/>
    <col min="173" max="173" width="9.3984375" style="4" bestFit="1" customWidth="1"/>
    <col min="174" max="174" width="9.73046875" style="4" bestFit="1" customWidth="1"/>
    <col min="175" max="175" width="11" style="4" bestFit="1" customWidth="1"/>
    <col min="176" max="176" width="9.3984375" style="4" bestFit="1" customWidth="1"/>
    <col min="177" max="178" width="9.3984375" style="4" customWidth="1"/>
    <col min="179" max="179" width="10.59765625" style="4" bestFit="1" customWidth="1"/>
    <col min="180" max="181" width="14" style="4" bestFit="1" customWidth="1"/>
    <col min="182" max="182" width="10.59765625" style="4" bestFit="1" customWidth="1"/>
    <col min="183" max="183" width="9.3984375" style="4" bestFit="1" customWidth="1"/>
    <col min="184" max="185" width="10.59765625" style="4" bestFit="1" customWidth="1"/>
    <col min="186" max="188" width="10.59765625" style="4" customWidth="1"/>
    <col min="189" max="189" width="9" style="4" bestFit="1" customWidth="1"/>
    <col min="190" max="190" width="10.59765625" style="4" bestFit="1" customWidth="1"/>
    <col min="191" max="191" width="9.265625" style="4" bestFit="1" customWidth="1"/>
    <col min="192" max="192" width="11.3984375" style="4"/>
    <col min="193" max="193" width="8.3984375" style="4" bestFit="1" customWidth="1"/>
    <col min="194" max="194" width="9.3984375" style="4" bestFit="1" customWidth="1"/>
    <col min="195" max="195" width="9.73046875" style="4" bestFit="1" customWidth="1"/>
    <col min="196" max="196" width="11" style="4" bestFit="1" customWidth="1"/>
    <col min="197" max="197" width="9.3984375" style="4" bestFit="1" customWidth="1"/>
    <col min="198" max="199" width="9.3984375" style="4" customWidth="1"/>
    <col min="200" max="200" width="10.59765625" style="4" bestFit="1" customWidth="1"/>
    <col min="201" max="201" width="14" style="4" customWidth="1"/>
    <col min="202" max="202" width="14.265625" style="4" customWidth="1"/>
    <col min="203" max="203" width="10.59765625" style="4" bestFit="1" customWidth="1"/>
    <col min="204" max="204" width="9.3984375" style="4" bestFit="1" customWidth="1"/>
    <col min="205" max="206" width="10.59765625" style="4" bestFit="1" customWidth="1"/>
    <col min="207" max="209" width="10.59765625" style="4" customWidth="1"/>
    <col min="210" max="210" width="9" style="4" bestFit="1" customWidth="1"/>
    <col min="211" max="211" width="10.59765625" style="4" bestFit="1" customWidth="1"/>
    <col min="212" max="212" width="9.265625" style="4" bestFit="1" customWidth="1"/>
    <col min="213" max="213" width="11.73046875" style="4" bestFit="1" customWidth="1"/>
    <col min="214" max="214" width="8.3984375" style="4" bestFit="1" customWidth="1"/>
    <col min="215" max="215" width="9.3984375" style="4" bestFit="1" customWidth="1"/>
    <col min="216" max="216" width="9.73046875" style="4" bestFit="1" customWidth="1"/>
    <col min="217" max="217" width="11" style="4" bestFit="1" customWidth="1"/>
    <col min="218" max="218" width="9.3984375" style="4" bestFit="1" customWidth="1"/>
    <col min="219" max="16384" width="11.39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Séquoia toujours vert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314.07001555875894</v>
      </c>
      <c r="T3" s="59">
        <f>IF('Données projet'!E9&gt;30,$R$33-$H$33,LOOKUP('Données projet'!$E$9,$A$3:$A$203,R3:R203)-LOOKUP('Données projet'!$E$9,$A$3:$A$203,$H$3:$H$203))</f>
        <v>281.53154885904991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218.3918302549892</v>
      </c>
      <c r="AO3" s="59">
        <f>IF('Données projet'!E10&gt;30,$AM$33-$H$33,LOOKUP('Données projet'!$E$10,$A$3:$A$203,AM3:AM203)-LOOKUP('Données projet'!$E$10,$A$3:$A$203,$H$3:$H$203))</f>
        <v>102.61932145411976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112.66486935566058</v>
      </c>
      <c r="BJ3" s="59">
        <f>IF('Données projet'!E11&gt;30,$BH$33-$H$33,LOOKUP('Données projet'!$E$11,$A$3:$A$203,BH3:BH203)-LOOKUP('Données projet'!$E$11,$A$3:$A$203,$H$3:$H$203))</f>
        <v>110.84860075828624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9.300476190476191</v>
      </c>
      <c r="N4" s="13">
        <f>IF('Données projet'!$A$36&gt;35,N3+M4-V3,IF(A4&lt;'Données projet'!$A$36,$K$205^A4,IF(A4='Données projet'!$A$36,'Données projet'!$B$36,N3+M4-V3)))</f>
        <v>1.2855297099408214</v>
      </c>
      <c r="O4" s="13">
        <f>N4*VLOOKUP('Données projet'!$B$9,Paramètres!$A$1:$I$89,3,0)*VLOOKUP('Données projet'!$B$9,Paramètres!$A$1:$I$89,5,0)</f>
        <v>0.71861110785691917</v>
      </c>
      <c r="P4" s="13">
        <f>EXP(-1.0587+0.8836*LN(O4)+0.284)</f>
        <v>0.34415184160564588</v>
      </c>
      <c r="Q4" s="20">
        <f t="shared" ref="Q4:Q34" si="2">(O4+P4)*0.475*44/12</f>
        <v>1.8509788036473005</v>
      </c>
      <c r="R4" s="59">
        <f t="shared" si="0"/>
        <v>295.18431213698062</v>
      </c>
      <c r="S4" s="59">
        <f ca="1">AVERAGE(OFFSET($R$3,0,0,'Données projet'!$E$9+1,1))-AVERAGE(OFFSET($H$3,0,0,'Données projet'!$E$9+1,1))</f>
        <v>314.07001555875894</v>
      </c>
      <c r="T4" s="59">
        <f>$T$3</f>
        <v>281.53154885904991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8.1011764705882356</v>
      </c>
      <c r="AI4" s="13">
        <f>IF('Données projet'!$A$62&gt;35,AI3+AH4-AQ3,IF(A4&lt;'Données projet'!$A$62,$AF$205^A4,IF(A4='Données projet'!$A$62,'Données projet'!$B$62,AI3+AH4-AQ3)))</f>
        <v>1.1796834870079891</v>
      </c>
      <c r="AJ4" s="13">
        <f>AI4*VLOOKUP('Données projet'!$B$10,Paramètres!$A$1:$I$89,3,0)*VLOOKUP('Données projet'!$B$10,Paramètres!$A$1:$I$89,5,0)</f>
        <v>0.52142010125753124</v>
      </c>
      <c r="AK4" s="13">
        <f>EXP(-1.0587+0.8836*LN(AJ4)+0.284)</f>
        <v>0.25921443230153279</v>
      </c>
      <c r="AL4" s="20">
        <f t="shared" ref="AL4:AL67" si="4">(AJ4+AK4)*0.475*44/12</f>
        <v>1.3596051459487031</v>
      </c>
      <c r="AM4" s="59">
        <f t="shared" ref="AM4:AM67" si="5">AL4+(AD4+AE4)*44/12</f>
        <v>294.69293847928202</v>
      </c>
      <c r="AN4" s="59">
        <f ca="1">AVERAGE(OFFSET($AM$3,0,0,'Données projet'!$E$10+1,1))-AVERAGE(OFFSET($H$3,0,0,'Données projet'!$E$10+1,1))</f>
        <v>218.3918302549892</v>
      </c>
      <c r="AO4" s="59">
        <f>$AO$3</f>
        <v>102.61932145411976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1.1538461538461537</v>
      </c>
      <c r="BD4" s="12">
        <f>IF('Données projet'!$A$88&gt;35,BD3+BC4-BL3,IF(A4&lt;'Données projet'!$A$88,$BA$205^A4,IF(A4='Données projet'!$A$88,'Données projet'!$B$88,BD3+BC4-BL3)))</f>
        <v>1.2770702581475548</v>
      </c>
      <c r="BE4" s="13">
        <f>BD4*VLOOKUP('Données projet'!$B$11,Paramètres!$A$1:$I$89,3,0)*VLOOKUP('Données projet'!$B$11,Paramètres!$A$1:$I$89,5,0)</f>
        <v>1.1156485775177041</v>
      </c>
      <c r="BF4" s="13">
        <f>EXP(-1.0587+0.8836*LN(BE4)+0.284)</f>
        <v>0.50763001109458361</v>
      </c>
      <c r="BG4" s="20">
        <f t="shared" ref="BG4:BG67" si="7">(BE4+BF4)*0.475*44/12</f>
        <v>2.8272102084997344</v>
      </c>
      <c r="BH4" s="59">
        <f t="shared" ref="BH4:BH67" si="8">BG4+(AY4+AZ4)*44/12</f>
        <v>296.16054354183302</v>
      </c>
      <c r="BI4" s="59">
        <f ca="1">AVERAGE(OFFSET($BH$3,0,0,'Données projet'!$E$11+1,1))-AVERAGE(OFFSET($H$3,0,0,'Données projet'!$E$11+1,1))</f>
        <v>112.66486935566058</v>
      </c>
      <c r="BJ4" s="59">
        <f>$BJ$3</f>
        <v>110.84860075828624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9.300476190476191</v>
      </c>
      <c r="N5" s="13">
        <f>IF('Données projet'!$A$36&gt;35,N4+M5-V4,IF(A5&lt;'Données projet'!$A$36,$K$205^A5,IF(A5='Données projet'!$A$36,'Données projet'!$B$36,N4+M5-V4)))</f>
        <v>1.6525866351405323</v>
      </c>
      <c r="O5" s="13">
        <f>N5*VLOOKUP('Données projet'!$B$9,Paramètres!$A$1:$I$89,3,0)*VLOOKUP('Données projet'!$B$9,Paramètres!$A$1:$I$89,5,0)</f>
        <v>0.92379592904355756</v>
      </c>
      <c r="P5" s="13">
        <f t="shared" ref="P5:P68" si="33">EXP(-1.0587+0.8836*LN(O5)+0.284)</f>
        <v>0.42967002528896309</v>
      </c>
      <c r="Q5" s="20">
        <f t="shared" si="2"/>
        <v>2.35728653712914</v>
      </c>
      <c r="R5" s="59">
        <f t="shared" si="0"/>
        <v>295.69061987046246</v>
      </c>
      <c r="S5" s="59">
        <f ca="1">AVERAGE(OFFSET($R$3,0,0,'Données projet'!$E$9+1,1))-AVERAGE(OFFSET($H$3,0,0,'Données projet'!$E$9+1,1))</f>
        <v>314.07001555875894</v>
      </c>
      <c r="T5" s="59">
        <f t="shared" ref="T5:T68" si="34">$T$3</f>
        <v>281.53154885904991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8.1011764705882356</v>
      </c>
      <c r="AI5" s="13">
        <f>IF('Données projet'!$A$62&gt;35,AI4+AH5-AQ4,IF(A5&lt;'Données projet'!$A$62,$AF$205^A5,IF(A5='Données projet'!$A$62,'Données projet'!$B$62,AI4+AH5-AQ4)))</f>
        <v>1.3916531295193284</v>
      </c>
      <c r="AJ5" s="13">
        <f>AI5*VLOOKUP('Données projet'!$B$10,Paramètres!$A$1:$I$89,3,0)*VLOOKUP('Données projet'!$B$10,Paramètres!$A$1:$I$89,5,0)</f>
        <v>0.61511068324754326</v>
      </c>
      <c r="AK5" s="13">
        <f t="shared" ref="AK5:AK68" si="35">EXP(-1.0587+0.8836*LN(AJ5)+0.284)</f>
        <v>0.2999654075766951</v>
      </c>
      <c r="AL5" s="20">
        <f t="shared" si="4"/>
        <v>1.5937575248522151</v>
      </c>
      <c r="AM5" s="59">
        <f t="shared" si="5"/>
        <v>294.92709085818552</v>
      </c>
      <c r="AN5" s="59">
        <f ca="1">AVERAGE(OFFSET($AM$3,0,0,'Données projet'!$E$10+1,1))-AVERAGE(OFFSET($H$3,0,0,'Données projet'!$E$10+1,1))</f>
        <v>218.3918302549892</v>
      </c>
      <c r="AO5" s="59">
        <f t="shared" ref="AO5:AO68" si="36">$AO$3</f>
        <v>102.61932145411976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1.1538461538461537</v>
      </c>
      <c r="BD5" s="12">
        <f>IF('Données projet'!$A$88&gt;35,BD4+BC5-BL4,IF(A5&lt;'Données projet'!$A$88,$BA$205^A5,IF(A5='Données projet'!$A$88,'Données projet'!$B$88,BD4+BC5-BL4)))</f>
        <v>1.6309084442450623</v>
      </c>
      <c r="BE5" s="13">
        <f>BD5*VLOOKUP('Données projet'!$B$11,Paramètres!$A$1:$I$89,3,0)*VLOOKUP('Données projet'!$B$11,Paramètres!$A$1:$I$89,5,0)</f>
        <v>1.4247616168924866</v>
      </c>
      <c r="BF5" s="13">
        <f t="shared" ref="BF5:BF68" si="37">EXP(-1.0587+0.8836*LN(BE5)+0.284)</f>
        <v>0.63008432961878058</v>
      </c>
      <c r="BG5" s="20">
        <f t="shared" si="7"/>
        <v>3.5788566901737902</v>
      </c>
      <c r="BH5" s="59">
        <f t="shared" si="8"/>
        <v>296.91219002350709</v>
      </c>
      <c r="BI5" s="59">
        <f ca="1">AVERAGE(OFFSET($BH$3,0,0,'Données projet'!$E$11+1,1))-AVERAGE(OFFSET($H$3,0,0,'Données projet'!$E$11+1,1))</f>
        <v>112.66486935566058</v>
      </c>
      <c r="BJ5" s="59">
        <f t="shared" ref="BJ5:BJ68" si="38">$BJ$3</f>
        <v>110.84860075828624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9.300476190476191</v>
      </c>
      <c r="N6" s="13">
        <f>IF('Données projet'!$A$36&gt;35,N5+M6-V5,IF(A6&lt;'Données projet'!$A$36,$K$205^A6,IF(A6='Données projet'!$A$36,'Données projet'!$B$36,N5+M6-V5)))</f>
        <v>2.1244492177242864</v>
      </c>
      <c r="O6" s="13">
        <f>N6*VLOOKUP('Données projet'!$B$9,Paramètres!$A$1:$I$89,3,0)*VLOOKUP('Données projet'!$B$9,Paramètres!$A$1:$I$89,5,0)</f>
        <v>1.1875671127078762</v>
      </c>
      <c r="P6" s="13">
        <f t="shared" si="33"/>
        <v>0.53643859573869412</v>
      </c>
      <c r="Q6" s="20">
        <f t="shared" si="2"/>
        <v>3.0026432755444432</v>
      </c>
      <c r="R6" s="59">
        <f t="shared" si="0"/>
        <v>296.33597660887779</v>
      </c>
      <c r="S6" s="59">
        <f ca="1">AVERAGE(OFFSET($R$3,0,0,'Données projet'!$E$9+1,1))-AVERAGE(OFFSET($H$3,0,0,'Données projet'!$E$9+1,1))</f>
        <v>314.07001555875894</v>
      </c>
      <c r="T6" s="59">
        <f t="shared" si="34"/>
        <v>281.53154885904991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8.1011764705882356</v>
      </c>
      <c r="AI6" s="13">
        <f>IF('Données projet'!$A$62&gt;35,AI5+AH6-AQ5,IF(A6&lt;'Données projet'!$A$62,$AF$205^A6,IF(A6='Données projet'!$A$62,'Données projet'!$B$62,AI5+AH6-AQ5)))</f>
        <v>1.6417102165369419</v>
      </c>
      <c r="AJ6" s="13">
        <f>AI6*VLOOKUP('Données projet'!$B$10,Paramètres!$A$1:$I$89,3,0)*VLOOKUP('Données projet'!$B$10,Paramètres!$A$1:$I$89,5,0)</f>
        <v>0.72563591570932839</v>
      </c>
      <c r="AK6" s="13">
        <f t="shared" si="35"/>
        <v>0.3471228239251119</v>
      </c>
      <c r="AL6" s="20">
        <f t="shared" si="4"/>
        <v>1.8683881381966498</v>
      </c>
      <c r="AM6" s="59">
        <f t="shared" si="5"/>
        <v>295.20172147152994</v>
      </c>
      <c r="AN6" s="59">
        <f ca="1">AVERAGE(OFFSET($AM$3,0,0,'Données projet'!$E$10+1,1))-AVERAGE(OFFSET($H$3,0,0,'Données projet'!$E$10+1,1))</f>
        <v>218.3918302549892</v>
      </c>
      <c r="AO6" s="59">
        <f t="shared" si="36"/>
        <v>102.61932145411976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1.1538461538461537</v>
      </c>
      <c r="BD6" s="12">
        <f>IF('Données projet'!$A$88&gt;35,BD5+BC6-BL5,IF(A6&lt;'Données projet'!$A$88,$BA$205^A6,IF(A6='Données projet'!$A$88,'Données projet'!$B$88,BD5+BC6-BL5)))</f>
        <v>2.082784667907069</v>
      </c>
      <c r="BE6" s="13">
        <f>BD6*VLOOKUP('Données projet'!$B$11,Paramètres!$A$1:$I$89,3,0)*VLOOKUP('Données projet'!$B$11,Paramètres!$A$1:$I$89,5,0)</f>
        <v>1.8195206858836157</v>
      </c>
      <c r="BF6" s="13">
        <f t="shared" si="37"/>
        <v>0.78207799727029237</v>
      </c>
      <c r="BG6" s="20">
        <f t="shared" si="7"/>
        <v>4.531117706493057</v>
      </c>
      <c r="BH6" s="59">
        <f t="shared" si="8"/>
        <v>297.86445103982635</v>
      </c>
      <c r="BI6" s="59">
        <f ca="1">AVERAGE(OFFSET($BH$3,0,0,'Données projet'!$E$11+1,1))-AVERAGE(OFFSET($H$3,0,0,'Données projet'!$E$11+1,1))</f>
        <v>112.66486935566058</v>
      </c>
      <c r="BJ6" s="59">
        <f t="shared" si="38"/>
        <v>110.84860075828624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9.300476190476191</v>
      </c>
      <c r="N7" s="13">
        <f>IF('Données projet'!$A$36&gt;35,N6+M7-V6,IF(A7&lt;'Données projet'!$A$36,$K$205^A7,IF(A7='Données projet'!$A$36,'Données projet'!$B$36,N6+M7-V6)))</f>
        <v>2.7310425866451067</v>
      </c>
      <c r="O7" s="13">
        <f>N7*VLOOKUP('Données projet'!$B$9,Paramètres!$A$1:$I$89,3,0)*VLOOKUP('Données projet'!$B$9,Paramètres!$A$1:$I$89,5,0)</f>
        <v>1.5266528059346147</v>
      </c>
      <c r="P7" s="13">
        <f t="shared" si="33"/>
        <v>0.66973805492848271</v>
      </c>
      <c r="Q7" s="20">
        <f t="shared" si="2"/>
        <v>3.8253807493365612</v>
      </c>
      <c r="R7" s="59">
        <f t="shared" si="0"/>
        <v>297.15871408266986</v>
      </c>
      <c r="S7" s="59">
        <f ca="1">AVERAGE(OFFSET($R$3,0,0,'Données projet'!$E$9+1,1))-AVERAGE(OFFSET($H$3,0,0,'Données projet'!$E$9+1,1))</f>
        <v>314.07001555875894</v>
      </c>
      <c r="T7" s="59">
        <f t="shared" si="34"/>
        <v>281.53154885904991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8.1011764705882356</v>
      </c>
      <c r="AI7" s="13">
        <f>IF('Données projet'!$A$62&gt;35,AI6+AH7-AQ6,IF(A7&lt;'Données projet'!$A$62,$AF$205^A7,IF(A7='Données projet'!$A$62,'Données projet'!$B$62,AI6+AH7-AQ6)))</f>
        <v>1.9366984329009407</v>
      </c>
      <c r="AJ7" s="13">
        <f>AI7*VLOOKUP('Données projet'!$B$10,Paramètres!$A$1:$I$89,3,0)*VLOOKUP('Données projet'!$B$10,Paramètres!$A$1:$I$89,5,0)</f>
        <v>0.8560207073422158</v>
      </c>
      <c r="AK7" s="13">
        <f t="shared" si="35"/>
        <v>0.40169383484306037</v>
      </c>
      <c r="AL7" s="20">
        <f t="shared" si="4"/>
        <v>2.1905194943060229</v>
      </c>
      <c r="AM7" s="59">
        <f t="shared" si="5"/>
        <v>295.52385282763936</v>
      </c>
      <c r="AN7" s="59">
        <f ca="1">AVERAGE(OFFSET($AM$3,0,0,'Données projet'!$E$10+1,1))-AVERAGE(OFFSET($H$3,0,0,'Données projet'!$E$10+1,1))</f>
        <v>218.3918302549892</v>
      </c>
      <c r="AO7" s="59">
        <f t="shared" si="36"/>
        <v>102.61932145411976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1.1538461538461537</v>
      </c>
      <c r="BD7" s="12">
        <f>IF('Données projet'!$A$88&gt;35,BD6+BC7-BL6,IF(A7&lt;'Données projet'!$A$88,$BA$205^A7,IF(A7='Données projet'!$A$88,'Données projet'!$B$88,BD6+BC7-BL6)))</f>
        <v>2.6598623535098493</v>
      </c>
      <c r="BE7" s="13">
        <f>BD7*VLOOKUP('Données projet'!$B$11,Paramètres!$A$1:$I$89,3,0)*VLOOKUP('Données projet'!$B$11,Paramètres!$A$1:$I$89,5,0)</f>
        <v>2.3236557520262049</v>
      </c>
      <c r="BF7" s="13">
        <f t="shared" si="37"/>
        <v>0.97073671739205902</v>
      </c>
      <c r="BG7" s="20">
        <f t="shared" si="7"/>
        <v>5.7377335509034753</v>
      </c>
      <c r="BH7" s="59">
        <f t="shared" si="8"/>
        <v>299.07106688423681</v>
      </c>
      <c r="BI7" s="59">
        <f ca="1">AVERAGE(OFFSET($BH$3,0,0,'Données projet'!$E$11+1,1))-AVERAGE(OFFSET($H$3,0,0,'Données projet'!$E$11+1,1))</f>
        <v>112.66486935566058</v>
      </c>
      <c r="BJ7" s="59">
        <f t="shared" si="38"/>
        <v>110.84860075828624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9.300476190476191</v>
      </c>
      <c r="N8" s="13">
        <f>IF('Données projet'!$A$36&gt;35,N7+M8-V7,IF(A8&lt;'Données projet'!$A$36,$K$205^A8,IF(A8='Données projet'!$A$36,'Données projet'!$B$36,N7+M8-V7)))</f>
        <v>3.5108363842459145</v>
      </c>
      <c r="O8" s="13">
        <f>N8*VLOOKUP('Données projet'!$B$9,Paramètres!$A$1:$I$89,3,0)*VLOOKUP('Données projet'!$B$9,Paramètres!$A$1:$I$89,5,0)</f>
        <v>1.9625575387934662</v>
      </c>
      <c r="P8" s="13">
        <f t="shared" si="33"/>
        <v>0.83616105511893679</v>
      </c>
      <c r="Q8" s="20">
        <f t="shared" si="2"/>
        <v>4.8744348843974343</v>
      </c>
      <c r="R8" s="59">
        <f t="shared" si="0"/>
        <v>298.20776821773075</v>
      </c>
      <c r="S8" s="59">
        <f ca="1">AVERAGE(OFFSET($R$3,0,0,'Données projet'!$E$9+1,1))-AVERAGE(OFFSET($H$3,0,0,'Données projet'!$E$9+1,1))</f>
        <v>314.07001555875894</v>
      </c>
      <c r="T8" s="59">
        <f t="shared" si="34"/>
        <v>281.53154885904991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8.1011764705882356</v>
      </c>
      <c r="AI8" s="13">
        <f>IF('Données projet'!$A$62&gt;35,AI7+AH8-AQ7,IF(A8&lt;'Données projet'!$A$62,$AF$205^A8,IF(A8='Données projet'!$A$62,'Données projet'!$B$62,AI7+AH8-AQ7)))</f>
        <v>2.2846911606074896</v>
      </c>
      <c r="AJ8" s="13">
        <f>AI8*VLOOKUP('Données projet'!$B$10,Paramètres!$A$1:$I$89,3,0)*VLOOKUP('Données projet'!$B$10,Paramètres!$A$1:$I$89,5,0)</f>
        <v>1.0098334929885107</v>
      </c>
      <c r="AK8" s="13">
        <f t="shared" si="35"/>
        <v>0.46484392793985557</v>
      </c>
      <c r="AL8" s="20">
        <f t="shared" si="4"/>
        <v>2.5683965081169045</v>
      </c>
      <c r="AM8" s="59">
        <f t="shared" si="5"/>
        <v>295.90172984145022</v>
      </c>
      <c r="AN8" s="59">
        <f ca="1">AVERAGE(OFFSET($AM$3,0,0,'Données projet'!$E$10+1,1))-AVERAGE(OFFSET($H$3,0,0,'Données projet'!$E$10+1,1))</f>
        <v>218.3918302549892</v>
      </c>
      <c r="AO8" s="59">
        <f t="shared" si="36"/>
        <v>102.61932145411976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1.1538461538461537</v>
      </c>
      <c r="BD8" s="12">
        <f>IF('Données projet'!$A$88&gt;35,BD7+BC8-BL7,IF(A8&lt;'Données projet'!$A$88,$BA$205^A8,IF(A8='Données projet'!$A$88,'Données projet'!$B$88,BD7+BC8-BL7)))</f>
        <v>3.3968311024337861</v>
      </c>
      <c r="BE8" s="13">
        <f>BD8*VLOOKUP('Données projet'!$B$11,Paramètres!$A$1:$I$89,3,0)*VLOOKUP('Données projet'!$B$11,Paramètres!$A$1:$I$89,5,0)</f>
        <v>2.9674716510861558</v>
      </c>
      <c r="BF8" s="13">
        <f t="shared" si="37"/>
        <v>1.2049051089305018</v>
      </c>
      <c r="BG8" s="20">
        <f t="shared" si="7"/>
        <v>7.2668895236956779</v>
      </c>
      <c r="BH8" s="59">
        <f t="shared" si="8"/>
        <v>300.600222857029</v>
      </c>
      <c r="BI8" s="59">
        <f ca="1">AVERAGE(OFFSET($BH$3,0,0,'Données projet'!$E$11+1,1))-AVERAGE(OFFSET($H$3,0,0,'Données projet'!$E$11+1,1))</f>
        <v>112.66486935566058</v>
      </c>
      <c r="BJ8" s="59">
        <f t="shared" si="38"/>
        <v>110.84860075828624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9.300476190476191</v>
      </c>
      <c r="N9" s="13">
        <f>IF('Données projet'!$A$36&gt;35,N8+M9-V8,IF(A9&lt;'Données projet'!$A$36,$K$205^A9,IF(A9='Données projet'!$A$36,'Données projet'!$B$36,N8+M9-V8)))</f>
        <v>4.5132844786893322</v>
      </c>
      <c r="O9" s="13">
        <f>N9*VLOOKUP('Données projet'!$B$9,Paramètres!$A$1:$I$89,3,0)*VLOOKUP('Données projet'!$B$9,Paramètres!$A$1:$I$89,5,0)</f>
        <v>2.5229260235873365</v>
      </c>
      <c r="P9" s="13">
        <f t="shared" si="33"/>
        <v>1.0439384546728099</v>
      </c>
      <c r="Q9" s="20">
        <f t="shared" si="2"/>
        <v>6.2122889663030882</v>
      </c>
      <c r="R9" s="59">
        <f t="shared" si="0"/>
        <v>299.54562229963642</v>
      </c>
      <c r="S9" s="59">
        <f ca="1">AVERAGE(OFFSET($R$3,0,0,'Données projet'!$E$9+1,1))-AVERAGE(OFFSET($H$3,0,0,'Données projet'!$E$9+1,1))</f>
        <v>314.07001555875894</v>
      </c>
      <c r="T9" s="59">
        <f t="shared" si="34"/>
        <v>281.53154885904991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8.1011764705882356</v>
      </c>
      <c r="AI9" s="13">
        <f>IF('Données projet'!$A$62&gt;35,AI8+AH9-AQ8,IF(A9&lt;'Données projet'!$A$62,$AF$205^A9,IF(A9='Données projet'!$A$62,'Données projet'!$B$62,AI8+AH9-AQ8)))</f>
        <v>2.695212435081773</v>
      </c>
      <c r="AJ9" s="13">
        <f>AI9*VLOOKUP('Données projet'!$B$10,Paramètres!$A$1:$I$89,3,0)*VLOOKUP('Données projet'!$B$10,Paramètres!$A$1:$I$89,5,0)</f>
        <v>1.1912838963061438</v>
      </c>
      <c r="AK9" s="13">
        <f t="shared" si="35"/>
        <v>0.53792181656702498</v>
      </c>
      <c r="AL9" s="20">
        <f t="shared" si="4"/>
        <v>3.0116999499207693</v>
      </c>
      <c r="AM9" s="59">
        <f t="shared" si="5"/>
        <v>296.34503328325411</v>
      </c>
      <c r="AN9" s="59">
        <f ca="1">AVERAGE(OFFSET($AM$3,0,0,'Données projet'!$E$10+1,1))-AVERAGE(OFFSET($H$3,0,0,'Données projet'!$E$10+1,1))</f>
        <v>218.3918302549892</v>
      </c>
      <c r="AO9" s="59">
        <f t="shared" si="36"/>
        <v>102.61932145411976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1.1538461538461537</v>
      </c>
      <c r="BD9" s="12">
        <f>IF('Données projet'!$A$88&gt;35,BD8+BC9-BL8,IF(A9&lt;'Données projet'!$A$88,$BA$205^A9,IF(A9='Données projet'!$A$88,'Données projet'!$B$88,BD8+BC9-BL8)))</f>
        <v>4.3379919728687586</v>
      </c>
      <c r="BE9" s="13">
        <f>BD9*VLOOKUP('Données projet'!$B$11,Paramètres!$A$1:$I$89,3,0)*VLOOKUP('Données projet'!$B$11,Paramètres!$A$1:$I$89,5,0)</f>
        <v>3.789669787498148</v>
      </c>
      <c r="BF9" s="13">
        <f t="shared" si="37"/>
        <v>1.4955613561493386</v>
      </c>
      <c r="BG9" s="20">
        <f t="shared" si="7"/>
        <v>9.2051109085193712</v>
      </c>
      <c r="BH9" s="59">
        <f t="shared" si="8"/>
        <v>302.53844424185269</v>
      </c>
      <c r="BI9" s="59">
        <f ca="1">AVERAGE(OFFSET($BH$3,0,0,'Données projet'!$E$11+1,1))-AVERAGE(OFFSET($H$3,0,0,'Données projet'!$E$11+1,1))</f>
        <v>112.66486935566058</v>
      </c>
      <c r="BJ9" s="59">
        <f t="shared" si="38"/>
        <v>110.84860075828624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9.300476190476191</v>
      </c>
      <c r="N10" s="13">
        <f>IF('Données projet'!$A$36&gt;35,N9+M10-V9,IF(A10&lt;'Données projet'!$A$36,$K$205^A10,IF(A10='Données projet'!$A$36,'Données projet'!$B$36,N9+M10-V9)))</f>
        <v>5.8019612867699086</v>
      </c>
      <c r="O10" s="13">
        <f>N10*VLOOKUP('Données projet'!$B$9,Paramètres!$A$1:$I$89,3,0)*VLOOKUP('Données projet'!$B$9,Paramètres!$A$1:$I$89,5,0)</f>
        <v>3.2432963593043791</v>
      </c>
      <c r="P10" s="13">
        <f t="shared" si="33"/>
        <v>1.3033463953779079</v>
      </c>
      <c r="Q10" s="20">
        <f t="shared" si="2"/>
        <v>7.9187361310716495</v>
      </c>
      <c r="R10" s="59">
        <f t="shared" si="0"/>
        <v>301.25206946440494</v>
      </c>
      <c r="S10" s="59">
        <f ca="1">AVERAGE(OFFSET($R$3,0,0,'Données projet'!$E$9+1,1))-AVERAGE(OFFSET($H$3,0,0,'Données projet'!$E$9+1,1))</f>
        <v>314.07001555875894</v>
      </c>
      <c r="T10" s="59">
        <f t="shared" si="34"/>
        <v>281.53154885904991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8.1011764705882356</v>
      </c>
      <c r="AI10" s="13">
        <f>IF('Données projet'!$A$62&gt;35,AI9+AH10-AQ9,IF(A10&lt;'Données projet'!$A$62,$AF$205^A10,IF(A10='Données projet'!$A$62,'Données projet'!$B$62,AI9+AH10-AQ9)))</f>
        <v>3.1794976036445592</v>
      </c>
      <c r="AJ10" s="13">
        <f>AI10*VLOOKUP('Données projet'!$B$10,Paramètres!$A$1:$I$89,3,0)*VLOOKUP('Données projet'!$B$10,Paramètres!$A$1:$I$89,5,0)</f>
        <v>1.4053379408108955</v>
      </c>
      <c r="AK10" s="13">
        <f t="shared" si="35"/>
        <v>0.62248824464844332</v>
      </c>
      <c r="AL10" s="20">
        <f t="shared" si="4"/>
        <v>3.531797273008348</v>
      </c>
      <c r="AM10" s="59">
        <f t="shared" si="5"/>
        <v>296.86513060634167</v>
      </c>
      <c r="AN10" s="59">
        <f ca="1">AVERAGE(OFFSET($AM$3,0,0,'Données projet'!$E$10+1,1))-AVERAGE(OFFSET($H$3,0,0,'Données projet'!$E$10+1,1))</f>
        <v>218.3918302549892</v>
      </c>
      <c r="AO10" s="59">
        <f t="shared" si="36"/>
        <v>102.61932145411976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1.1538461538461537</v>
      </c>
      <c r="BD10" s="12">
        <f>IF('Données projet'!$A$88&gt;35,BD9+BC10-BL9,IF(A10&lt;'Données projet'!$A$88,$BA$205^A10,IF(A10='Données projet'!$A$88,'Données projet'!$B$88,BD9+BC10-BL9)))</f>
        <v>5.5399205286335267</v>
      </c>
      <c r="BE10" s="13">
        <f>BD10*VLOOKUP('Données projet'!$B$11,Paramètres!$A$1:$I$89,3,0)*VLOOKUP('Données projet'!$B$11,Paramètres!$A$1:$I$89,5,0)</f>
        <v>4.8396745738142499</v>
      </c>
      <c r="BF10" s="13">
        <f t="shared" si="37"/>
        <v>1.8563318832572566</v>
      </c>
      <c r="BG10" s="20">
        <f t="shared" si="7"/>
        <v>11.662211246066207</v>
      </c>
      <c r="BH10" s="59">
        <f t="shared" si="8"/>
        <v>304.99554457939951</v>
      </c>
      <c r="BI10" s="59">
        <f ca="1">AVERAGE(OFFSET($BH$3,0,0,'Données projet'!$E$11+1,1))-AVERAGE(OFFSET($H$3,0,0,'Données projet'!$E$11+1,1))</f>
        <v>112.66486935566058</v>
      </c>
      <c r="BJ10" s="59">
        <f t="shared" si="38"/>
        <v>110.84860075828624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9.300476190476191</v>
      </c>
      <c r="N11" s="13">
        <f>IF('Données projet'!$A$36&gt;35,N10+M11-V10,IF(A11&lt;'Données projet'!$A$36,$K$205^A11,IF(A11='Données projet'!$A$36,'Données projet'!$B$36,N10+M11-V10)))</f>
        <v>7.4585936100691947</v>
      </c>
      <c r="O11" s="13">
        <f>N11*VLOOKUP('Données projet'!$B$9,Paramètres!$A$1:$I$89,3,0)*VLOOKUP('Données projet'!$B$9,Paramètres!$A$1:$I$89,5,0)</f>
        <v>4.1693538280286795</v>
      </c>
      <c r="P11" s="13">
        <f t="shared" si="33"/>
        <v>1.6272145342868833</v>
      </c>
      <c r="Q11" s="20">
        <f t="shared" si="2"/>
        <v>10.095689897699605</v>
      </c>
      <c r="R11" s="59">
        <f t="shared" si="0"/>
        <v>303.42902323103294</v>
      </c>
      <c r="S11" s="59">
        <f ca="1">AVERAGE(OFFSET($R$3,0,0,'Données projet'!$E$9+1,1))-AVERAGE(OFFSET($H$3,0,0,'Données projet'!$E$9+1,1))</f>
        <v>314.07001555875894</v>
      </c>
      <c r="T11" s="59">
        <f t="shared" si="34"/>
        <v>281.53154885904991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8.1011764705882356</v>
      </c>
      <c r="AI11" s="13">
        <f>IF('Données projet'!$A$62&gt;35,AI10+AH11-AQ10,IF(A11&lt;'Données projet'!$A$62,$AF$205^A11,IF(A11='Données projet'!$A$62,'Données projet'!$B$62,AI10+AH11-AQ10)))</f>
        <v>3.7508008200009595</v>
      </c>
      <c r="AJ11" s="13">
        <f>AI11*VLOOKUP('Données projet'!$B$10,Paramètres!$A$1:$I$89,3,0)*VLOOKUP('Données projet'!$B$10,Paramètres!$A$1:$I$89,5,0)</f>
        <v>1.6578539624404243</v>
      </c>
      <c r="AK11" s="13">
        <f t="shared" si="35"/>
        <v>0.72034931990385032</v>
      </c>
      <c r="AL11" s="20">
        <f t="shared" si="4"/>
        <v>4.1420373834162785</v>
      </c>
      <c r="AM11" s="59">
        <f t="shared" si="5"/>
        <v>297.47537071674958</v>
      </c>
      <c r="AN11" s="59">
        <f ca="1">AVERAGE(OFFSET($AM$3,0,0,'Données projet'!$E$10+1,1))-AVERAGE(OFFSET($H$3,0,0,'Données projet'!$E$10+1,1))</f>
        <v>218.3918302549892</v>
      </c>
      <c r="AO11" s="59">
        <f t="shared" si="36"/>
        <v>102.61932145411976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1.1538461538461537</v>
      </c>
      <c r="BD11" s="12">
        <f>IF('Données projet'!$A$88&gt;35,BD10+BC11-BL10,IF(A11&lt;'Données projet'!$A$88,$BA$205^A11,IF(A11='Données projet'!$A$88,'Données projet'!$B$88,BD10+BC11-BL10)))</f>
        <v>7.0748677396189548</v>
      </c>
      <c r="BE11" s="13">
        <f>BD11*VLOOKUP('Données projet'!$B$11,Paramètres!$A$1:$I$89,3,0)*VLOOKUP('Données projet'!$B$11,Paramètres!$A$1:$I$89,5,0)</f>
        <v>6.1806044573311194</v>
      </c>
      <c r="BF11" s="13">
        <f t="shared" si="37"/>
        <v>2.304130182709359</v>
      </c>
      <c r="BG11" s="20">
        <f t="shared" si="7"/>
        <v>14.777579498070502</v>
      </c>
      <c r="BH11" s="59">
        <f t="shared" si="8"/>
        <v>308.11091283140382</v>
      </c>
      <c r="BI11" s="59">
        <f ca="1">AVERAGE(OFFSET($BH$3,0,0,'Données projet'!$E$11+1,1))-AVERAGE(OFFSET($H$3,0,0,'Données projet'!$E$11+1,1))</f>
        <v>112.66486935566058</v>
      </c>
      <c r="BJ11" s="59">
        <f t="shared" si="38"/>
        <v>110.84860075828624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9.300476190476191</v>
      </c>
      <c r="N12" s="13">
        <f>IF('Données projet'!$A$36&gt;35,N11+M12-V11,IF(A12&lt;'Données projet'!$A$36,$K$205^A12,IF(A12='Données projet'!$A$36,'Données projet'!$B$36,N11+M12-V11)))</f>
        <v>9.5882436801187154</v>
      </c>
      <c r="O12" s="13">
        <f>N12*VLOOKUP('Données projet'!$B$9,Paramètres!$A$1:$I$89,3,0)*VLOOKUP('Données projet'!$B$9,Paramètres!$A$1:$I$89,5,0)</f>
        <v>5.3598282171863616</v>
      </c>
      <c r="P12" s="13">
        <f t="shared" si="33"/>
        <v>2.0315605659282445</v>
      </c>
      <c r="Q12" s="20">
        <f t="shared" si="2"/>
        <v>12.873335463924604</v>
      </c>
      <c r="R12" s="59">
        <f t="shared" si="0"/>
        <v>306.20666879725792</v>
      </c>
      <c r="S12" s="59">
        <f ca="1">AVERAGE(OFFSET($R$3,0,0,'Données projet'!$E$9+1,1))-AVERAGE(OFFSET($H$3,0,0,'Données projet'!$E$9+1,1))</f>
        <v>314.07001555875894</v>
      </c>
      <c r="T12" s="59">
        <f t="shared" si="34"/>
        <v>281.53154885904991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8.1011764705882356</v>
      </c>
      <c r="AI12" s="13">
        <f>IF('Données projet'!$A$62&gt;35,AI11+AH12-AQ11,IF(A12&lt;'Données projet'!$A$62,$AF$205^A12,IF(A12='Données projet'!$A$62,'Données projet'!$B$62,AI11+AH12-AQ11)))</f>
        <v>4.4247577904111566</v>
      </c>
      <c r="AJ12" s="13">
        <f>AI12*VLOOKUP('Données projet'!$B$10,Paramètres!$A$1:$I$89,3,0)*VLOOKUP('Données projet'!$B$10,Paramètres!$A$1:$I$89,5,0)</f>
        <v>1.9557429433617315</v>
      </c>
      <c r="AK12" s="13">
        <f t="shared" si="35"/>
        <v>0.83359508737228549</v>
      </c>
      <c r="AL12" s="20">
        <f t="shared" si="4"/>
        <v>4.8580970701950799</v>
      </c>
      <c r="AM12" s="59">
        <f t="shared" si="5"/>
        <v>298.19143040352839</v>
      </c>
      <c r="AN12" s="59">
        <f ca="1">AVERAGE(OFFSET($AM$3,0,0,'Données projet'!$E$10+1,1))-AVERAGE(OFFSET($H$3,0,0,'Données projet'!$E$10+1,1))</f>
        <v>218.3918302549892</v>
      </c>
      <c r="AO12" s="59">
        <f t="shared" si="36"/>
        <v>102.61932145411976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1.1538461538461537</v>
      </c>
      <c r="BD12" s="12">
        <f>IF('Données projet'!$A$88&gt;35,BD11+BC12-BL11,IF(A12&lt;'Données projet'!$A$88,$BA$205^A12,IF(A12='Données projet'!$A$88,'Données projet'!$B$88,BD11+BC12-BL11)))</f>
        <v>9.0351031705949865</v>
      </c>
      <c r="BE12" s="13">
        <f>BD12*VLOOKUP('Données projet'!$B$11,Paramètres!$A$1:$I$89,3,0)*VLOOKUP('Données projet'!$B$11,Paramètres!$A$1:$I$89,5,0)</f>
        <v>7.893066129831781</v>
      </c>
      <c r="BF12" s="13">
        <f t="shared" si="37"/>
        <v>2.8599497464627262</v>
      </c>
      <c r="BG12" s="20">
        <f t="shared" si="7"/>
        <v>18.728169317879601</v>
      </c>
      <c r="BH12" s="59">
        <f t="shared" si="8"/>
        <v>312.06150265121289</v>
      </c>
      <c r="BI12" s="59">
        <f ca="1">AVERAGE(OFFSET($BH$3,0,0,'Données projet'!$E$11+1,1))-AVERAGE(OFFSET($H$3,0,0,'Données projet'!$E$11+1,1))</f>
        <v>112.66486935566058</v>
      </c>
      <c r="BJ12" s="59">
        <f t="shared" si="38"/>
        <v>110.84860075828624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9.300476190476191</v>
      </c>
      <c r="N13" s="13">
        <f>IF('Données projet'!$A$36&gt;35,N12+M13-V12,IF(A13&lt;'Données projet'!$A$36,$K$205^A13,IF(A13='Données projet'!$A$36,'Données projet'!$B$36,N12+M13-V12)))</f>
        <v>12.325972116944925</v>
      </c>
      <c r="O13" s="13">
        <f>N13*VLOOKUP('Données projet'!$B$9,Paramètres!$A$1:$I$89,3,0)*VLOOKUP('Données projet'!$B$9,Paramètres!$A$1:$I$89,5,0)</f>
        <v>6.8902184133722137</v>
      </c>
      <c r="P13" s="13">
        <f t="shared" si="33"/>
        <v>2.5363824167434852</v>
      </c>
      <c r="Q13" s="20">
        <f t="shared" si="2"/>
        <v>16.417996445784841</v>
      </c>
      <c r="R13" s="59">
        <f t="shared" si="0"/>
        <v>309.75132977911818</v>
      </c>
      <c r="S13" s="59">
        <f ca="1">AVERAGE(OFFSET($R$3,0,0,'Données projet'!$E$9+1,1))-AVERAGE(OFFSET($H$3,0,0,'Données projet'!$E$9+1,1))</f>
        <v>314.07001555875894</v>
      </c>
      <c r="T13" s="59">
        <f t="shared" si="34"/>
        <v>281.53154885904991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8.1011764705882356</v>
      </c>
      <c r="AI13" s="13">
        <f>IF('Données projet'!$A$62&gt;35,AI12+AH13-AQ12,IF(A13&lt;'Données projet'!$A$62,$AF$205^A13,IF(A13='Données projet'!$A$62,'Données projet'!$B$62,AI12+AH13-AQ12)))</f>
        <v>5.2198136993579984</v>
      </c>
      <c r="AJ13" s="13">
        <f>AI13*VLOOKUP('Données projet'!$B$10,Paramètres!$A$1:$I$89,3,0)*VLOOKUP('Données projet'!$B$10,Paramètres!$A$1:$I$89,5,0)</f>
        <v>2.3071576551162356</v>
      </c>
      <c r="AK13" s="13">
        <f t="shared" si="35"/>
        <v>0.96464416706044576</v>
      </c>
      <c r="AL13" s="20">
        <f t="shared" si="4"/>
        <v>5.6983881736243864</v>
      </c>
      <c r="AM13" s="59">
        <f t="shared" si="5"/>
        <v>299.03172150695769</v>
      </c>
      <c r="AN13" s="59">
        <f ca="1">AVERAGE(OFFSET($AM$3,0,0,'Données projet'!$E$10+1,1))-AVERAGE(OFFSET($H$3,0,0,'Données projet'!$E$10+1,1))</f>
        <v>218.3918302549892</v>
      </c>
      <c r="AO13" s="59">
        <f t="shared" si="36"/>
        <v>102.61932145411976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11.538461538461538</v>
      </c>
      <c r="BB13" s="12">
        <f>VLOOKUP(A13,'Données projet'!$A$87:$I$107,9,0)</f>
        <v>1.1538461538461537</v>
      </c>
      <c r="BC13" s="12">
        <f t="array" ref="BC13">INDEX(BB:BB,MIN(IF(ISNUMBER(BB13:BB209),ROW(BB13:BB209),"")))</f>
        <v>1.1538461538461537</v>
      </c>
      <c r="BD13" s="12">
        <f>IF('Données projet'!$A$88&gt;35,BD12+BC13-BL12,IF(A13&lt;'Données projet'!$A$88,$BA$205^A13,IF(A13='Données projet'!$A$88,'Données projet'!$B$88,BD12+BC13-BL12)))</f>
        <v>11.538461538461538</v>
      </c>
      <c r="BE13" s="13">
        <f>BD13*VLOOKUP('Données projet'!$B$11,Paramètres!$A$1:$I$89,3,0)*VLOOKUP('Données projet'!$B$11,Paramètres!$A$1:$I$89,5,0)</f>
        <v>10.08</v>
      </c>
      <c r="BF13" s="13">
        <f t="shared" si="37"/>
        <v>3.5498482740564596</v>
      </c>
      <c r="BG13" s="20">
        <f t="shared" si="7"/>
        <v>23.738652410648331</v>
      </c>
      <c r="BH13" s="59">
        <f t="shared" si="8"/>
        <v>317.07198574398166</v>
      </c>
      <c r="BI13" s="59">
        <f ca="1">AVERAGE(OFFSET($BH$3,0,0,'Données projet'!$E$11+1,1))-AVERAGE(OFFSET($H$3,0,0,'Données projet'!$E$11+1,1))</f>
        <v>112.66486935566058</v>
      </c>
      <c r="BJ13" s="59">
        <f t="shared" si="38"/>
        <v>110.84860075828624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0.215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9.300476190476191</v>
      </c>
      <c r="N14" s="13">
        <f>IF('Données projet'!$A$36&gt;35,N13+M14-V13,IF(A14&lt;'Données projet'!$A$36,$K$205^A14,IF(A14='Données projet'!$A$36,'Données projet'!$B$36,N13+M14-V13)))</f>
        <v>15.845403360234862</v>
      </c>
      <c r="O14" s="13">
        <f>N14*VLOOKUP('Données projet'!$B$9,Paramètres!$A$1:$I$89,3,0)*VLOOKUP('Données projet'!$B$9,Paramètres!$A$1:$I$89,5,0)</f>
        <v>8.8575804783712879</v>
      </c>
      <c r="P14" s="13">
        <f t="shared" si="33"/>
        <v>3.1666472916725947</v>
      </c>
      <c r="Q14" s="20">
        <f t="shared" si="2"/>
        <v>20.942196699493092</v>
      </c>
      <c r="R14" s="59">
        <f t="shared" si="0"/>
        <v>314.2755300328264</v>
      </c>
      <c r="S14" s="59">
        <f ca="1">AVERAGE(OFFSET($R$3,0,0,'Données projet'!$E$9+1,1))-AVERAGE(OFFSET($H$3,0,0,'Données projet'!$E$9+1,1))</f>
        <v>314.07001555875894</v>
      </c>
      <c r="T14" s="59">
        <f t="shared" si="34"/>
        <v>281.53154885904991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8.1011764705882356</v>
      </c>
      <c r="AI14" s="13">
        <f>IF('Données projet'!$A$62&gt;35,AI13+AH14-AQ13,IF(A14&lt;'Données projet'!$A$62,$AF$205^A14,IF(A14='Données projet'!$A$62,'Données projet'!$B$62,AI13+AH14-AQ13)))</f>
        <v>6.1577280263907141</v>
      </c>
      <c r="AJ14" s="13">
        <f>AI14*VLOOKUP('Données projet'!$B$10,Paramètres!$A$1:$I$89,3,0)*VLOOKUP('Données projet'!$B$10,Paramètres!$A$1:$I$89,5,0)</f>
        <v>2.7217157876646958</v>
      </c>
      <c r="AK14" s="13">
        <f t="shared" si="35"/>
        <v>1.1162954090541088</v>
      </c>
      <c r="AL14" s="20">
        <f t="shared" si="4"/>
        <v>6.6845361676185853</v>
      </c>
      <c r="AM14" s="59">
        <f t="shared" si="5"/>
        <v>300.01786950095192</v>
      </c>
      <c r="AN14" s="59">
        <f ca="1">AVERAGE(OFFSET($AM$3,0,0,'Données projet'!$E$10+1,1))-AVERAGE(OFFSET($H$3,0,0,'Données projet'!$E$10+1,1))</f>
        <v>218.3918302549892</v>
      </c>
      <c r="AO14" s="59">
        <f t="shared" si="36"/>
        <v>102.61932145411976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3.7179487179487181</v>
      </c>
      <c r="BD14" s="12">
        <f>IF('Données projet'!$A$88&gt;35,BD13+BC14-BL13,IF(A14&lt;'Données projet'!$A$88,$BA$205^A14,IF(A14='Données projet'!$A$88,'Données projet'!$B$88,BD13+BC14-BL13)))</f>
        <v>15.256410256410255</v>
      </c>
      <c r="BE14" s="13">
        <f>BD14*VLOOKUP('Données projet'!$B$11,Paramètres!$A$1:$I$89,3,0)*VLOOKUP('Données projet'!$B$11,Paramètres!$A$1:$I$89,5,0)</f>
        <v>13.327999999999999</v>
      </c>
      <c r="BF14" s="13">
        <f t="shared" si="37"/>
        <v>4.5435405124247303</v>
      </c>
      <c r="BG14" s="20">
        <f t="shared" si="7"/>
        <v>31.12626639247307</v>
      </c>
      <c r="BH14" s="59">
        <f t="shared" si="8"/>
        <v>324.45959972580636</v>
      </c>
      <c r="BI14" s="59">
        <f ca="1">AVERAGE(OFFSET($BH$3,0,0,'Données projet'!$E$11+1,1))-AVERAGE(OFFSET($H$3,0,0,'Données projet'!$E$11+1,1))</f>
        <v>112.66486935566058</v>
      </c>
      <c r="BJ14" s="59">
        <f t="shared" si="38"/>
        <v>110.84860075828624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9.300476190476191</v>
      </c>
      <c r="N15" s="13">
        <f>IF('Données projet'!$A$36&gt;35,N14+M15-V14,IF(A15&lt;'Données projet'!$A$36,$K$205^A15,IF(A15='Données projet'!$A$36,'Données projet'!$B$36,N14+M15-V14)))</f>
        <v>20.369736785578038</v>
      </c>
      <c r="O15" s="13">
        <f>N15*VLOOKUP('Données projet'!$B$9,Paramètres!$A$1:$I$89,3,0)*VLOOKUP('Données projet'!$B$9,Paramètres!$A$1:$I$89,5,0)</f>
        <v>11.386682863138123</v>
      </c>
      <c r="P15" s="13">
        <f t="shared" si="33"/>
        <v>3.9535264886168462</v>
      </c>
      <c r="Q15" s="20">
        <f t="shared" si="2"/>
        <v>26.717531287639904</v>
      </c>
      <c r="R15" s="59">
        <f t="shared" si="0"/>
        <v>320.05086462097324</v>
      </c>
      <c r="S15" s="59">
        <f ca="1">AVERAGE(OFFSET($R$3,0,0,'Données projet'!$E$9+1,1))-AVERAGE(OFFSET($H$3,0,0,'Données projet'!$E$9+1,1))</f>
        <v>314.07001555875894</v>
      </c>
      <c r="T15" s="59">
        <f t="shared" si="34"/>
        <v>281.53154885904991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8.1011764705882356</v>
      </c>
      <c r="AI15" s="13">
        <f>IF('Données projet'!$A$62&gt;35,AI14+AH15-AQ14,IF(A15&lt;'Données projet'!$A$62,$AF$205^A15,IF(A15='Données projet'!$A$62,'Données projet'!$B$62,AI14+AH15-AQ14)))</f>
        <v>7.2641700702194214</v>
      </c>
      <c r="AJ15" s="13">
        <f>AI15*VLOOKUP('Données projet'!$B$10,Paramètres!$A$1:$I$89,3,0)*VLOOKUP('Données projet'!$B$10,Paramètres!$A$1:$I$89,5,0)</f>
        <v>3.2107631710369846</v>
      </c>
      <c r="AK15" s="13">
        <f t="shared" si="35"/>
        <v>1.2917876693045895</v>
      </c>
      <c r="AL15" s="20">
        <f t="shared" si="4"/>
        <v>7.841942713594908</v>
      </c>
      <c r="AM15" s="59">
        <f t="shared" si="5"/>
        <v>301.17527604692822</v>
      </c>
      <c r="AN15" s="59">
        <f ca="1">AVERAGE(OFFSET($AM$3,0,0,'Données projet'!$E$10+1,1))-AVERAGE(OFFSET($H$3,0,0,'Données projet'!$E$10+1,1))</f>
        <v>218.3918302549892</v>
      </c>
      <c r="AO15" s="59">
        <f t="shared" si="36"/>
        <v>102.61932145411976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3.7179487179487181</v>
      </c>
      <c r="BD15" s="12">
        <f>IF('Données projet'!$A$88&gt;35,BD14+BC15-BL14,IF(A15&lt;'Données projet'!$A$88,$BA$205^A15,IF(A15='Données projet'!$A$88,'Données projet'!$B$88,BD14+BC15-BL14)))</f>
        <v>18.974358974358974</v>
      </c>
      <c r="BE15" s="13">
        <f>BD15*VLOOKUP('Données projet'!$B$11,Paramètres!$A$1:$I$89,3,0)*VLOOKUP('Données projet'!$B$11,Paramètres!$A$1:$I$89,5,0)</f>
        <v>16.576000000000004</v>
      </c>
      <c r="BF15" s="13">
        <f t="shared" si="37"/>
        <v>5.5091470083875844</v>
      </c>
      <c r="BG15" s="20">
        <f t="shared" si="7"/>
        <v>38.464964372941715</v>
      </c>
      <c r="BH15" s="59">
        <f t="shared" si="8"/>
        <v>331.79829770627504</v>
      </c>
      <c r="BI15" s="59">
        <f ca="1">AVERAGE(OFFSET($BH$3,0,0,'Données projet'!$E$11+1,1))-AVERAGE(OFFSET($H$3,0,0,'Données projet'!$E$11+1,1))</f>
        <v>112.66486935566058</v>
      </c>
      <c r="BJ15" s="59">
        <f t="shared" si="38"/>
        <v>110.84860075828624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9.300476190476191</v>
      </c>
      <c r="N16" s="13">
        <f>IF('Données projet'!$A$36&gt;35,N15+M16-V15,IF(A16&lt;'Données projet'!$A$36,$K$205^A16,IF(A16='Données projet'!$A$36,'Données projet'!$B$36,N15+M16-V15)))</f>
        <v>26.185901821535015</v>
      </c>
      <c r="O16" s="13">
        <f>N16*VLOOKUP('Données projet'!$B$9,Paramètres!$A$1:$I$89,3,0)*VLOOKUP('Données projet'!$B$9,Paramètres!$A$1:$I$89,5,0)</f>
        <v>14.637919118238074</v>
      </c>
      <c r="P16" s="13">
        <f t="shared" si="33"/>
        <v>4.935937051561945</v>
      </c>
      <c r="Q16" s="20">
        <f t="shared" si="2"/>
        <v>34.091132829068357</v>
      </c>
      <c r="R16" s="59">
        <f t="shared" si="0"/>
        <v>327.4244661624017</v>
      </c>
      <c r="S16" s="59">
        <f ca="1">AVERAGE(OFFSET($R$3,0,0,'Données projet'!$E$9+1,1))-AVERAGE(OFFSET($H$3,0,0,'Données projet'!$E$9+1,1))</f>
        <v>314.07001555875894</v>
      </c>
      <c r="T16" s="59">
        <f t="shared" si="34"/>
        <v>281.53154885904991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8.1011764705882356</v>
      </c>
      <c r="AI16" s="13">
        <f>IF('Données projet'!$A$62&gt;35,AI15+AH16-AQ15,IF(A16&lt;'Données projet'!$A$62,$AF$205^A16,IF(A16='Données projet'!$A$62,'Données projet'!$B$62,AI15+AH16-AQ15)))</f>
        <v>8.5694214786555154</v>
      </c>
      <c r="AJ16" s="13">
        <f>AI16*VLOOKUP('Données projet'!$B$10,Paramètres!$A$1:$I$89,3,0)*VLOOKUP('Données projet'!$B$10,Paramètres!$A$1:$I$89,5,0)</f>
        <v>3.787684293565738</v>
      </c>
      <c r="AK16" s="13">
        <f t="shared" si="35"/>
        <v>1.4948689827376132</v>
      </c>
      <c r="AL16" s="20">
        <f t="shared" si="4"/>
        <v>9.2004469562283351</v>
      </c>
      <c r="AM16" s="59">
        <f t="shared" si="5"/>
        <v>302.53378028956166</v>
      </c>
      <c r="AN16" s="59">
        <f ca="1">AVERAGE(OFFSET($AM$3,0,0,'Données projet'!$E$10+1,1))-AVERAGE(OFFSET($H$3,0,0,'Données projet'!$E$10+1,1))</f>
        <v>218.3918302549892</v>
      </c>
      <c r="AO16" s="59">
        <f t="shared" si="36"/>
        <v>102.61932145411976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3.7179487179487181</v>
      </c>
      <c r="BD16" s="12">
        <f>IF('Données projet'!$A$88&gt;35,BD15+BC16-BL15,IF(A16&lt;'Données projet'!$A$88,$BA$205^A16,IF(A16='Données projet'!$A$88,'Données projet'!$B$88,BD15+BC16-BL15)))</f>
        <v>22.692307692307693</v>
      </c>
      <c r="BE16" s="13">
        <f>BD16*VLOOKUP('Données projet'!$B$11,Paramètres!$A$1:$I$89,3,0)*VLOOKUP('Données projet'!$B$11,Paramètres!$A$1:$I$89,5,0)</f>
        <v>19.824000000000002</v>
      </c>
      <c r="BF16" s="13">
        <f t="shared" si="37"/>
        <v>6.4528309524329259</v>
      </c>
      <c r="BG16" s="20">
        <f t="shared" si="7"/>
        <v>45.765480575487345</v>
      </c>
      <c r="BH16" s="59">
        <f t="shared" si="8"/>
        <v>339.09881390882066</v>
      </c>
      <c r="BI16" s="59">
        <f ca="1">AVERAGE(OFFSET($BH$3,0,0,'Données projet'!$E$11+1,1))-AVERAGE(OFFSET($H$3,0,0,'Données projet'!$E$11+1,1))</f>
        <v>112.66486935566058</v>
      </c>
      <c r="BJ16" s="59">
        <f t="shared" si="38"/>
        <v>110.84860075828624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9.300476190476191</v>
      </c>
      <c r="N17" s="13">
        <f>IF('Données projet'!$A$36&gt;35,N16+M17-V16,IF(A17&lt;'Données projet'!$A$36,$K$205^A17,IF(A17='Données projet'!$A$36,'Données projet'!$B$36,N16+M17-V16)))</f>
        <v>33.662754773176729</v>
      </c>
      <c r="O17" s="13">
        <f>N17*VLOOKUP('Données projet'!$B$9,Paramètres!$A$1:$I$89,3,0)*VLOOKUP('Données projet'!$B$9,Paramètres!$A$1:$I$89,5,0)</f>
        <v>18.817479918205791</v>
      </c>
      <c r="P17" s="13">
        <f t="shared" si="33"/>
        <v>6.1624665086044912</v>
      </c>
      <c r="Q17" s="20">
        <f t="shared" si="2"/>
        <v>43.50674002669458</v>
      </c>
      <c r="R17" s="59">
        <f t="shared" si="0"/>
        <v>336.84007336002787</v>
      </c>
      <c r="S17" s="59">
        <f ca="1">AVERAGE(OFFSET($R$3,0,0,'Données projet'!$E$9+1,1))-AVERAGE(OFFSET($H$3,0,0,'Données projet'!$E$9+1,1))</f>
        <v>314.07001555875894</v>
      </c>
      <c r="T17" s="59">
        <f t="shared" si="34"/>
        <v>281.53154885904991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8.1011764705882356</v>
      </c>
      <c r="AI17" s="13">
        <f>IF('Données projet'!$A$62&gt;35,AI16+AH17-AQ16,IF(A17&lt;'Données projet'!$A$62,$AF$205^A17,IF(A17='Données projet'!$A$62,'Données projet'!$B$62,AI16+AH17-AQ16)))</f>
        <v>10.109205011581498</v>
      </c>
      <c r="AJ17" s="13">
        <f>AI17*VLOOKUP('Données projet'!$B$10,Paramètres!$A$1:$I$89,3,0)*VLOOKUP('Données projet'!$B$10,Paramètres!$A$1:$I$89,5,0)</f>
        <v>4.4682686151190225</v>
      </c>
      <c r="AK17" s="13">
        <f t="shared" si="35"/>
        <v>1.7298766110331132</v>
      </c>
      <c r="AL17" s="20">
        <f t="shared" si="4"/>
        <v>10.7951029355483</v>
      </c>
      <c r="AM17" s="59">
        <f t="shared" si="5"/>
        <v>304.12843626888161</v>
      </c>
      <c r="AN17" s="59">
        <f ca="1">AVERAGE(OFFSET($AM$3,0,0,'Données projet'!$E$10+1,1))-AVERAGE(OFFSET($H$3,0,0,'Données projet'!$E$10+1,1))</f>
        <v>218.3918302549892</v>
      </c>
      <c r="AO17" s="59">
        <f t="shared" si="36"/>
        <v>102.61932145411976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3.7179487179487181</v>
      </c>
      <c r="BD17" s="12">
        <f>IF('Données projet'!$A$88&gt;35,BD16+BC17-BL16,IF(A17&lt;'Données projet'!$A$88,$BA$205^A17,IF(A17='Données projet'!$A$88,'Données projet'!$B$88,BD16+BC17-BL16)))</f>
        <v>26.410256410256412</v>
      </c>
      <c r="BE17" s="13">
        <f>BD17*VLOOKUP('Données projet'!$B$11,Paramètres!$A$1:$I$89,3,0)*VLOOKUP('Données projet'!$B$11,Paramètres!$A$1:$I$89,5,0)</f>
        <v>23.072000000000006</v>
      </c>
      <c r="BF17" s="13">
        <f t="shared" si="37"/>
        <v>7.3786037054639166</v>
      </c>
      <c r="BG17" s="20">
        <f t="shared" si="7"/>
        <v>53.034801453682995</v>
      </c>
      <c r="BH17" s="59">
        <f t="shared" si="8"/>
        <v>346.36813478701629</v>
      </c>
      <c r="BI17" s="59">
        <f ca="1">AVERAGE(OFFSET($BH$3,0,0,'Données projet'!$E$11+1,1))-AVERAGE(OFFSET($H$3,0,0,'Données projet'!$E$11+1,1))</f>
        <v>112.66486935566058</v>
      </c>
      <c r="BJ17" s="59">
        <f t="shared" si="38"/>
        <v>110.84860075828624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9.300476190476191</v>
      </c>
      <c r="N18" s="13">
        <f>IF('Données projet'!$A$36&gt;35,N17+M18-V17,IF(A18&lt;'Données projet'!$A$36,$K$205^A18,IF(A18='Données projet'!$A$36,'Données projet'!$B$36,N17+M18-V17)))</f>
        <v>43.274471379370887</v>
      </c>
      <c r="O18" s="13">
        <f>N18*VLOOKUP('Données projet'!$B$9,Paramètres!$A$1:$I$89,3,0)*VLOOKUP('Données projet'!$B$9,Paramètres!$A$1:$I$89,5,0)</f>
        <v>24.190429501068326</v>
      </c>
      <c r="P18" s="13">
        <f t="shared" si="33"/>
        <v>7.6937758875297604</v>
      </c>
      <c r="Q18" s="20">
        <f t="shared" si="2"/>
        <v>55.531657718475003</v>
      </c>
      <c r="R18" s="59">
        <f t="shared" si="0"/>
        <v>348.86499105180832</v>
      </c>
      <c r="S18" s="59">
        <f ca="1">AVERAGE(OFFSET($R$3,0,0,'Données projet'!$E$9+1,1))-AVERAGE(OFFSET($H$3,0,0,'Données projet'!$E$9+1,1))</f>
        <v>314.07001555875894</v>
      </c>
      <c r="T18" s="59">
        <f t="shared" si="34"/>
        <v>281.53154885904991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8.1011764705882356</v>
      </c>
      <c r="AI18" s="13">
        <f>IF('Données projet'!$A$62&gt;35,AI17+AH18-AQ17,IF(A18&lt;'Données projet'!$A$62,$AF$205^A18,IF(A18='Données projet'!$A$62,'Données projet'!$B$62,AI17+AH18-AQ17)))</f>
        <v>11.925662218941099</v>
      </c>
      <c r="AJ18" s="13">
        <f>AI18*VLOOKUP('Données projet'!$B$10,Paramètres!$A$1:$I$89,3,0)*VLOOKUP('Données projet'!$B$10,Paramètres!$A$1:$I$89,5,0)</f>
        <v>5.2711427007719669</v>
      </c>
      <c r="AK18" s="13">
        <f t="shared" si="35"/>
        <v>2.0018296746776914</v>
      </c>
      <c r="AL18" s="20">
        <f t="shared" si="4"/>
        <v>12.667093553908154</v>
      </c>
      <c r="AM18" s="59">
        <f t="shared" si="5"/>
        <v>306.00042688724147</v>
      </c>
      <c r="AN18" s="59">
        <f ca="1">AVERAGE(OFFSET($AM$3,0,0,'Données projet'!$E$10+1,1))-AVERAGE(OFFSET($H$3,0,0,'Données projet'!$E$10+1,1))</f>
        <v>218.3918302549892</v>
      </c>
      <c r="AO18" s="59">
        <f t="shared" si="36"/>
        <v>102.61932145411976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30.128205128205128</v>
      </c>
      <c r="BB18" s="12">
        <f>VLOOKUP(A18,'Données projet'!$A$87:$I$107,9,0)</f>
        <v>3.7179487179487181</v>
      </c>
      <c r="BC18" s="12">
        <f t="array" ref="BC18">INDEX(BB:BB,MIN(IF(ISNUMBER(BB18:BB214),ROW(BB18:BB214),"")))</f>
        <v>3.7179487179487181</v>
      </c>
      <c r="BD18" s="12">
        <f>IF('Données projet'!$A$88&gt;35,BD17+BC18-BL17,IF(A18&lt;'Données projet'!$A$88,$BA$205^A18,IF(A18='Données projet'!$A$88,'Données projet'!$B$88,BD17+BC18-BL17)))</f>
        <v>30.128205128205131</v>
      </c>
      <c r="BE18" s="13">
        <f>BD18*VLOOKUP('Données projet'!$B$11,Paramètres!$A$1:$I$89,3,0)*VLOOKUP('Données projet'!$B$11,Paramètres!$A$1:$I$89,5,0)</f>
        <v>26.320000000000007</v>
      </c>
      <c r="BF18" s="13">
        <f t="shared" si="37"/>
        <v>8.2892773865445566</v>
      </c>
      <c r="BG18" s="20">
        <f t="shared" si="7"/>
        <v>60.277824781565108</v>
      </c>
      <c r="BH18" s="59">
        <f t="shared" si="8"/>
        <v>353.61115811489844</v>
      </c>
      <c r="BI18" s="59">
        <f ca="1">AVERAGE(OFFSET($BH$3,0,0,'Données projet'!$E$11+1,1))-AVERAGE(OFFSET($H$3,0,0,'Données projet'!$E$11+1,1))</f>
        <v>112.66486935566058</v>
      </c>
      <c r="BJ18" s="59">
        <f t="shared" si="38"/>
        <v>110.84860075828624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0.215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9.300476190476191</v>
      </c>
      <c r="N19" s="13">
        <f>IF('Données projet'!$A$36&gt;35,N18+M19-V18,IF(A19&lt;'Données projet'!$A$36,$K$205^A19,IF(A19='Données projet'!$A$36,'Données projet'!$B$36,N18+M19-V18)))</f>
        <v>55.630618640165025</v>
      </c>
      <c r="O19" s="13">
        <f>N19*VLOOKUP('Données projet'!$B$9,Paramètres!$A$1:$I$89,3,0)*VLOOKUP('Données projet'!$B$9,Paramètres!$A$1:$I$89,5,0)</f>
        <v>31.097515819852248</v>
      </c>
      <c r="P19" s="13">
        <f t="shared" si="33"/>
        <v>9.6055998559802376</v>
      </c>
      <c r="Q19" s="20">
        <f t="shared" si="2"/>
        <v>70.891259802074913</v>
      </c>
      <c r="R19" s="59">
        <f t="shared" si="0"/>
        <v>364.22459313540821</v>
      </c>
      <c r="S19" s="59">
        <f ca="1">AVERAGE(OFFSET($R$3,0,0,'Données projet'!$E$9+1,1))-AVERAGE(OFFSET($H$3,0,0,'Données projet'!$E$9+1,1))</f>
        <v>314.07001555875894</v>
      </c>
      <c r="T19" s="59">
        <f t="shared" si="34"/>
        <v>281.53154885904991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8.1011764705882356</v>
      </c>
      <c r="AI19" s="13">
        <f>IF('Données projet'!$A$62&gt;35,AI18+AH19-AQ18,IF(A19&lt;'Données projet'!$A$62,$AF$205^A19,IF(A19='Données projet'!$A$62,'Données projet'!$B$62,AI18+AH19-AQ18)))</f>
        <v>14.068506791319869</v>
      </c>
      <c r="AJ19" s="13">
        <f>AI19*VLOOKUP('Données projet'!$B$10,Paramètres!$A$1:$I$89,3,0)*VLOOKUP('Données projet'!$B$10,Paramètres!$A$1:$I$89,5,0)</f>
        <v>6.2182800017633824</v>
      </c>
      <c r="AK19" s="13">
        <f t="shared" si="35"/>
        <v>2.3165363476571583</v>
      </c>
      <c r="AL19" s="20">
        <f t="shared" si="4"/>
        <v>14.864805141907441</v>
      </c>
      <c r="AM19" s="59">
        <f t="shared" si="5"/>
        <v>308.19813847524074</v>
      </c>
      <c r="AN19" s="59">
        <f ca="1">AVERAGE(OFFSET($AM$3,0,0,'Données projet'!$E$10+1,1))-AVERAGE(OFFSET($H$3,0,0,'Données projet'!$E$10+1,1))</f>
        <v>218.3918302549892</v>
      </c>
      <c r="AO19" s="59">
        <f t="shared" si="36"/>
        <v>102.61932145411976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5.128205128205126</v>
      </c>
      <c r="BD19" s="12">
        <f>IF('Données projet'!$A$88&gt;35,BD18+BC19-BL18,IF(A19&lt;'Données projet'!$A$88,$BA$205^A19,IF(A19='Données projet'!$A$88,'Données projet'!$B$88,BD18+BC19-BL18)))</f>
        <v>35.256410256410255</v>
      </c>
      <c r="BE19" s="13">
        <f>BD19*VLOOKUP('Données projet'!$B$11,Paramètres!$A$1:$I$89,3,0)*VLOOKUP('Données projet'!$B$11,Paramètres!$A$1:$I$89,5,0)</f>
        <v>30.8</v>
      </c>
      <c r="BF19" s="13">
        <f t="shared" si="37"/>
        <v>9.5243528844642995</v>
      </c>
      <c r="BG19" s="20">
        <f t="shared" si="7"/>
        <v>70.231581273775319</v>
      </c>
      <c r="BH19" s="59">
        <f t="shared" si="8"/>
        <v>363.56491460710862</v>
      </c>
      <c r="BI19" s="59">
        <f ca="1">AVERAGE(OFFSET($BH$3,0,0,'Données projet'!$E$11+1,1))-AVERAGE(OFFSET($H$3,0,0,'Données projet'!$E$11+1,1))</f>
        <v>112.66486935566058</v>
      </c>
      <c r="BJ19" s="59">
        <f t="shared" si="38"/>
        <v>110.84860075828624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9.300476190476191</v>
      </c>
      <c r="N20" s="13">
        <f>IF('Données projet'!$A$36&gt;35,N19+M20-V19,IF(A20&lt;'Données projet'!$A$36,$K$205^A20,IF(A20='Données projet'!$A$36,'Données projet'!$B$36,N19+M20-V19)))</f>
        <v>71.514813044319794</v>
      </c>
      <c r="O20" s="13">
        <f>N20*VLOOKUP('Données projet'!$B$9,Paramètres!$A$1:$I$89,3,0)*VLOOKUP('Données projet'!$B$9,Paramètres!$A$1:$I$89,5,0)</f>
        <v>39.976780491774768</v>
      </c>
      <c r="P20" s="13">
        <f t="shared" si="33"/>
        <v>11.992492365518064</v>
      </c>
      <c r="Q20" s="20">
        <f t="shared" si="2"/>
        <v>90.513150226451685</v>
      </c>
      <c r="R20" s="59">
        <f t="shared" si="0"/>
        <v>383.84648355978499</v>
      </c>
      <c r="S20" s="59">
        <f ca="1">AVERAGE(OFFSET($R$3,0,0,'Données projet'!$E$9+1,1))-AVERAGE(OFFSET($H$3,0,0,'Données projet'!$E$9+1,1))</f>
        <v>314.07001555875894</v>
      </c>
      <c r="T20" s="59">
        <f t="shared" si="34"/>
        <v>281.53154885904991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8.1011764705882356</v>
      </c>
      <c r="AI20" s="13">
        <f>IF('Données projet'!$A$62&gt;35,AI19+AH20-AQ19,IF(A20&lt;'Données projet'!$A$62,$AF$205^A20,IF(A20='Données projet'!$A$62,'Données projet'!$B$62,AI19+AH20-AQ19)))</f>
        <v>16.596385148579799</v>
      </c>
      <c r="AJ20" s="13">
        <f>AI20*VLOOKUP('Données projet'!$B$10,Paramètres!$A$1:$I$89,3,0)*VLOOKUP('Données projet'!$B$10,Paramètres!$A$1:$I$89,5,0)</f>
        <v>7.3356022356722717</v>
      </c>
      <c r="AK20" s="13">
        <f t="shared" si="35"/>
        <v>2.6807179041747333</v>
      </c>
      <c r="AL20" s="20">
        <f t="shared" si="4"/>
        <v>17.445090910233535</v>
      </c>
      <c r="AM20" s="59">
        <f t="shared" si="5"/>
        <v>310.77842424356686</v>
      </c>
      <c r="AN20" s="59">
        <f ca="1">AVERAGE(OFFSET($AM$3,0,0,'Données projet'!$E$10+1,1))-AVERAGE(OFFSET($H$3,0,0,'Données projet'!$E$10+1,1))</f>
        <v>218.3918302549892</v>
      </c>
      <c r="AO20" s="59">
        <f t="shared" si="36"/>
        <v>102.61932145411976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5.128205128205126</v>
      </c>
      <c r="BD20" s="12">
        <f>IF('Données projet'!$A$88&gt;35,BD19+BC20-BL19,IF(A20&lt;'Données projet'!$A$88,$BA$205^A20,IF(A20='Données projet'!$A$88,'Données projet'!$B$88,BD19+BC20-BL19)))</f>
        <v>40.38461538461538</v>
      </c>
      <c r="BE20" s="13">
        <f>BD20*VLOOKUP('Données projet'!$B$11,Paramètres!$A$1:$I$89,3,0)*VLOOKUP('Données projet'!$B$11,Paramètres!$A$1:$I$89,5,0)</f>
        <v>35.28</v>
      </c>
      <c r="BF20" s="13">
        <f t="shared" si="37"/>
        <v>10.73861605494538</v>
      </c>
      <c r="BG20" s="20">
        <f t="shared" si="7"/>
        <v>80.149089629029859</v>
      </c>
      <c r="BH20" s="59">
        <f t="shared" si="8"/>
        <v>373.48242296236316</v>
      </c>
      <c r="BI20" s="59">
        <f ca="1">AVERAGE(OFFSET($BH$3,0,0,'Données projet'!$E$11+1,1))-AVERAGE(OFFSET($H$3,0,0,'Données projet'!$E$11+1,1))</f>
        <v>112.66486935566058</v>
      </c>
      <c r="BJ20" s="59">
        <f t="shared" si="38"/>
        <v>110.84860075828624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9.300476190476191</v>
      </c>
      <c r="N21" s="13">
        <f>IF('Données projet'!$A$36&gt;35,N20+M21-V20,IF(A21&lt;'Données projet'!$A$36,$K$205^A21,IF(A21='Données projet'!$A$36,'Données projet'!$B$36,N20+M21-V20)))</f>
        <v>91.934416869336488</v>
      </c>
      <c r="O21" s="13">
        <f>N21*VLOOKUP('Données projet'!$B$9,Paramètres!$A$1:$I$89,3,0)*VLOOKUP('Données projet'!$B$9,Paramètres!$A$1:$I$89,5,0)</f>
        <v>51.391339029959099</v>
      </c>
      <c r="P21" s="13">
        <f t="shared" si="33"/>
        <v>14.972503049611195</v>
      </c>
      <c r="Q21" s="20">
        <f t="shared" si="2"/>
        <v>115.58369162191825</v>
      </c>
      <c r="R21" s="59">
        <f t="shared" si="0"/>
        <v>408.91702495525158</v>
      </c>
      <c r="S21" s="59">
        <f ca="1">AVERAGE(OFFSET($R$3,0,0,'Données projet'!$E$9+1,1))-AVERAGE(OFFSET($H$3,0,0,'Données projet'!$E$9+1,1))</f>
        <v>314.07001555875894</v>
      </c>
      <c r="T21" s="59">
        <f t="shared" si="34"/>
        <v>281.53154885904991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8.1011764705882356</v>
      </c>
      <c r="AI21" s="13">
        <f>IF('Données projet'!$A$62&gt;35,AI20+AH21-AQ20,IF(A21&lt;'Données projet'!$A$62,$AF$205^A21,IF(A21='Données projet'!$A$62,'Données projet'!$B$62,AI20+AH21-AQ20)))</f>
        <v>19.57848150380422</v>
      </c>
      <c r="AJ21" s="13">
        <f>AI21*VLOOKUP('Données projet'!$B$10,Paramètres!$A$1:$I$89,3,0)*VLOOKUP('Données projet'!$B$10,Paramètres!$A$1:$I$89,5,0)</f>
        <v>8.6536888246814652</v>
      </c>
      <c r="AK21" s="13">
        <f t="shared" si="35"/>
        <v>3.1021522666936892</v>
      </c>
      <c r="AL21" s="20">
        <f t="shared" si="4"/>
        <v>20.474756567478391</v>
      </c>
      <c r="AM21" s="59">
        <f t="shared" si="5"/>
        <v>313.80808990081169</v>
      </c>
      <c r="AN21" s="59">
        <f ca="1">AVERAGE(OFFSET($AM$3,0,0,'Données projet'!$E$10+1,1))-AVERAGE(OFFSET($H$3,0,0,'Données projet'!$E$10+1,1))</f>
        <v>218.3918302549892</v>
      </c>
      <c r="AO21" s="59">
        <f t="shared" si="36"/>
        <v>102.61932145411976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5.128205128205126</v>
      </c>
      <c r="BD21" s="12">
        <f>IF('Données projet'!$A$88&gt;35,BD20+BC21-BL20,IF(A21&lt;'Données projet'!$A$88,$BA$205^A21,IF(A21='Données projet'!$A$88,'Données projet'!$B$88,BD20+BC21-BL20)))</f>
        <v>45.512820512820504</v>
      </c>
      <c r="BE21" s="13">
        <f>BD21*VLOOKUP('Données projet'!$B$11,Paramètres!$A$1:$I$89,3,0)*VLOOKUP('Données projet'!$B$11,Paramètres!$A$1:$I$89,5,0)</f>
        <v>39.76</v>
      </c>
      <c r="BF21" s="13">
        <f t="shared" si="37"/>
        <v>11.935012617180398</v>
      </c>
      <c r="BG21" s="20">
        <f t="shared" si="7"/>
        <v>90.035480308255856</v>
      </c>
      <c r="BH21" s="59">
        <f t="shared" si="8"/>
        <v>383.36881364158916</v>
      </c>
      <c r="BI21" s="59">
        <f ca="1">AVERAGE(OFFSET($BH$3,0,0,'Données projet'!$E$11+1,1))-AVERAGE(OFFSET($H$3,0,0,'Données projet'!$E$11+1,1))</f>
        <v>112.66486935566058</v>
      </c>
      <c r="BJ21" s="59">
        <f t="shared" si="38"/>
        <v>110.84860075828624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9.300476190476191</v>
      </c>
      <c r="N22" s="13">
        <f>IF('Données projet'!$A$36&gt;35,N21+M22-V21,IF(A22&lt;'Données projet'!$A$36,$K$205^A22,IF(A22='Données projet'!$A$36,'Données projet'!$B$36,N21+M22-V21)))</f>
        <v>118.18442425161669</v>
      </c>
      <c r="O22" s="13">
        <f>N22*VLOOKUP('Données projet'!$B$9,Paramètres!$A$1:$I$89,3,0)*VLOOKUP('Données projet'!$B$9,Paramètres!$A$1:$I$89,5,0)</f>
        <v>66.065093156653731</v>
      </c>
      <c r="P22" s="13">
        <f t="shared" si="33"/>
        <v>18.693015658295351</v>
      </c>
      <c r="Q22" s="20">
        <f t="shared" si="2"/>
        <v>147.62037285270299</v>
      </c>
      <c r="R22" s="59">
        <f t="shared" si="0"/>
        <v>440.9537061860363</v>
      </c>
      <c r="S22" s="59">
        <f ca="1">AVERAGE(OFFSET($R$3,0,0,'Données projet'!$E$9+1,1))-AVERAGE(OFFSET($H$3,0,0,'Données projet'!$E$9+1,1))</f>
        <v>314.07001555875894</v>
      </c>
      <c r="T22" s="59">
        <f t="shared" si="34"/>
        <v>281.53154885904991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8.1011764705882356</v>
      </c>
      <c r="AI22" s="13">
        <f>IF('Données projet'!$A$62&gt;35,AI21+AH22-AQ21,IF(A22&lt;'Données projet'!$A$62,$AF$205^A22,IF(A22='Données projet'!$A$62,'Données projet'!$B$62,AI21+AH22-AQ21)))</f>
        <v>23.096411330729183</v>
      </c>
      <c r="AJ22" s="13">
        <f>AI22*VLOOKUP('Données projet'!$B$10,Paramètres!$A$1:$I$89,3,0)*VLOOKUP('Données projet'!$B$10,Paramètres!$A$1:$I$89,5,0)</f>
        <v>10.208613808182299</v>
      </c>
      <c r="AK22" s="13">
        <f t="shared" si="35"/>
        <v>3.5898401210982218</v>
      </c>
      <c r="AL22" s="20">
        <f t="shared" si="4"/>
        <v>24.032307260163574</v>
      </c>
      <c r="AM22" s="59">
        <f t="shared" si="5"/>
        <v>317.36564059349689</v>
      </c>
      <c r="AN22" s="59">
        <f ca="1">AVERAGE(OFFSET($AM$3,0,0,'Données projet'!$E$10+1,1))-AVERAGE(OFFSET($H$3,0,0,'Données projet'!$E$10+1,1))</f>
        <v>218.3918302549892</v>
      </c>
      <c r="AO22" s="59">
        <f t="shared" si="36"/>
        <v>102.61932145411976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5.128205128205126</v>
      </c>
      <c r="BD22" s="12">
        <f>IF('Données projet'!$A$88&gt;35,BD21+BC22-BL21,IF(A22&lt;'Données projet'!$A$88,$BA$205^A22,IF(A22='Données projet'!$A$88,'Données projet'!$B$88,BD21+BC22-BL21)))</f>
        <v>50.641025641025628</v>
      </c>
      <c r="BE22" s="13">
        <f>BD22*VLOOKUP('Données projet'!$B$11,Paramètres!$A$1:$I$89,3,0)*VLOOKUP('Données projet'!$B$11,Paramètres!$A$1:$I$89,5,0)</f>
        <v>44.239999999999995</v>
      </c>
      <c r="BF22" s="13">
        <f t="shared" si="37"/>
        <v>13.1157854377925</v>
      </c>
      <c r="BG22" s="20">
        <f t="shared" si="7"/>
        <v>99.894659637488587</v>
      </c>
      <c r="BH22" s="59">
        <f t="shared" si="8"/>
        <v>393.2279929708219</v>
      </c>
      <c r="BI22" s="59">
        <f ca="1">AVERAGE(OFFSET($BH$3,0,0,'Données projet'!$E$11+1,1))-AVERAGE(OFFSET($H$3,0,0,'Données projet'!$E$11+1,1))</f>
        <v>112.66486935566058</v>
      </c>
      <c r="BJ22" s="59">
        <f t="shared" si="38"/>
        <v>110.84860075828624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9.300476190476191</v>
      </c>
      <c r="N23" s="13">
        <f>IF('Données projet'!$A$36&gt;35,N22+M23-V22,IF(A23&lt;'Données projet'!$A$36,$K$205^A23,IF(A23='Données projet'!$A$36,'Données projet'!$B$36,N22+M23-V22)))</f>
        <v>151.92958862770377</v>
      </c>
      <c r="O23" s="13">
        <f>N23*VLOOKUP('Données projet'!$B$9,Paramètres!$A$1:$I$89,3,0)*VLOOKUP('Données projet'!$B$9,Paramètres!$A$1:$I$89,5,0)</f>
        <v>84.928640042886414</v>
      </c>
      <c r="P23" s="13">
        <f t="shared" si="33"/>
        <v>23.338037283642365</v>
      </c>
      <c r="Q23" s="20">
        <f t="shared" si="2"/>
        <v>188.56446301037093</v>
      </c>
      <c r="R23" s="59">
        <f t="shared" si="0"/>
        <v>481.89779634370427</v>
      </c>
      <c r="S23" s="59">
        <f ca="1">AVERAGE(OFFSET($R$3,0,0,'Données projet'!$E$9+1,1))-AVERAGE(OFFSET($H$3,0,0,'Données projet'!$E$9+1,1))</f>
        <v>314.07001555875894</v>
      </c>
      <c r="T23" s="59">
        <f t="shared" si="34"/>
        <v>281.53154885904991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8.1011764705882356</v>
      </c>
      <c r="AI23" s="13">
        <f>IF('Données projet'!$A$62&gt;35,AI22+AH23-AQ22,IF(A23&lt;'Données projet'!$A$62,$AF$205^A23,IF(A23='Données projet'!$A$62,'Données projet'!$B$62,AI22+AH23-AQ22)))</f>
        <v>27.246455056005431</v>
      </c>
      <c r="AJ23" s="13">
        <f>AI23*VLOOKUP('Données projet'!$B$10,Paramètres!$A$1:$I$89,3,0)*VLOOKUP('Données projet'!$B$10,Paramètres!$A$1:$I$89,5,0)</f>
        <v>12.042933134754401</v>
      </c>
      <c r="AK23" s="13">
        <f t="shared" si="35"/>
        <v>4.154197146738241</v>
      </c>
      <c r="AL23" s="20">
        <f t="shared" si="4"/>
        <v>28.210001906933012</v>
      </c>
      <c r="AM23" s="59">
        <f t="shared" si="5"/>
        <v>321.54333524026634</v>
      </c>
      <c r="AN23" s="59">
        <f ca="1">AVERAGE(OFFSET($AM$3,0,0,'Données projet'!$E$10+1,1))-AVERAGE(OFFSET($H$3,0,0,'Données projet'!$E$10+1,1))</f>
        <v>218.3918302549892</v>
      </c>
      <c r="AO23" s="59">
        <f t="shared" si="36"/>
        <v>102.61932145411976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55.769230769230759</v>
      </c>
      <c r="BB23" s="12">
        <f>VLOOKUP(A23,'Données projet'!$A$87:$I$107,9,0)</f>
        <v>5.128205128205126</v>
      </c>
      <c r="BC23" s="12">
        <f t="array" ref="BC23">INDEX(BB:BB,MIN(IF(ISNUMBER(BB23:BB219),ROW(BB23:BB219),"")))</f>
        <v>5.128205128205126</v>
      </c>
      <c r="BD23" s="12">
        <f>IF('Données projet'!$A$88&gt;35,BD22+BC23-BL22,IF(A23&lt;'Données projet'!$A$88,$BA$205^A23,IF(A23='Données projet'!$A$88,'Données projet'!$B$88,BD22+BC23-BL22)))</f>
        <v>55.769230769230752</v>
      </c>
      <c r="BE23" s="13">
        <f>BD23*VLOOKUP('Données projet'!$B$11,Paramètres!$A$1:$I$89,3,0)*VLOOKUP('Données projet'!$B$11,Paramètres!$A$1:$I$89,5,0)</f>
        <v>48.719999999999992</v>
      </c>
      <c r="BF23" s="13">
        <f t="shared" si="37"/>
        <v>14.282696808795901</v>
      </c>
      <c r="BG23" s="20">
        <f t="shared" si="7"/>
        <v>109.72969694198616</v>
      </c>
      <c r="BH23" s="59">
        <f t="shared" si="8"/>
        <v>403.06303027531948</v>
      </c>
      <c r="BI23" s="59">
        <f ca="1">AVERAGE(OFFSET($BH$3,0,0,'Données projet'!$E$11+1,1))-AVERAGE(OFFSET($H$3,0,0,'Données projet'!$E$11+1,1))</f>
        <v>112.66486935566058</v>
      </c>
      <c r="BJ23" s="59">
        <f t="shared" si="38"/>
        <v>110.84860075828624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18.589743589743588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0.215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3.8446626361501948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3.8446626361501948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195.31</v>
      </c>
      <c r="L24" s="12">
        <f>VLOOKUP(A24,'Données projet'!$A$35:$I$55,9,0)</f>
        <v>9.300476190476191</v>
      </c>
      <c r="M24" s="12">
        <f t="array" ref="M24">INDEX(L:L,MIN(IF(ISNUMBER(L24:L220),ROW(L24:L220),"")))</f>
        <v>9.300476190476191</v>
      </c>
      <c r="N24" s="13">
        <f>IF('Données projet'!$A$36&gt;35,N23+M24-V23,IF(A24&lt;'Données projet'!$A$36,$K$205^A24,IF(A24='Données projet'!$A$36,'Données projet'!$B$36,N23+M24-V23)))</f>
        <v>195.31</v>
      </c>
      <c r="O24" s="13">
        <f>N24*VLOOKUP('Données projet'!$B$9,Paramètres!$A$1:$I$89,3,0)*VLOOKUP('Données projet'!$B$9,Paramètres!$A$1:$I$89,5,0)</f>
        <v>109.17829</v>
      </c>
      <c r="P24" s="13">
        <f t="shared" si="33"/>
        <v>29.137298882589644</v>
      </c>
      <c r="Q24" s="20">
        <f t="shared" si="2"/>
        <v>240.89965063717693</v>
      </c>
      <c r="R24" s="59">
        <f t="shared" si="0"/>
        <v>534.2329839705103</v>
      </c>
      <c r="S24" s="59">
        <f ca="1">AVERAGE(OFFSET($R$3,0,0,'Données projet'!$E$9+1,1))-AVERAGE(OFFSET($H$3,0,0,'Données projet'!$E$9+1,1))</f>
        <v>314.07001555875894</v>
      </c>
      <c r="T24" s="59">
        <f t="shared" si="34"/>
        <v>281.53154885904991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64.599999999999994</v>
      </c>
      <c r="W24" s="16">
        <f>IF(ISNA(VLOOKUP(A24,'Données projet'!$A$35:$I$55,5,0)),0%,VLOOKUP(A24,'Données projet'!$A$35:$I$55,5,0)*VLOOKUP('Données projet'!$B$9,Paramètres!$A$1:$I$89,7,0))</f>
        <v>0.13750000000000001</v>
      </c>
      <c r="X24" s="16">
        <f>IF(ISNA(VLOOKUP(A24,'Données projet'!$A$35:$I$55,6,0)),0%,VLOOKUP(A24,'Données projet'!$A$35:$I$55,6,0)*VLOOKUP('Données projet'!$B$9,Paramètres!$A$1:$I$89,7,0))</f>
        <v>0.20350000000000001</v>
      </c>
      <c r="Y24" s="16">
        <f>IF(ISNA(VLOOKUP(A24,'Données projet'!$A$35:$I$55,7,0)),0%,VLOOKUP(A24,'Données projet'!$A$35:$I$55,7,0))</f>
        <v>0.38</v>
      </c>
      <c r="Z24" s="21">
        <f>EXP(-LN(2)/35)*Z23+(1-EXP(-LN(2)/35))/(LN(2)/35)*V24*W24*VLOOKUP('Données projet'!$B$9,Paramètres!$A$1:$I$89,3,0)*0.475*44/12</f>
        <v>6.5868137054719185</v>
      </c>
      <c r="AA24" s="21">
        <f>EXP(-LN(2)/25)*AA23+(1-EXP(-LN(2)/25))/(LN(2)/25)*Calculateur!V24*Calculateur!X24*VLOOKUP('Données projet'!$B$9,Paramètres!$A$1:$I$89,3,0)*0.475*44/12</f>
        <v>9.7101007870082245</v>
      </c>
      <c r="AB24" s="21">
        <f>EXP(-LN(2)/2)*AB23+(1-EXP(-LN(2)/2))/(LN(2)/2)*V24*Y24*VLOOKUP('Données projet'!$B$9,Paramètres!$A$1:$I$89,3,0)*0.475*44/12</f>
        <v>15.536867487780944</v>
      </c>
      <c r="AC24" s="22">
        <f t="shared" si="3"/>
        <v>31.833781980261087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8.1011764705882356</v>
      </c>
      <c r="AI24" s="13">
        <f>IF('Données projet'!$A$62&gt;35,AI23+AH24-AQ23,IF(A24&lt;'Données projet'!$A$62,$AF$205^A24,IF(A24='Données projet'!$A$62,'Données projet'!$B$62,AI23+AH24-AQ23)))</f>
        <v>32.142193109074938</v>
      </c>
      <c r="AJ24" s="13">
        <f>AI24*VLOOKUP('Données projet'!$B$10,Paramètres!$A$1:$I$89,3,0)*VLOOKUP('Données projet'!$B$10,Paramètres!$A$1:$I$89,5,0)</f>
        <v>14.206849354211124</v>
      </c>
      <c r="AK24" s="13">
        <f t="shared" si="35"/>
        <v>4.8072764668663535</v>
      </c>
      <c r="AL24" s="20">
        <f t="shared" si="4"/>
        <v>33.116269138376602</v>
      </c>
      <c r="AM24" s="59">
        <f t="shared" si="5"/>
        <v>326.44960247170991</v>
      </c>
      <c r="AN24" s="59">
        <f ca="1">AVERAGE(OFFSET($AM$3,0,0,'Données projet'!$E$10+1,1))-AVERAGE(OFFSET($H$3,0,0,'Données projet'!$E$10+1,1))</f>
        <v>218.3918302549892</v>
      </c>
      <c r="AO24" s="59">
        <f t="shared" si="36"/>
        <v>102.61932145411976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5.1282051282051295</v>
      </c>
      <c r="BD24" s="12">
        <f>IF('Données projet'!$A$88&gt;35,BD23+BC24-BL23,IF(A24&lt;'Données projet'!$A$88,$BA$205^A24,IF(A24='Données projet'!$A$88,'Données projet'!$B$88,BD23+BC24-BL23)))</f>
        <v>42.307692307692292</v>
      </c>
      <c r="BE24" s="13">
        <f>BD24*VLOOKUP('Données projet'!$B$11,Paramètres!$A$1:$I$89,3,0)*VLOOKUP('Données projet'!$B$11,Paramètres!$A$1:$I$89,5,0)</f>
        <v>36.959999999999994</v>
      </c>
      <c r="BF24" s="13">
        <f t="shared" si="37"/>
        <v>11.189225514592351</v>
      </c>
      <c r="BG24" s="20">
        <f t="shared" si="7"/>
        <v>83.859901104581667</v>
      </c>
      <c r="BH24" s="59">
        <f t="shared" si="8"/>
        <v>377.19323443791495</v>
      </c>
      <c r="BI24" s="59">
        <f ca="1">AVERAGE(OFFSET($BH$3,0,0,'Données projet'!$E$11+1,1))-AVERAGE(OFFSET($H$3,0,0,'Données projet'!$E$11+1,1))</f>
        <v>112.66486935566058</v>
      </c>
      <c r="BJ24" s="59">
        <f t="shared" si="38"/>
        <v>110.84860075828624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3.7395301341826466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3.7395301341826466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21.61428571428571</v>
      </c>
      <c r="N25" s="13">
        <f>IF('Données projet'!$A$36&gt;35,N24+M25-V24,IF(A25&lt;'Données projet'!$A$36,$K$205^A25,IF(A25='Données projet'!$A$36,'Données projet'!$B$36,N24+M25-V24)))</f>
        <v>152.32428571428571</v>
      </c>
      <c r="O25" s="13">
        <f>N25*VLOOKUP('Données projet'!$B$9,Paramètres!$A$1:$I$89,3,0)*VLOOKUP('Données projet'!$B$9,Paramètres!$A$1:$I$89,5,0)</f>
        <v>85.149275714285707</v>
      </c>
      <c r="P25" s="13">
        <f t="shared" si="33"/>
        <v>23.391601652187223</v>
      </c>
      <c r="Q25" s="20">
        <f t="shared" si="2"/>
        <v>189.04202807994034</v>
      </c>
      <c r="R25" s="59">
        <f t="shared" si="0"/>
        <v>482.37536141327365</v>
      </c>
      <c r="S25" s="59">
        <f ca="1">AVERAGE(OFFSET($R$3,0,0,'Données projet'!$E$9+1,1))-AVERAGE(OFFSET($H$3,0,0,'Données projet'!$E$9+1,1))</f>
        <v>314.07001555875894</v>
      </c>
      <c r="T25" s="59">
        <f t="shared" si="34"/>
        <v>281.53154885904991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6.457650306267273</v>
      </c>
      <c r="AA25" s="21">
        <f>EXP(-LN(2)/25)*AA24+(1-EXP(-LN(2)/25))/(LN(2)/25)*Calculateur!V25*Calculateur!X25*VLOOKUP('Données projet'!$B$9,Paramètres!$A$1:$I$89,3,0)*0.475*44/12</f>
        <v>9.4445775703554773</v>
      </c>
      <c r="AB25" s="21">
        <f>EXP(-LN(2)/2)*AB24+(1-EXP(-LN(2)/2))/(LN(2)/2)*V25*Y25*VLOOKUP('Données projet'!$B$9,Paramètres!$A$1:$I$89,3,0)*0.475*44/12</f>
        <v>10.986224359006705</v>
      </c>
      <c r="AC25" s="22">
        <f t="shared" si="3"/>
        <v>26.888452235629455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8.1011764705882356</v>
      </c>
      <c r="AI25" s="13">
        <f>IF('Données projet'!$A$62&gt;35,AI24+AH25-AQ24,IF(A25&lt;'Données projet'!$A$62,$AF$205^A25,IF(A25='Données projet'!$A$62,'Données projet'!$B$62,AI24+AH25-AQ24)))</f>
        <v>37.917614446997689</v>
      </c>
      <c r="AJ25" s="13">
        <f>AI25*VLOOKUP('Données projet'!$B$10,Paramètres!$A$1:$I$89,3,0)*VLOOKUP('Données projet'!$B$10,Paramètres!$A$1:$I$89,5,0)</f>
        <v>16.759585585572982</v>
      </c>
      <c r="AK25" s="13">
        <f t="shared" si="35"/>
        <v>5.563026070400225</v>
      </c>
      <c r="AL25" s="20">
        <f t="shared" si="4"/>
        <v>38.878548634153333</v>
      </c>
      <c r="AM25" s="59">
        <f t="shared" si="5"/>
        <v>332.21188196748665</v>
      </c>
      <c r="AN25" s="59">
        <f ca="1">AVERAGE(OFFSET($AM$3,0,0,'Données projet'!$E$10+1,1))-AVERAGE(OFFSET($H$3,0,0,'Données projet'!$E$10+1,1))</f>
        <v>218.3918302549892</v>
      </c>
      <c r="AO25" s="59">
        <f t="shared" si="36"/>
        <v>102.61932145411976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5.1282051282051295</v>
      </c>
      <c r="BD25" s="12">
        <f>IF('Données projet'!$A$88&gt;35,BD24+BC25-BL24,IF(A25&lt;'Données projet'!$A$88,$BA$205^A25,IF(A25='Données projet'!$A$88,'Données projet'!$B$88,BD24+BC25-BL24)))</f>
        <v>47.435897435897424</v>
      </c>
      <c r="BE25" s="13">
        <f>BD25*VLOOKUP('Données projet'!$B$11,Paramètres!$A$1:$I$89,3,0)*VLOOKUP('Données projet'!$B$11,Paramètres!$A$1:$I$89,5,0)</f>
        <v>41.439999999999991</v>
      </c>
      <c r="BF25" s="13">
        <f t="shared" si="37"/>
        <v>12.379529899388185</v>
      </c>
      <c r="BG25" s="20">
        <f t="shared" si="7"/>
        <v>93.735681241434392</v>
      </c>
      <c r="BH25" s="59">
        <f t="shared" si="8"/>
        <v>387.06901457476772</v>
      </c>
      <c r="BI25" s="59">
        <f ca="1">AVERAGE(OFFSET($BH$3,0,0,'Données projet'!$E$11+1,1))-AVERAGE(OFFSET($H$3,0,0,'Données projet'!$E$11+1,1))</f>
        <v>112.66486935566058</v>
      </c>
      <c r="BJ25" s="59">
        <f t="shared" si="38"/>
        <v>110.84860075828624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3.6372724860100791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3.6372724860100791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21.61428571428571</v>
      </c>
      <c r="N26" s="13">
        <f>IF('Données projet'!$A$36&gt;35,N25+M26-V25,IF(A26&lt;'Données projet'!$A$36,$K$205^A26,IF(A26='Données projet'!$A$36,'Données projet'!$B$36,N25+M26-V25)))</f>
        <v>173.93857142857141</v>
      </c>
      <c r="O26" s="13">
        <f>N26*VLOOKUP('Données projet'!$B$9,Paramètres!$A$1:$I$89,3,0)*VLOOKUP('Données projet'!$B$9,Paramètres!$A$1:$I$89,5,0)</f>
        <v>97.231661428571414</v>
      </c>
      <c r="P26" s="13">
        <f t="shared" si="33"/>
        <v>26.301405349792162</v>
      </c>
      <c r="Q26" s="20">
        <f t="shared" si="2"/>
        <v>215.15342463898321</v>
      </c>
      <c r="R26" s="59">
        <f t="shared" si="0"/>
        <v>508.48675797231652</v>
      </c>
      <c r="S26" s="59">
        <f ca="1">AVERAGE(OFFSET($R$3,0,0,'Données projet'!$E$9+1,1))-AVERAGE(OFFSET($H$3,0,0,'Données projet'!$E$9+1,1))</f>
        <v>314.07001555875894</v>
      </c>
      <c r="T26" s="59">
        <f t="shared" si="34"/>
        <v>281.53154885904991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6.3310197225391365</v>
      </c>
      <c r="AA26" s="21">
        <f>EXP(-LN(2)/25)*AA25+(1-EXP(-LN(2)/25))/(LN(2)/25)*Calculateur!V26*Calculateur!X26*VLOOKUP('Données projet'!$B$9,Paramètres!$A$1:$I$89,3,0)*0.475*44/12</f>
        <v>9.1863151000253573</v>
      </c>
      <c r="AB26" s="21">
        <f>EXP(-LN(2)/2)*AB25+(1-EXP(-LN(2)/2))/(LN(2)/2)*V26*Y26*VLOOKUP('Données projet'!$B$9,Paramètres!$A$1:$I$89,3,0)*0.475*44/12</f>
        <v>7.7684337438904736</v>
      </c>
      <c r="AC26" s="22">
        <f t="shared" si="3"/>
        <v>23.285768566454966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8.1011764705882356</v>
      </c>
      <c r="AI26" s="13">
        <f>IF('Données projet'!$A$62&gt;35,AI25+AH26-AQ25,IF(A26&lt;'Données projet'!$A$62,$AF$205^A26,IF(A26='Données projet'!$A$62,'Données projet'!$B$62,AI25+AH26-AQ25)))</f>
        <v>44.730783629858735</v>
      </c>
      <c r="AJ26" s="13">
        <f>AI26*VLOOKUP('Données projet'!$B$10,Paramètres!$A$1:$I$89,3,0)*VLOOKUP('Données projet'!$B$10,Paramètres!$A$1:$I$89,5,0)</f>
        <v>19.771006364397564</v>
      </c>
      <c r="AK26" s="13">
        <f t="shared" si="35"/>
        <v>6.4375867028354357</v>
      </c>
      <c r="AL26" s="20">
        <f t="shared" si="4"/>
        <v>45.646632925430801</v>
      </c>
      <c r="AM26" s="59">
        <f t="shared" si="5"/>
        <v>338.97996625876414</v>
      </c>
      <c r="AN26" s="59">
        <f ca="1">AVERAGE(OFFSET($AM$3,0,0,'Données projet'!$E$10+1,1))-AVERAGE(OFFSET($H$3,0,0,'Données projet'!$E$10+1,1))</f>
        <v>218.3918302549892</v>
      </c>
      <c r="AO26" s="59">
        <f t="shared" si="36"/>
        <v>102.61932145411976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5.1282051282051295</v>
      </c>
      <c r="BD26" s="12">
        <f>IF('Données projet'!$A$88&gt;35,BD25+BC26-BL25,IF(A26&lt;'Données projet'!$A$88,$BA$205^A26,IF(A26='Données projet'!$A$88,'Données projet'!$B$88,BD25+BC26-BL25)))</f>
        <v>52.564102564102555</v>
      </c>
      <c r="BE26" s="13">
        <f>BD26*VLOOKUP('Données projet'!$B$11,Paramètres!$A$1:$I$89,3,0)*VLOOKUP('Données projet'!$B$11,Paramètres!$A$1:$I$89,5,0)</f>
        <v>45.92</v>
      </c>
      <c r="BF26" s="13">
        <f t="shared" si="37"/>
        <v>13.554918962034838</v>
      </c>
      <c r="BG26" s="20">
        <f t="shared" si="7"/>
        <v>103.58548385887735</v>
      </c>
      <c r="BH26" s="59">
        <f t="shared" si="8"/>
        <v>396.91881719221067</v>
      </c>
      <c r="BI26" s="59">
        <f ca="1">AVERAGE(OFFSET($BH$3,0,0,'Données projet'!$E$11+1,1))-AVERAGE(OFFSET($H$3,0,0,'Données projet'!$E$11+1,1))</f>
        <v>112.66486935566058</v>
      </c>
      <c r="BJ26" s="59">
        <f t="shared" si="38"/>
        <v>110.84860075828624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3.5378110786042867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3.5378110786042867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21.61428571428571</v>
      </c>
      <c r="N27" s="13">
        <f>IF('Données projet'!$A$36&gt;35,N26+M27-V26,IF(A27&lt;'Données projet'!$A$36,$K$205^A27,IF(A27='Données projet'!$A$36,'Données projet'!$B$36,N26+M27-V26)))</f>
        <v>195.55285714285711</v>
      </c>
      <c r="O27" s="13">
        <f>N27*VLOOKUP('Données projet'!$B$9,Paramètres!$A$1:$I$89,3,0)*VLOOKUP('Données projet'!$B$9,Paramètres!$A$1:$I$89,5,0)</f>
        <v>109.31404714285712</v>
      </c>
      <c r="P27" s="13">
        <f t="shared" si="33"/>
        <v>29.169309937147133</v>
      </c>
      <c r="Q27" s="20">
        <f t="shared" si="2"/>
        <v>241.19184691434074</v>
      </c>
      <c r="R27" s="59">
        <f t="shared" si="0"/>
        <v>534.52518024767403</v>
      </c>
      <c r="S27" s="59">
        <f ca="1">AVERAGE(OFFSET($R$3,0,0,'Données projet'!$E$9+1,1))-AVERAGE(OFFSET($H$3,0,0,'Données projet'!$E$9+1,1))</f>
        <v>314.07001555875894</v>
      </c>
      <c r="T27" s="59">
        <f t="shared" si="34"/>
        <v>281.53154885904991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6.2068722873208797</v>
      </c>
      <c r="AA27" s="21">
        <f>EXP(-LN(2)/25)*AA26+(1-EXP(-LN(2)/25))/(LN(2)/25)*Calculateur!V27*Calculateur!X27*VLOOKUP('Données projet'!$B$9,Paramètres!$A$1:$I$89,3,0)*0.475*44/12</f>
        <v>8.9351148305278478</v>
      </c>
      <c r="AB27" s="21">
        <f>EXP(-LN(2)/2)*AB26+(1-EXP(-LN(2)/2))/(LN(2)/2)*V27*Y27*VLOOKUP('Données projet'!$B$9,Paramètres!$A$1:$I$89,3,0)*0.475*44/12</f>
        <v>5.4931121795033535</v>
      </c>
      <c r="AC27" s="22">
        <f t="shared" si="3"/>
        <v>20.635099297352081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8.1011764705882356</v>
      </c>
      <c r="AI27" s="13">
        <f>IF('Données projet'!$A$62&gt;35,AI26+AH27-AQ26,IF(A27&lt;'Données projet'!$A$62,$AF$205^A27,IF(A27='Données projet'!$A$62,'Données projet'!$B$62,AI26+AH27-AQ26)))</f>
        <v>52.76816680907163</v>
      </c>
      <c r="AJ27" s="13">
        <f>AI27*VLOOKUP('Données projet'!$B$10,Paramètres!$A$1:$I$89,3,0)*VLOOKUP('Données projet'!$B$10,Paramètres!$A$1:$I$89,5,0)</f>
        <v>23.323529729609664</v>
      </c>
      <c r="AK27" s="13">
        <f t="shared" si="35"/>
        <v>7.4496365884444069</v>
      </c>
      <c r="AL27" s="20">
        <f t="shared" si="4"/>
        <v>53.596598003944166</v>
      </c>
      <c r="AM27" s="59">
        <f t="shared" si="5"/>
        <v>346.92993133727748</v>
      </c>
      <c r="AN27" s="59">
        <f ca="1">AVERAGE(OFFSET($AM$3,0,0,'Données projet'!$E$10+1,1))-AVERAGE(OFFSET($H$3,0,0,'Données projet'!$E$10+1,1))</f>
        <v>218.3918302549892</v>
      </c>
      <c r="AO27" s="59">
        <f t="shared" si="36"/>
        <v>102.61932145411976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5.1282051282051295</v>
      </c>
      <c r="BD27" s="12">
        <f>IF('Données projet'!$A$88&gt;35,BD26+BC27-BL26,IF(A27&lt;'Données projet'!$A$88,$BA$205^A27,IF(A27='Données projet'!$A$88,'Données projet'!$B$88,BD26+BC27-BL26)))</f>
        <v>57.692307692307686</v>
      </c>
      <c r="BE27" s="13">
        <f>BD27*VLOOKUP('Données projet'!$B$11,Paramètres!$A$1:$I$89,3,0)*VLOOKUP('Données projet'!$B$11,Paramètres!$A$1:$I$89,5,0)</f>
        <v>50.4</v>
      </c>
      <c r="BF27" s="13">
        <f t="shared" si="37"/>
        <v>14.717013453056426</v>
      </c>
      <c r="BG27" s="20">
        <f t="shared" si="7"/>
        <v>113.41213176407327</v>
      </c>
      <c r="BH27" s="59">
        <f t="shared" si="8"/>
        <v>406.74546509740657</v>
      </c>
      <c r="BI27" s="59">
        <f ca="1">AVERAGE(OFFSET($BH$3,0,0,'Données projet'!$E$11+1,1))-AVERAGE(OFFSET($H$3,0,0,'Données projet'!$E$11+1,1))</f>
        <v>112.66486935566058</v>
      </c>
      <c r="BJ27" s="59">
        <f t="shared" si="38"/>
        <v>110.84860075828624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3.4410694486144537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3.4410694486144537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21.61428571428571</v>
      </c>
      <c r="N28" s="13">
        <f>IF('Données projet'!$A$36&gt;35,N27+M28-V27,IF(A28&lt;'Données projet'!$A$36,$K$205^A28,IF(A28='Données projet'!$A$36,'Données projet'!$B$36,N27+M28-V27)))</f>
        <v>217.16714285714281</v>
      </c>
      <c r="O28" s="13">
        <f>N28*VLOOKUP('Données projet'!$B$9,Paramètres!$A$1:$I$89,3,0)*VLOOKUP('Données projet'!$B$9,Paramètres!$A$1:$I$89,5,0)</f>
        <v>121.39643285714283</v>
      </c>
      <c r="P28" s="13">
        <f t="shared" si="33"/>
        <v>32.00047469196349</v>
      </c>
      <c r="Q28" s="20">
        <f t="shared" si="2"/>
        <v>267.16628064802683</v>
      </c>
      <c r="R28" s="59">
        <f t="shared" si="0"/>
        <v>560.4996139813602</v>
      </c>
      <c r="S28" s="59">
        <f ca="1">AVERAGE(OFFSET($R$3,0,0,'Données projet'!$E$9+1,1))-AVERAGE(OFFSET($H$3,0,0,'Données projet'!$E$9+1,1))</f>
        <v>314.07001555875894</v>
      </c>
      <c r="T28" s="59">
        <f t="shared" si="34"/>
        <v>281.53154885904991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6.0851593075847941</v>
      </c>
      <c r="AA28" s="21">
        <f>EXP(-LN(2)/25)*AA27+(1-EXP(-LN(2)/25))/(LN(2)/25)*Calculateur!V28*Calculateur!X28*VLOOKUP('Données projet'!$B$9,Paramètres!$A$1:$I$89,3,0)*0.475*44/12</f>
        <v>8.6907836456097964</v>
      </c>
      <c r="AB28" s="21">
        <f>EXP(-LN(2)/2)*AB27+(1-EXP(-LN(2)/2))/(LN(2)/2)*V28*Y28*VLOOKUP('Données projet'!$B$9,Paramètres!$A$1:$I$89,3,0)*0.475*44/12</f>
        <v>3.8842168719452372</v>
      </c>
      <c r="AC28" s="22">
        <f t="shared" si="3"/>
        <v>18.660159825139829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8.1011764705882356</v>
      </c>
      <c r="AI28" s="13">
        <f>IF('Données projet'!$A$62&gt;35,AI27+AH28-AQ27,IF(A28&lt;'Données projet'!$A$62,$AF$205^A28,IF(A28='Données projet'!$A$62,'Données projet'!$B$62,AI27+AH28-AQ27)))</f>
        <v>62.249735024344858</v>
      </c>
      <c r="AJ28" s="13">
        <f>AI28*VLOOKUP('Données projet'!$B$10,Paramètres!$A$1:$I$89,3,0)*VLOOKUP('Données projet'!$B$10,Paramètres!$A$1:$I$89,5,0)</f>
        <v>27.514382880760429</v>
      </c>
      <c r="AK28" s="13">
        <f t="shared" si="35"/>
        <v>8.6207903460851121</v>
      </c>
      <c r="AL28" s="20">
        <f t="shared" si="4"/>
        <v>62.935426703422642</v>
      </c>
      <c r="AM28" s="59">
        <f t="shared" si="5"/>
        <v>356.26876003675596</v>
      </c>
      <c r="AN28" s="59">
        <f ca="1">AVERAGE(OFFSET($AM$3,0,0,'Données projet'!$E$10+1,1))-AVERAGE(OFFSET($H$3,0,0,'Données projet'!$E$10+1,1))</f>
        <v>218.3918302549892</v>
      </c>
      <c r="AO28" s="59">
        <f t="shared" si="36"/>
        <v>102.61932145411976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62.820512820512818</v>
      </c>
      <c r="BB28" s="12">
        <f>VLOOKUP(A28,'Données projet'!$A$87:$I$107,9,0)</f>
        <v>5.1282051282051295</v>
      </c>
      <c r="BC28" s="12">
        <f t="array" ref="BC28">INDEX(BB:BB,MIN(IF(ISNUMBER(BB28:BB224),ROW(BB28:BB224),"")))</f>
        <v>5.1282051282051295</v>
      </c>
      <c r="BD28" s="12">
        <f>IF('Données projet'!$A$88&gt;35,BD27+BC28-BL27,IF(A28&lt;'Données projet'!$A$88,$BA$205^A28,IF(A28='Données projet'!$A$88,'Données projet'!$B$88,BD27+BC28-BL27)))</f>
        <v>62.820512820512818</v>
      </c>
      <c r="BE28" s="13">
        <f>BD28*VLOOKUP('Données projet'!$B$11,Paramètres!$A$1:$I$89,3,0)*VLOOKUP('Données projet'!$B$11,Paramètres!$A$1:$I$89,5,0)</f>
        <v>54.88000000000001</v>
      </c>
      <c r="BF28" s="13">
        <f t="shared" si="37"/>
        <v>15.867129491049784</v>
      </c>
      <c r="BG28" s="20">
        <f t="shared" si="7"/>
        <v>123.2179171969117</v>
      </c>
      <c r="BH28" s="59">
        <f t="shared" si="8"/>
        <v>416.551250530245</v>
      </c>
      <c r="BI28" s="59">
        <f ca="1">AVERAGE(OFFSET($BH$3,0,0,'Données projet'!$E$11+1,1))-AVERAGE(OFFSET($H$3,0,0,'Données projet'!$E$11+1,1))</f>
        <v>112.66486935566058</v>
      </c>
      <c r="BJ28" s="59">
        <f t="shared" si="38"/>
        <v>110.84860075828624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12.179487179487179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0.215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5.8658901231307938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5.8658901231307938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21.61428571428571</v>
      </c>
      <c r="N29" s="13">
        <f>IF('Données projet'!$A$36&gt;35,N28+M29-V28,IF(A29&lt;'Données projet'!$A$36,$K$205^A29,IF(A29='Données projet'!$A$36,'Données projet'!$B$36,N28+M29-V28)))</f>
        <v>238.78142857142851</v>
      </c>
      <c r="O29" s="13">
        <f>N29*VLOOKUP('Données projet'!$B$9,Paramètres!$A$1:$I$89,3,0)*VLOOKUP('Données projet'!$B$9,Paramètres!$A$1:$I$89,5,0)</f>
        <v>133.47881857142855</v>
      </c>
      <c r="P29" s="13">
        <f t="shared" si="33"/>
        <v>34.798972504515248</v>
      </c>
      <c r="Q29" s="20">
        <f t="shared" si="2"/>
        <v>293.08381945726882</v>
      </c>
      <c r="R29" s="59">
        <f t="shared" si="0"/>
        <v>586.41715279060213</v>
      </c>
      <c r="S29" s="59">
        <f ca="1">AVERAGE(OFFSET($R$3,0,0,'Données projet'!$E$9+1,1))-AVERAGE(OFFSET($H$3,0,0,'Données projet'!$E$9+1,1))</f>
        <v>314.07001555875894</v>
      </c>
      <c r="T29" s="59">
        <f t="shared" si="34"/>
        <v>281.53154885904991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5.9658330451437456</v>
      </c>
      <c r="AA29" s="21">
        <f>EXP(-LN(2)/25)*AA28+(1-EXP(-LN(2)/25))/(LN(2)/25)*Calculateur!V29*Calculateur!X29*VLOOKUP('Données projet'!$B$9,Paramètres!$A$1:$I$89,3,0)*0.475*44/12</f>
        <v>8.453133709792148</v>
      </c>
      <c r="AB29" s="21">
        <f>EXP(-LN(2)/2)*AB28+(1-EXP(-LN(2)/2))/(LN(2)/2)*V29*Y29*VLOOKUP('Données projet'!$B$9,Paramètres!$A$1:$I$89,3,0)*0.475*44/12</f>
        <v>2.7465560897516772</v>
      </c>
      <c r="AC29" s="22">
        <f t="shared" si="3"/>
        <v>17.165522844687573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8.1011764705882356</v>
      </c>
      <c r="AI29" s="13">
        <f>IF('Données projet'!$A$62&gt;35,AI28+AH29-AQ28,IF(A29&lt;'Données projet'!$A$62,$AF$205^A29,IF(A29='Données projet'!$A$62,'Données projet'!$B$62,AI28+AH29-AQ28)))</f>
        <v>73.434984478842495</v>
      </c>
      <c r="AJ29" s="13">
        <f>AI29*VLOOKUP('Données projet'!$B$10,Paramètres!$A$1:$I$89,3,0)*VLOOKUP('Données projet'!$B$10,Paramètres!$A$1:$I$89,5,0)</f>
        <v>32.458263139648388</v>
      </c>
      <c r="AK29" s="13">
        <f t="shared" si="35"/>
        <v>9.976060618370779</v>
      </c>
      <c r="AL29" s="20">
        <f t="shared" si="4"/>
        <v>73.906447211883389</v>
      </c>
      <c r="AM29" s="59">
        <f t="shared" si="5"/>
        <v>367.23978054521672</v>
      </c>
      <c r="AN29" s="59">
        <f ca="1">AVERAGE(OFFSET($AM$3,0,0,'Données projet'!$E$10+1,1))-AVERAGE(OFFSET($H$3,0,0,'Données projet'!$E$10+1,1))</f>
        <v>218.3918302549892</v>
      </c>
      <c r="AO29" s="59">
        <f t="shared" si="36"/>
        <v>102.61932145411976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5.1282051282051295</v>
      </c>
      <c r="BD29" s="12">
        <f>IF('Données projet'!$A$88&gt;35,BD28+BC29-BL28,IF(A29&lt;'Données projet'!$A$88,$BA$205^A29,IF(A29='Données projet'!$A$88,'Données projet'!$B$88,BD28+BC29-BL28)))</f>
        <v>55.769230769230759</v>
      </c>
      <c r="BE29" s="13">
        <f>BD29*VLOOKUP('Données projet'!$B$11,Paramètres!$A$1:$I$89,3,0)*VLOOKUP('Données projet'!$B$11,Paramètres!$A$1:$I$89,5,0)</f>
        <v>48.72</v>
      </c>
      <c r="BF29" s="13">
        <f t="shared" si="37"/>
        <v>14.282696808795901</v>
      </c>
      <c r="BG29" s="20">
        <f t="shared" si="7"/>
        <v>109.72969694198621</v>
      </c>
      <c r="BH29" s="59">
        <f t="shared" si="8"/>
        <v>403.06303027531953</v>
      </c>
      <c r="BI29" s="59">
        <f ca="1">AVERAGE(OFFSET($BH$3,0,0,'Données projet'!$E$11+1,1))-AVERAGE(OFFSET($H$3,0,0,'Données projet'!$E$11+1,1))</f>
        <v>112.66486935566058</v>
      </c>
      <c r="BJ29" s="59">
        <f t="shared" si="38"/>
        <v>110.84860075828624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5.7054870492400278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5.7054870492400278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21.61428571428571</v>
      </c>
      <c r="N30" s="13">
        <f>IF('Données projet'!$A$36&gt;35,N29+M30-V29,IF(A30&lt;'Données projet'!$A$36,$K$205^A30,IF(A30='Données projet'!$A$36,'Données projet'!$B$36,N29+M30-V29)))</f>
        <v>260.39571428571423</v>
      </c>
      <c r="O30" s="13">
        <f>N30*VLOOKUP('Données projet'!$B$9,Paramètres!$A$1:$I$89,3,0)*VLOOKUP('Données projet'!$B$9,Paramètres!$A$1:$I$89,5,0)</f>
        <v>145.56120428571427</v>
      </c>
      <c r="P30" s="13">
        <f t="shared" si="33"/>
        <v>37.568096638366988</v>
      </c>
      <c r="Q30" s="20">
        <f t="shared" si="2"/>
        <v>318.95019910944154</v>
      </c>
      <c r="R30" s="59">
        <f t="shared" si="0"/>
        <v>612.28353244277491</v>
      </c>
      <c r="S30" s="59">
        <f ca="1">AVERAGE(OFFSET($R$3,0,0,'Données projet'!$E$9+1,1))-AVERAGE(OFFSET($H$3,0,0,'Données projet'!$E$9+1,1))</f>
        <v>314.07001555875894</v>
      </c>
      <c r="T30" s="59">
        <f t="shared" si="34"/>
        <v>281.53154885904991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5.8488466979273328</v>
      </c>
      <c r="AA30" s="21">
        <f>EXP(-LN(2)/25)*AA29+(1-EXP(-LN(2)/25))/(LN(2)/25)*Calculateur!V30*Calculateur!X30*VLOOKUP('Données projet'!$B$9,Paramètres!$A$1:$I$89,3,0)*0.475*44/12</f>
        <v>8.2219823239669001</v>
      </c>
      <c r="AB30" s="21">
        <f>EXP(-LN(2)/2)*AB29+(1-EXP(-LN(2)/2))/(LN(2)/2)*V30*Y30*VLOOKUP('Données projet'!$B$9,Paramètres!$A$1:$I$89,3,0)*0.475*44/12</f>
        <v>1.9421084359726188</v>
      </c>
      <c r="AC30" s="22">
        <f t="shared" si="3"/>
        <v>16.012937457866851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8.1011764705882356</v>
      </c>
      <c r="AI30" s="13">
        <f>IF('Données projet'!$A$62&gt;35,AI29+AH30-AQ29,IF(A30&lt;'Données projet'!$A$62,$AF$205^A30,IF(A30='Données projet'!$A$62,'Données projet'!$B$62,AI29+AH30-AQ29)))</f>
        <v>86.630038558378459</v>
      </c>
      <c r="AJ30" s="13">
        <f>AI30*VLOOKUP('Données projet'!$B$10,Paramètres!$A$1:$I$89,3,0)*VLOOKUP('Données projet'!$B$10,Paramètres!$A$1:$I$89,5,0)</f>
        <v>38.290477042803282</v>
      </c>
      <c r="AK30" s="13">
        <f t="shared" si="35"/>
        <v>11.544392273337598</v>
      </c>
      <c r="AL30" s="20">
        <f t="shared" si="4"/>
        <v>86.795730725612032</v>
      </c>
      <c r="AM30" s="59">
        <f t="shared" si="5"/>
        <v>380.12906405894535</v>
      </c>
      <c r="AN30" s="59">
        <f ca="1">AVERAGE(OFFSET($AM$3,0,0,'Données projet'!$E$10+1,1))-AVERAGE(OFFSET($H$3,0,0,'Données projet'!$E$10+1,1))</f>
        <v>218.3918302549892</v>
      </c>
      <c r="AO30" s="59">
        <f t="shared" si="36"/>
        <v>102.61932145411976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5.1282051282051295</v>
      </c>
      <c r="BD30" s="12">
        <f>IF('Données projet'!$A$88&gt;35,BD29+BC30-BL29,IF(A30&lt;'Données projet'!$A$88,$BA$205^A30,IF(A30='Données projet'!$A$88,'Données projet'!$B$88,BD29+BC30-BL29)))</f>
        <v>60.897435897435891</v>
      </c>
      <c r="BE30" s="13">
        <f>BD30*VLOOKUP('Données projet'!$B$11,Paramètres!$A$1:$I$89,3,0)*VLOOKUP('Données projet'!$B$11,Paramètres!$A$1:$I$89,5,0)</f>
        <v>53.2</v>
      </c>
      <c r="BF30" s="13">
        <f t="shared" si="37"/>
        <v>15.437166316247735</v>
      </c>
      <c r="BG30" s="20">
        <f t="shared" si="7"/>
        <v>119.54306466746482</v>
      </c>
      <c r="BH30" s="59">
        <f t="shared" si="8"/>
        <v>412.87639800079813</v>
      </c>
      <c r="BI30" s="59">
        <f ca="1">AVERAGE(OFFSET($BH$3,0,0,'Données projet'!$E$11+1,1))-AVERAGE(OFFSET($H$3,0,0,'Données projet'!$E$11+1,1))</f>
        <v>112.66486935566058</v>
      </c>
      <c r="BJ30" s="59">
        <f t="shared" si="38"/>
        <v>110.84860075828624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5.5494702058400351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5.5494702058400351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282.01</v>
      </c>
      <c r="L31" s="12">
        <f>VLOOKUP(A31,'Données projet'!$A$35:$I$55,9,0)</f>
        <v>21.61428571428571</v>
      </c>
      <c r="M31" s="12">
        <f t="array" ref="M31">INDEX(L:L,MIN(IF(ISNUMBER(L31:L227),ROW(L31:L227),"")))</f>
        <v>21.61428571428571</v>
      </c>
      <c r="N31" s="13">
        <f>IF('Données projet'!$A$36&gt;35,N30+M31-V30,IF(A31&lt;'Données projet'!$A$36,$K$205^A31,IF(A31='Données projet'!$A$36,'Données projet'!$B$36,N30+M31-V30)))</f>
        <v>282.00999999999993</v>
      </c>
      <c r="O31" s="13">
        <f>N31*VLOOKUP('Données projet'!$B$9,Paramètres!$A$1:$I$89,3,0)*VLOOKUP('Données projet'!$B$9,Paramètres!$A$1:$I$89,5,0)</f>
        <v>157.64358999999996</v>
      </c>
      <c r="P31" s="13">
        <f t="shared" si="33"/>
        <v>40.310562469543989</v>
      </c>
      <c r="Q31" s="20">
        <f t="shared" si="2"/>
        <v>344.77014888445569</v>
      </c>
      <c r="R31" s="59">
        <f t="shared" si="0"/>
        <v>638.10348221778895</v>
      </c>
      <c r="S31" s="59">
        <f ca="1">AVERAGE(OFFSET($R$3,0,0,'Données projet'!$E$9+1,1))-AVERAGE(OFFSET($H$3,0,0,'Données projet'!$E$9+1,1))</f>
        <v>314.07001555875894</v>
      </c>
      <c r="T31" s="59">
        <f t="shared" si="34"/>
        <v>281.53154885904991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67.639999999999986</v>
      </c>
      <c r="W31" s="16">
        <f>IF(ISNA(VLOOKUP(A31,'Données projet'!$A$35:$I$55,5,0)),0%,VLOOKUP(A31,'Données projet'!$A$35:$I$55,5,0)*VLOOKUP('Données projet'!$B$9,Paramètres!$A$1:$I$89,7,0))</f>
        <v>0.13750000000000001</v>
      </c>
      <c r="X31" s="16">
        <f>IF(ISNA(VLOOKUP(A31,'Données projet'!$A$35:$I$55,6,0)),0%,VLOOKUP(A31,'Données projet'!$A$35:$I$55,6,0)*VLOOKUP('Données projet'!$B$9,Paramètres!$A$1:$I$89,7,0))</f>
        <v>0.20350000000000001</v>
      </c>
      <c r="Y31" s="16">
        <f>IF(ISNA(VLOOKUP(A31,'Données projet'!$A$35:$I$55,7,0)),0%,VLOOKUP(A31,'Données projet'!$A$35:$I$55,7,0))</f>
        <v>0.38</v>
      </c>
      <c r="Z31" s="21">
        <f>EXP(-LN(2)/35)*Z30+(1-EXP(-LN(2)/35))/(LN(2)/35)*V31*W31*VLOOKUP('Données projet'!$B$9,Paramètres!$A$1:$I$89,3,0)*0.475*44/12</f>
        <v>12.630935790884042</v>
      </c>
      <c r="AA31" s="21">
        <f>EXP(-LN(2)/25)*AA30+(1-EXP(-LN(2)/25))/(LN(2)/25)*Calculateur!V31*Calculateur!X31*VLOOKUP('Données projet'!$B$9,Paramètres!$A$1:$I$89,3,0)*0.475*44/12</f>
        <v>18.164198491339612</v>
      </c>
      <c r="AB31" s="21">
        <f>EXP(-LN(2)/2)*AB30+(1-EXP(-LN(2)/2))/(LN(2)/2)*V31*Y31*VLOOKUP('Données projet'!$B$9,Paramètres!$A$1:$I$89,3,0)*0.475*44/12</f>
        <v>17.641292237964119</v>
      </c>
      <c r="AC31" s="22">
        <f t="shared" si="3"/>
        <v>48.436426520187773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8.1011764705882356</v>
      </c>
      <c r="AI31" s="13">
        <f>IF('Données projet'!$A$62&gt;35,AI30+AH31-AQ30,IF(A31&lt;'Données projet'!$A$62,$AF$205^A31,IF(A31='Données projet'!$A$62,'Données projet'!$B$62,AI30+AH31-AQ30)))</f>
        <v>102.19602596618446</v>
      </c>
      <c r="AJ31" s="13">
        <f>AI31*VLOOKUP('Données projet'!$B$10,Paramètres!$A$1:$I$89,3,0)*VLOOKUP('Données projet'!$B$10,Paramètres!$A$1:$I$89,5,0)</f>
        <v>45.170643477053538</v>
      </c>
      <c r="AK31" s="13">
        <f t="shared" si="35"/>
        <v>13.359280587697764</v>
      </c>
      <c r="AL31" s="20">
        <f t="shared" si="4"/>
        <v>101.93961774610851</v>
      </c>
      <c r="AM31" s="59">
        <f t="shared" si="5"/>
        <v>395.27295107944184</v>
      </c>
      <c r="AN31" s="59">
        <f ca="1">AVERAGE(OFFSET($AM$3,0,0,'Données projet'!$E$10+1,1))-AVERAGE(OFFSET($H$3,0,0,'Données projet'!$E$10+1,1))</f>
        <v>218.3918302549892</v>
      </c>
      <c r="AO31" s="59">
        <f t="shared" si="36"/>
        <v>102.61932145411976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5.1282051282051295</v>
      </c>
      <c r="BD31" s="12">
        <f>IF('Données projet'!$A$88&gt;35,BD30+BC31-BL30,IF(A31&lt;'Données projet'!$A$88,$BA$205^A31,IF(A31='Données projet'!$A$88,'Données projet'!$B$88,BD30+BC31-BL30)))</f>
        <v>66.025641025641022</v>
      </c>
      <c r="BE31" s="13">
        <f>BD31*VLOOKUP('Données projet'!$B$11,Paramètres!$A$1:$I$89,3,0)*VLOOKUP('Données projet'!$B$11,Paramètres!$A$1:$I$89,5,0)</f>
        <v>57.680000000000007</v>
      </c>
      <c r="BF31" s="13">
        <f t="shared" si="37"/>
        <v>16.580360816013417</v>
      </c>
      <c r="BG31" s="20">
        <f t="shared" si="7"/>
        <v>129.33679508789001</v>
      </c>
      <c r="BH31" s="59">
        <f t="shared" si="8"/>
        <v>422.67012842122335</v>
      </c>
      <c r="BI31" s="59">
        <f ca="1">AVERAGE(OFFSET($BH$3,0,0,'Données projet'!$E$11+1,1))-AVERAGE(OFFSET($H$3,0,0,'Données projet'!$E$11+1,1))</f>
        <v>112.66486935566058</v>
      </c>
      <c r="BJ31" s="59">
        <f t="shared" si="38"/>
        <v>110.84860075828624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5.3977196512273844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5.3977196512273844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23.265714285714289</v>
      </c>
      <c r="N32" s="13">
        <f>IF('Données projet'!$A$36&gt;35,N31+M32-V31,IF(A32&lt;'Données projet'!$A$36,$K$205^A32,IF(A32='Données projet'!$A$36,'Données projet'!$B$36,N31+M32-V31)))</f>
        <v>237.63571428571424</v>
      </c>
      <c r="O32" s="13">
        <f>N32*VLOOKUP('Données projet'!$B$9,Paramètres!$A$1:$I$89,3,0)*VLOOKUP('Données projet'!$B$9,Paramètres!$A$1:$I$89,5,0)</f>
        <v>132.83836428571425</v>
      </c>
      <c r="P32" s="13">
        <f t="shared" si="33"/>
        <v>34.651395262904387</v>
      </c>
      <c r="Q32" s="20">
        <f t="shared" si="2"/>
        <v>291.71133121384406</v>
      </c>
      <c r="R32" s="59">
        <f t="shared" si="0"/>
        <v>585.04466454717738</v>
      </c>
      <c r="S32" s="59">
        <f ca="1">AVERAGE(OFFSET($R$3,0,0,'Données projet'!$E$9+1,1))-AVERAGE(OFFSET($H$3,0,0,'Données projet'!$E$9+1,1))</f>
        <v>314.07001555875894</v>
      </c>
      <c r="T32" s="59">
        <f t="shared" si="34"/>
        <v>281.53154885904991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12.38325084413492</v>
      </c>
      <c r="AA32" s="21">
        <f>EXP(-LN(2)/25)*AA31+(1-EXP(-LN(2)/25))/(LN(2)/25)*Calculateur!V32*Calculateur!X32*VLOOKUP('Données projet'!$B$9,Paramètres!$A$1:$I$89,3,0)*0.475*44/12</f>
        <v>17.667497528380245</v>
      </c>
      <c r="AB32" s="21">
        <f>EXP(-LN(2)/2)*AB31+(1-EXP(-LN(2)/2))/(LN(2)/2)*V32*Y32*VLOOKUP('Données projet'!$B$9,Paramètres!$A$1:$I$89,3,0)*0.475*44/12</f>
        <v>12.474277370358035</v>
      </c>
      <c r="AC32" s="22">
        <f t="shared" si="3"/>
        <v>42.525025742873197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8.1011764705882356</v>
      </c>
      <c r="AI32" s="13">
        <f>IF('Données projet'!$A$62&gt;35,AI31+AH32-AQ31,IF(A32&lt;'Données projet'!$A$62,$AF$205^A32,IF(A32='Données projet'!$A$62,'Données projet'!$B$62,AI31+AH32-AQ31)))</f>
        <v>120.55896427014747</v>
      </c>
      <c r="AJ32" s="13">
        <f>AI32*VLOOKUP('Données projet'!$B$10,Paramètres!$A$1:$I$89,3,0)*VLOOKUP('Données projet'!$B$10,Paramètres!$A$1:$I$89,5,0)</f>
        <v>53.287062207405185</v>
      </c>
      <c r="AK32" s="13">
        <f t="shared" si="35"/>
        <v>15.459486614382058</v>
      </c>
      <c r="AL32" s="20">
        <f t="shared" si="4"/>
        <v>119.73357253127944</v>
      </c>
      <c r="AM32" s="59">
        <f t="shared" si="5"/>
        <v>413.06690586461275</v>
      </c>
      <c r="AN32" s="59">
        <f ca="1">AVERAGE(OFFSET($AM$3,0,0,'Données projet'!$E$10+1,1))-AVERAGE(OFFSET($H$3,0,0,'Données projet'!$E$10+1,1))</f>
        <v>218.3918302549892</v>
      </c>
      <c r="AO32" s="59">
        <f t="shared" si="36"/>
        <v>102.61932145411976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5.1282051282051295</v>
      </c>
      <c r="BD32" s="12">
        <f>IF('Données projet'!$A$88&gt;35,BD31+BC32-BL31,IF(A32&lt;'Données projet'!$A$88,$BA$205^A32,IF(A32='Données projet'!$A$88,'Données projet'!$B$88,BD31+BC32-BL31)))</f>
        <v>71.153846153846146</v>
      </c>
      <c r="BE32" s="13">
        <f>BD32*VLOOKUP('Données projet'!$B$11,Paramètres!$A$1:$I$89,3,0)*VLOOKUP('Données projet'!$B$11,Paramètres!$A$1:$I$89,5,0)</f>
        <v>62.160000000000004</v>
      </c>
      <c r="BF32" s="13">
        <f t="shared" si="37"/>
        <v>17.713255604040903</v>
      </c>
      <c r="BG32" s="20">
        <f t="shared" si="7"/>
        <v>139.11258684370458</v>
      </c>
      <c r="BH32" s="59">
        <f t="shared" si="8"/>
        <v>432.44592017703792</v>
      </c>
      <c r="BI32" s="59">
        <f ca="1">AVERAGE(OFFSET($BH$3,0,0,'Données projet'!$E$11+1,1))-AVERAGE(OFFSET($H$3,0,0,'Données projet'!$E$11+1,1))</f>
        <v>112.66486935566058</v>
      </c>
      <c r="BJ32" s="59">
        <f t="shared" si="38"/>
        <v>110.84860075828624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5.2501187235108322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5.2501187235108322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23.265714285714289</v>
      </c>
      <c r="N33" s="13">
        <f>IF('Données projet'!$A$36&gt;35,N32+M33-V32,IF(A33&lt;'Données projet'!$A$36,$K$205^A33,IF(A33='Données projet'!$A$36,'Données projet'!$B$36,N32+M33-V32)))</f>
        <v>260.90142857142854</v>
      </c>
      <c r="O33" s="13">
        <f>N33*VLOOKUP('Données projet'!$B$9,Paramètres!$A$1:$I$89,3,0)*VLOOKUP('Données projet'!$B$9,Paramètres!$A$1:$I$89,5,0)</f>
        <v>145.84389857142855</v>
      </c>
      <c r="P33" s="13">
        <f t="shared" si="33"/>
        <v>37.632557667341459</v>
      </c>
      <c r="Q33" s="20">
        <f t="shared" si="2"/>
        <v>319.55482794919106</v>
      </c>
      <c r="R33" s="59">
        <f t="shared" si="0"/>
        <v>612.88816128252438</v>
      </c>
      <c r="S33" s="59">
        <f ca="1">AVERAGE(OFFSET($R$3,0,0,'Données projet'!$E$9+1,1))-AVERAGE(OFFSET($H$3,0,0,'Données projet'!$E$9+1,1))</f>
        <v>314.07001555875894</v>
      </c>
      <c r="T33" s="59">
        <f t="shared" si="34"/>
        <v>281.53154885904991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12.14042284811865</v>
      </c>
      <c r="AA33" s="21">
        <f>EXP(-LN(2)/25)*AA32+(1-EXP(-LN(2)/25))/(LN(2)/25)*Calculateur!V33*Calculateur!X33*VLOOKUP('Données projet'!$B$9,Paramètres!$A$1:$I$89,3,0)*0.475*44/12</f>
        <v>17.184378879373373</v>
      </c>
      <c r="AB33" s="21">
        <f>EXP(-LN(2)/2)*AB32+(1-EXP(-LN(2)/2))/(LN(2)/2)*V33*Y33*VLOOKUP('Données projet'!$B$9,Paramètres!$A$1:$I$89,3,0)*0.475*44/12</f>
        <v>8.8206461189820615</v>
      </c>
      <c r="AC33" s="22">
        <f t="shared" si="3"/>
        <v>38.145447846474084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8.1011764705882356</v>
      </c>
      <c r="AI33" s="13">
        <f>IF('Données projet'!$A$62&gt;35,AI32+AH33-AQ32,IF(A33&lt;'Données projet'!$A$62,$AF$205^A33,IF(A33='Données projet'!$A$62,'Données projet'!$B$62,AI32+AH33-AQ32)))</f>
        <v>142.22141936027916</v>
      </c>
      <c r="AJ33" s="13">
        <f>AI33*VLOOKUP('Données projet'!$B$10,Paramètres!$A$1:$I$89,3,0)*VLOOKUP('Données projet'!$B$10,Paramètres!$A$1:$I$89,5,0)</f>
        <v>62.861867357243391</v>
      </c>
      <c r="AK33" s="13">
        <f t="shared" si="35"/>
        <v>17.889865012667176</v>
      </c>
      <c r="AL33" s="20">
        <f t="shared" si="4"/>
        <v>140.64260054426089</v>
      </c>
      <c r="AM33" s="59">
        <f t="shared" si="5"/>
        <v>433.97593387759423</v>
      </c>
      <c r="AN33" s="59">
        <f ca="1">AVERAGE(OFFSET($AM$3,0,0,'Données projet'!$E$10+1,1))-AVERAGE(OFFSET($H$3,0,0,'Données projet'!$E$10+1,1))</f>
        <v>218.3918302549892</v>
      </c>
      <c r="AO33" s="59">
        <f t="shared" si="36"/>
        <v>102.61932145411976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76.282051282051285</v>
      </c>
      <c r="BB33" s="12">
        <f>VLOOKUP(A33,'Données projet'!$A$87:$I$107,9,0)</f>
        <v>5.1282051282051295</v>
      </c>
      <c r="BC33" s="12">
        <f t="array" ref="BC33">INDEX(BB:BB,MIN(IF(ISNUMBER(BB33:BB229),ROW(BB33:BB229),"")))</f>
        <v>5.1282051282051295</v>
      </c>
      <c r="BD33" s="12">
        <f>IF('Données projet'!$A$88&gt;35,BD32+BC33-BL32,IF(A33&lt;'Données projet'!$A$88,$BA$205^A33,IF(A33='Données projet'!$A$88,'Données projet'!$B$88,BD32+BC33-BL32)))</f>
        <v>76.28205128205127</v>
      </c>
      <c r="BE33" s="13">
        <f>BD33*VLOOKUP('Données projet'!$B$11,Paramètres!$A$1:$I$89,3,0)*VLOOKUP('Données projet'!$B$11,Paramètres!$A$1:$I$89,5,0)</f>
        <v>66.64</v>
      </c>
      <c r="BF33" s="13">
        <f t="shared" si="37"/>
        <v>18.836677424934397</v>
      </c>
      <c r="BG33" s="20">
        <f t="shared" si="7"/>
        <v>148.8718798484274</v>
      </c>
      <c r="BH33" s="59">
        <f t="shared" si="8"/>
        <v>442.20521318176071</v>
      </c>
      <c r="BI33" s="59">
        <f ca="1">AVERAGE(OFFSET($BH$3,0,0,'Données projet'!$E$11+1,1))-AVERAGE(OFFSET($H$3,0,0,'Données projet'!$E$11+1,1))</f>
        <v>112.66486935566058</v>
      </c>
      <c r="BJ33" s="59">
        <f t="shared" si="38"/>
        <v>110.84860075828624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12.820512820512819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0.215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7.7580454241317156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7.7580454241317156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23.265714285714289</v>
      </c>
      <c r="N34" s="13">
        <f>IF('Données projet'!$A$36&gt;35,N33+M34-V33,IF(A34&lt;'Données projet'!$A$36,$K$205^A34,IF(A34='Données projet'!$A$36,'Données projet'!$B$36,N33+M34-V33)))</f>
        <v>284.16714285714284</v>
      </c>
      <c r="O34" s="13">
        <f>N34*VLOOKUP('Données projet'!$B$9,Paramètres!$A$1:$I$89,3,0)*VLOOKUP('Données projet'!$B$9,Paramètres!$A$1:$I$89,5,0)</f>
        <v>158.84943285714286</v>
      </c>
      <c r="P34" s="13">
        <f t="shared" si="33"/>
        <v>40.582892872917235</v>
      </c>
      <c r="Q34" s="20">
        <f t="shared" si="2"/>
        <v>347.34463397985468</v>
      </c>
      <c r="R34" s="59">
        <f t="shared" si="0"/>
        <v>640.67796731318799</v>
      </c>
      <c r="S34" s="59">
        <f ca="1">AVERAGE(OFFSET($R$3,0,0,'Données projet'!$E$9+1,1))-AVERAGE(OFFSET($H$3,0,0,'Données projet'!$E$9+1,1))</f>
        <v>314.07001555875894</v>
      </c>
      <c r="T34" s="59">
        <f t="shared" si="34"/>
        <v>281.53154885904991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11.902356560993805</v>
      </c>
      <c r="AA34" s="21">
        <f>EXP(-LN(2)/25)*AA33+(1-EXP(-LN(2)/25))/(LN(2)/25)*Calculateur!V34*Calculateur!X34*VLOOKUP('Données projet'!$B$9,Paramètres!$A$1:$I$89,3,0)*0.475*44/12</f>
        <v>16.714471135229697</v>
      </c>
      <c r="AB34" s="21">
        <f>EXP(-LN(2)/2)*AB33+(1-EXP(-LN(2)/2))/(LN(2)/2)*V34*Y34*VLOOKUP('Données projet'!$B$9,Paramètres!$A$1:$I$89,3,0)*0.475*44/12</f>
        <v>6.2371386851790183</v>
      </c>
      <c r="AC34" s="22">
        <f t="shared" si="3"/>
        <v>34.853966381402522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8.1011764705882356</v>
      </c>
      <c r="AI34" s="13">
        <f>IF('Données projet'!$A$62&gt;35,AI33+AH34-AQ33,IF(A34&lt;'Données projet'!$A$62,$AF$205^A34,IF(A34='Données projet'!$A$62,'Données projet'!$B$62,AI33+AH34-AQ33)))</f>
        <v>167.77625991815964</v>
      </c>
      <c r="AJ34" s="13">
        <f>AI34*VLOOKUP('Données projet'!$B$10,Paramètres!$A$1:$I$89,3,0)*VLOOKUP('Données projet'!$B$10,Paramètres!$A$1:$I$89,5,0)</f>
        <v>74.157106883826557</v>
      </c>
      <c r="AK34" s="13">
        <f t="shared" si="35"/>
        <v>20.702322021076114</v>
      </c>
      <c r="AL34" s="20">
        <f t="shared" si="4"/>
        <v>165.21350534270547</v>
      </c>
      <c r="AM34" s="59">
        <f t="shared" si="5"/>
        <v>458.54683867603876</v>
      </c>
      <c r="AN34" s="59">
        <f ca="1">AVERAGE(OFFSET($AM$3,0,0,'Données projet'!$E$10+1,1))-AVERAGE(OFFSET($H$3,0,0,'Données projet'!$E$10+1,1))</f>
        <v>218.3918302549892</v>
      </c>
      <c r="AO34" s="59">
        <f t="shared" si="36"/>
        <v>102.61932145411976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4.6153846153846132</v>
      </c>
      <c r="BD34" s="12">
        <f>IF('Données projet'!$A$88&gt;35,BD33+BC34-BL33,IF(A34&lt;'Données projet'!$A$88,$BA$205^A34,IF(A34='Données projet'!$A$88,'Données projet'!$B$88,BD33+BC34-BL33)))</f>
        <v>68.076923076923066</v>
      </c>
      <c r="BE34" s="13">
        <f>BD34*VLOOKUP('Données projet'!$B$11,Paramètres!$A$1:$I$89,3,0)*VLOOKUP('Données projet'!$B$11,Paramètres!$A$1:$I$89,5,0)</f>
        <v>59.472000000000001</v>
      </c>
      <c r="BF34" s="13">
        <f t="shared" si="37"/>
        <v>17.034705450773373</v>
      </c>
      <c r="BG34" s="20">
        <f t="shared" si="7"/>
        <v>133.24917866009699</v>
      </c>
      <c r="BH34" s="59">
        <f t="shared" si="8"/>
        <v>426.58251199343033</v>
      </c>
      <c r="BI34" s="59">
        <f ca="1">AVERAGE(OFFSET($BH$3,0,0,'Données projet'!$E$11+1,1))-AVERAGE(OFFSET($H$3,0,0,'Données projet'!$E$11+1,1))</f>
        <v>112.66486935566058</v>
      </c>
      <c r="BJ34" s="59">
        <f t="shared" si="38"/>
        <v>110.84860075828624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7.545901264030956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7.545901264030956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23.265714285714289</v>
      </c>
      <c r="N35" s="13">
        <f>IF('Données projet'!$A$36&gt;35,N34+M35-V34,IF(A35&lt;'Données projet'!$A$36,$K$205^A35,IF(A35='Données projet'!$A$36,'Données projet'!$B$36,N34+M35-V34)))</f>
        <v>307.43285714285713</v>
      </c>
      <c r="O35" s="13">
        <f>N35*VLOOKUP('Données projet'!$B$9,Paramètres!$A$1:$I$89,3,0)*VLOOKUP('Données projet'!$B$9,Paramètres!$A$1:$I$89,5,0)</f>
        <v>171.85496714285716</v>
      </c>
      <c r="P35" s="13">
        <f t="shared" si="33"/>
        <v>43.505211750246715</v>
      </c>
      <c r="Q35" s="20">
        <f t="shared" ref="Q35:Q66" si="53">(O35+P35)*0.475*44/12</f>
        <v>375.08564490548923</v>
      </c>
      <c r="R35" s="59">
        <f t="shared" si="0"/>
        <v>668.41897823882255</v>
      </c>
      <c r="S35" s="59">
        <f ca="1">AVERAGE(OFFSET($R$3,0,0,'Données projet'!$E$9+1,1))-AVERAGE(OFFSET($H$3,0,0,'Données projet'!$E$9+1,1))</f>
        <v>314.07001555875894</v>
      </c>
      <c r="T35" s="59">
        <f t="shared" si="34"/>
        <v>281.53154885904991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11.668958608553382</v>
      </c>
      <c r="AA35" s="21">
        <f>EXP(-LN(2)/25)*AA34+(1-EXP(-LN(2)/25))/(LN(2)/25)*Calculateur!V35*Calculateur!X35*VLOOKUP('Données projet'!$B$9,Paramètres!$A$1:$I$89,3,0)*0.475*44/12</f>
        <v>16.257413043061007</v>
      </c>
      <c r="AB35" s="21">
        <f>EXP(-LN(2)/2)*AB34+(1-EXP(-LN(2)/2))/(LN(2)/2)*V35*Y35*VLOOKUP('Données projet'!$B$9,Paramètres!$A$1:$I$89,3,0)*0.475*44/12</f>
        <v>4.4103230594910308</v>
      </c>
      <c r="AC35" s="22">
        <f t="shared" si="3"/>
        <v>32.336694711105423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8.1011764705882356</v>
      </c>
      <c r="AI35" s="13">
        <f>IF('Données projet'!$A$62&gt;35,AI34+AH35-AQ34,IF(A35&lt;'Données projet'!$A$62,$AF$205^A35,IF(A35='Données projet'!$A$62,'Données projet'!$B$62,AI34+AH35-AQ34)))</f>
        <v>197.92288333741328</v>
      </c>
      <c r="AJ35" s="13">
        <f>AI35*VLOOKUP('Données projet'!$B$10,Paramètres!$A$1:$I$89,3,0)*VLOOKUP('Données projet'!$B$10,Paramètres!$A$1:$I$89,5,0)</f>
        <v>87.481914435136687</v>
      </c>
      <c r="AK35" s="13">
        <f t="shared" si="35"/>
        <v>23.956924032734001</v>
      </c>
      <c r="AL35" s="20">
        <f t="shared" si="4"/>
        <v>194.08931033154144</v>
      </c>
      <c r="AM35" s="59">
        <f t="shared" si="5"/>
        <v>487.42264366487473</v>
      </c>
      <c r="AN35" s="59">
        <f ca="1">AVERAGE(OFFSET($AM$3,0,0,'Données projet'!$E$10+1,1))-AVERAGE(OFFSET($H$3,0,0,'Données projet'!$E$10+1,1))</f>
        <v>218.3918302549892</v>
      </c>
      <c r="AO35" s="59">
        <f t="shared" si="36"/>
        <v>102.61932145411976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4.6153846153846132</v>
      </c>
      <c r="BD35" s="12">
        <f>IF('Données projet'!$A$88&gt;35,BD34+BC35-BL34,IF(A35&lt;'Données projet'!$A$88,$BA$205^A35,IF(A35='Données projet'!$A$88,'Données projet'!$B$88,BD34+BC35-BL34)))</f>
        <v>72.692307692307679</v>
      </c>
      <c r="BE35" s="13">
        <f>BD35*VLOOKUP('Données projet'!$B$11,Paramètres!$A$1:$I$89,3,0)*VLOOKUP('Données projet'!$B$11,Paramètres!$A$1:$I$89,5,0)</f>
        <v>63.503999999999998</v>
      </c>
      <c r="BF35" s="13">
        <f t="shared" si="37"/>
        <v>18.051242499399113</v>
      </c>
      <c r="BG35" s="20">
        <f t="shared" si="7"/>
        <v>142.0420473531201</v>
      </c>
      <c r="BH35" s="59">
        <f t="shared" si="8"/>
        <v>435.37538068645341</v>
      </c>
      <c r="BI35" s="59">
        <f ca="1">AVERAGE(OFFSET($BH$3,0,0,'Données projet'!$E$11+1,1))-AVERAGE(OFFSET($H$3,0,0,'Données projet'!$E$11+1,1))</f>
        <v>112.66486935566058</v>
      </c>
      <c r="BJ35" s="59">
        <f t="shared" si="38"/>
        <v>110.84860075828624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7.3395581971443287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7.3395581971443287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23.265714285714289</v>
      </c>
      <c r="N36" s="13">
        <f>IF('Données projet'!$A$36&gt;35,N35+M36-V35,IF(A36&lt;'Données projet'!$A$36,$K$205^A36,IF(A36='Données projet'!$A$36,'Données projet'!$B$36,N35+M36-V35)))</f>
        <v>330.69857142857143</v>
      </c>
      <c r="O36" s="13">
        <f>N36*VLOOKUP('Données projet'!$B$9,Paramètres!$A$1:$I$89,3,0)*VLOOKUP('Données projet'!$B$9,Paramètres!$A$1:$I$89,5,0)</f>
        <v>184.86050142857144</v>
      </c>
      <c r="P36" s="13">
        <f t="shared" si="33"/>
        <v>46.401875578821517</v>
      </c>
      <c r="Q36" s="20">
        <f t="shared" si="53"/>
        <v>402.7819732878761</v>
      </c>
      <c r="R36" s="59">
        <f t="shared" si="0"/>
        <v>696.11530662120936</v>
      </c>
      <c r="S36" s="59">
        <f ca="1">AVERAGE(OFFSET($R$3,0,0,'Données projet'!$E$9+1,1))-AVERAGE(OFFSET($H$3,0,0,'Données projet'!$E$9+1,1))</f>
        <v>314.07001555875894</v>
      </c>
      <c r="T36" s="59">
        <f t="shared" si="34"/>
        <v>281.53154885904991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11.44013744760162</v>
      </c>
      <c r="AA36" s="21">
        <f>EXP(-LN(2)/25)*AA35+(1-EXP(-LN(2)/25))/(LN(2)/25)*Calculateur!V36*Calculateur!X36*VLOOKUP('Données projet'!$B$9,Paramètres!$A$1:$I$89,3,0)*0.475*44/12</f>
        <v>15.812853228458309</v>
      </c>
      <c r="AB36" s="21">
        <f>EXP(-LN(2)/2)*AB35+(1-EXP(-LN(2)/2))/(LN(2)/2)*V36*Y36*VLOOKUP('Données projet'!$B$9,Paramètres!$A$1:$I$89,3,0)*0.475*44/12</f>
        <v>3.1185693425895091</v>
      </c>
      <c r="AC36" s="22">
        <f t="shared" si="3"/>
        <v>30.37156001864944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8.1011764705882356</v>
      </c>
      <c r="AI36" s="13">
        <f>IF('Données projet'!$A$62&gt;35,AI35+AH36-AQ35,IF(A36&lt;'Données projet'!$A$62,$AF$205^A36,IF(A36='Données projet'!$A$62,'Données projet'!$B$62,AI35+AH36-AQ35)))</f>
        <v>233.48635717415513</v>
      </c>
      <c r="AJ36" s="13">
        <f>AI36*VLOOKUP('Données projet'!$B$10,Paramètres!$A$1:$I$89,3,0)*VLOOKUP('Données projet'!$B$10,Paramètres!$A$1:$I$89,5,0)</f>
        <v>103.20096987097656</v>
      </c>
      <c r="AK36" s="13">
        <f t="shared" si="35"/>
        <v>27.723180449318225</v>
      </c>
      <c r="AL36" s="20">
        <f t="shared" si="4"/>
        <v>228.02622847451343</v>
      </c>
      <c r="AM36" s="59">
        <f t="shared" si="5"/>
        <v>521.35956180784672</v>
      </c>
      <c r="AN36" s="59">
        <f ca="1">AVERAGE(OFFSET($AM$3,0,0,'Données projet'!$E$10+1,1))-AVERAGE(OFFSET($H$3,0,0,'Données projet'!$E$10+1,1))</f>
        <v>218.3918302549892</v>
      </c>
      <c r="AO36" s="59">
        <f t="shared" si="36"/>
        <v>102.61932145411976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4.6153846153846132</v>
      </c>
      <c r="BD36" s="12">
        <f>IF('Données projet'!$A$88&gt;35,BD35+BC36-BL35,IF(A36&lt;'Données projet'!$A$88,$BA$205^A36,IF(A36='Données projet'!$A$88,'Données projet'!$B$88,BD35+BC36-BL35)))</f>
        <v>77.307692307692292</v>
      </c>
      <c r="BE36" s="13">
        <f>BD36*VLOOKUP('Données projet'!$B$11,Paramètres!$A$1:$I$89,3,0)*VLOOKUP('Données projet'!$B$11,Paramètres!$A$1:$I$89,5,0)</f>
        <v>67.536000000000001</v>
      </c>
      <c r="BF36" s="13">
        <f t="shared" si="37"/>
        <v>19.060289237119235</v>
      </c>
      <c r="BG36" s="20">
        <f t="shared" si="7"/>
        <v>150.82187042131599</v>
      </c>
      <c r="BH36" s="59">
        <f t="shared" si="8"/>
        <v>444.15520375464928</v>
      </c>
      <c r="BI36" s="59">
        <f ca="1">AVERAGE(OFFSET($BH$3,0,0,'Données projet'!$E$11+1,1))-AVERAGE(OFFSET($H$3,0,0,'Données projet'!$E$11+1,1))</f>
        <v>112.66486935566058</v>
      </c>
      <c r="BJ36" s="59">
        <f t="shared" si="38"/>
        <v>110.84860075828624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7.1388575922728261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7.1388575922728261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23.265714285714289</v>
      </c>
      <c r="N37" s="13">
        <f>IF('Données projet'!$A$36&gt;35,N36+M37-V36,IF(A37&lt;'Données projet'!$A$36,$K$205^A37,IF(A37='Données projet'!$A$36,'Données projet'!$B$36,N36+M37-V36)))</f>
        <v>353.96428571428572</v>
      </c>
      <c r="O37" s="13">
        <f>N37*VLOOKUP('Données projet'!$B$9,Paramètres!$A$1:$I$89,3,0)*VLOOKUP('Données projet'!$B$9,Paramètres!$A$1:$I$89,5,0)</f>
        <v>197.86603571428572</v>
      </c>
      <c r="P37" s="13">
        <f t="shared" si="33"/>
        <v>49.274894571766396</v>
      </c>
      <c r="Q37" s="20">
        <f t="shared" si="53"/>
        <v>430.43712024820735</v>
      </c>
      <c r="R37" s="59">
        <f t="shared" si="0"/>
        <v>723.77045358154066</v>
      </c>
      <c r="S37" s="59">
        <f ca="1">AVERAGE(OFFSET($R$3,0,0,'Données projet'!$E$9+1,1))-AVERAGE(OFFSET($H$3,0,0,'Données projet'!$E$9+1,1))</f>
        <v>314.07001555875894</v>
      </c>
      <c r="T37" s="59">
        <f t="shared" si="34"/>
        <v>281.53154885904991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11.215803330048995</v>
      </c>
      <c r="AA37" s="21">
        <f>EXP(-LN(2)/25)*AA36+(1-EXP(-LN(2)/25))/(LN(2)/25)*Calculateur!V37*Calculateur!X37*VLOOKUP('Données projet'!$B$9,Paramètres!$A$1:$I$89,3,0)*0.475*44/12</f>
        <v>15.380449925364307</v>
      </c>
      <c r="AB37" s="21">
        <f>EXP(-LN(2)/2)*AB36+(1-EXP(-LN(2)/2))/(LN(2)/2)*V37*Y37*VLOOKUP('Données projet'!$B$9,Paramètres!$A$1:$I$89,3,0)*0.475*44/12</f>
        <v>2.2051615297455154</v>
      </c>
      <c r="AC37" s="22">
        <f t="shared" si="3"/>
        <v>28.801414785158819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275.44</v>
      </c>
      <c r="AG37" s="12">
        <f>VLOOKUP(A37,'Données projet'!$A$61:$I$81,9,0)</f>
        <v>8.1011764705882356</v>
      </c>
      <c r="AH37" s="12">
        <f t="array" ref="AH37">INDEX(AG:AG,MIN(IF(ISNUMBER(AG37:AG233),ROW(AG37:AG233),"")))</f>
        <v>8.1011764705882356</v>
      </c>
      <c r="AI37" s="13">
        <f>IF('Données projet'!$A$62&gt;35,AI36+AH37-AQ36,IF(A37&lt;'Données projet'!$A$62,$AF$205^A37,IF(A37='Données projet'!$A$62,'Données projet'!$B$62,AI36+AH37-AQ36)))</f>
        <v>275.44</v>
      </c>
      <c r="AJ37" s="13">
        <f>AI37*VLOOKUP('Données projet'!$B$10,Paramètres!$A$1:$I$89,3,0)*VLOOKUP('Données projet'!$B$10,Paramètres!$A$1:$I$89,5,0)</f>
        <v>121.74448000000001</v>
      </c>
      <c r="AK37" s="13">
        <f t="shared" si="35"/>
        <v>32.081528211856536</v>
      </c>
      <c r="AL37" s="20">
        <f t="shared" si="4"/>
        <v>267.91363096898345</v>
      </c>
      <c r="AM37" s="59">
        <f t="shared" si="5"/>
        <v>561.24696430231677</v>
      </c>
      <c r="AN37" s="59">
        <f ca="1">AVERAGE(OFFSET($AM$3,0,0,'Données projet'!$E$10+1,1))-AVERAGE(OFFSET($H$3,0,0,'Données projet'!$E$10+1,1))</f>
        <v>218.3918302549892</v>
      </c>
      <c r="AO37" s="59">
        <f t="shared" si="36"/>
        <v>102.61932145411976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94.509999999999991</v>
      </c>
      <c r="AR37" s="16">
        <f>IF(ISNA(VLOOKUP(A37,'Données projet'!$A$61:$I$81,5,0)),0%,VLOOKUP(A37,'Données projet'!$A$61:$I$81,5,0)*VLOOKUP('Données projet'!$B$10,Paramètres!$A$1:$I$89,7,0))</f>
        <v>0.13750000000000001</v>
      </c>
      <c r="AS37" s="16">
        <f>IF(ISNA(VLOOKUP(A37,'Données projet'!$A$61:$I$81,6,0)),0%,VLOOKUP(A37,'Données projet'!$A$61:$I$81,6,0)*VLOOKUP('Données projet'!$B$10,Paramètres!$A$1:$I$89,7,0))</f>
        <v>0.20350000000000001</v>
      </c>
      <c r="AT37" s="16">
        <f>IF(ISNA(VLOOKUP(A37,'Données projet'!$A$61:$I$81,7,0)),0%,VLOOKUP(A37,'Données projet'!$A$61:$I$81,7,0))</f>
        <v>0.38</v>
      </c>
      <c r="AU37" s="21">
        <f>EXP(-LN(2)/35)*AU36+(1-EXP(-LN(2)/35))/(LN(2)/35)*AQ37*AR37*VLOOKUP('Données projet'!$B$10,Paramètres!$A$1:$I$89,3,0)*0.475*44/12</f>
        <v>7.6195809461952395</v>
      </c>
      <c r="AV37" s="21">
        <f>EXP(-LN(2)/25)*AV36+(1-EXP(-LN(2)/25))/(LN(2)/25)*Calculateur!AQ37*Calculateur!AS37*VLOOKUP('Données projet'!$B$10,Paramètres!$A$1:$I$89,3,0)*0.475*44/12</f>
        <v>11.232578034028732</v>
      </c>
      <c r="AW37" s="21">
        <f>EXP(-LN(2)/2)*AW36+(1-EXP(-LN(2)/2))/(LN(2)/2)*AQ37*AT37*VLOOKUP('Données projet'!$B$10,Paramètres!$A$1:$I$89,3,0)*0.475*44/12</f>
        <v>17.972941814812447</v>
      </c>
      <c r="AX37" s="21">
        <f t="shared" si="6"/>
        <v>36.82510079503642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4.6153846153846132</v>
      </c>
      <c r="BD37" s="12">
        <f>IF('Données projet'!$A$88&gt;35,BD36+BC37-BL36,IF(A37&lt;'Données projet'!$A$88,$BA$205^A37,IF(A37='Données projet'!$A$88,'Données projet'!$B$88,BD36+BC37-BL36)))</f>
        <v>81.923076923076906</v>
      </c>
      <c r="BE37" s="13">
        <f>BD37*VLOOKUP('Données projet'!$B$11,Paramètres!$A$1:$I$89,3,0)*VLOOKUP('Données projet'!$B$11,Paramètres!$A$1:$I$89,5,0)</f>
        <v>71.567999999999998</v>
      </c>
      <c r="BF37" s="13">
        <f t="shared" si="37"/>
        <v>20.062343777240766</v>
      </c>
      <c r="BG37" s="20">
        <f t="shared" si="7"/>
        <v>159.58951541202768</v>
      </c>
      <c r="BH37" s="59">
        <f t="shared" si="8"/>
        <v>452.92284874536097</v>
      </c>
      <c r="BI37" s="59">
        <f ca="1">AVERAGE(OFFSET($BH$3,0,0,'Données projet'!$E$11+1,1))-AVERAGE(OFFSET($H$3,0,0,'Données projet'!$E$11+1,1))</f>
        <v>112.66486935566058</v>
      </c>
      <c r="BJ37" s="59">
        <f t="shared" si="38"/>
        <v>110.84860075828624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6.9436451559959211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6.9436451559959211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377.23</v>
      </c>
      <c r="L38" s="12">
        <f>VLOOKUP(A38,'Données projet'!$A$35:$I$55,9,0)</f>
        <v>23.265714285714289</v>
      </c>
      <c r="M38" s="12">
        <f t="array" ref="M38">INDEX(L:L,MIN(IF(ISNUMBER(L38:L234),ROW(L38:L234),"")))</f>
        <v>23.265714285714289</v>
      </c>
      <c r="N38" s="13">
        <f>IF('Données projet'!$A$36&gt;35,N37+M38-V37,IF(A38&lt;'Données projet'!$A$36,$K$205^A38,IF(A38='Données projet'!$A$36,'Données projet'!$B$36,N37+M38-V37)))</f>
        <v>377.23</v>
      </c>
      <c r="O38" s="13">
        <f>N38*VLOOKUP('Données projet'!$B$9,Paramètres!$A$1:$I$89,3,0)*VLOOKUP('Données projet'!$B$9,Paramètres!$A$1:$I$89,5,0)</f>
        <v>210.87157000000002</v>
      </c>
      <c r="P38" s="13">
        <f t="shared" si="33"/>
        <v>52.125999737089174</v>
      </c>
      <c r="Q38" s="20">
        <f t="shared" si="53"/>
        <v>458.05410062543029</v>
      </c>
      <c r="R38" s="59">
        <f t="shared" si="0"/>
        <v>751.38743395876361</v>
      </c>
      <c r="S38" s="59">
        <f ca="1">AVERAGE(OFFSET($R$3,0,0,'Données projet'!$E$9+1,1))-AVERAGE(OFFSET($H$3,0,0,'Données projet'!$E$9+1,1))</f>
        <v>314.07001555875894</v>
      </c>
      <c r="T38" s="59">
        <f t="shared" si="34"/>
        <v>281.53154885904991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86.700000000000045</v>
      </c>
      <c r="W38" s="16">
        <f>IF(ISNA(VLOOKUP(A38,'Données projet'!$A$35:$I$55,5,0)),0%,VLOOKUP(A38,'Données projet'!$A$35:$I$55,5,0)*VLOOKUP('Données projet'!$B$9,Paramètres!$A$1:$I$89,7,0))</f>
        <v>0.33</v>
      </c>
      <c r="X38" s="16">
        <f>IF(ISNA(VLOOKUP(A38,'Données projet'!$A$35:$I$55,6,0)),0%,VLOOKUP(A38,'Données projet'!$A$35:$I$55,6,0)*VLOOKUP('Données projet'!$B$9,Paramètres!$A$1:$I$89,7,0))</f>
        <v>0.11000000000000001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32.212341887441895</v>
      </c>
      <c r="AA38" s="21">
        <f>EXP(-LN(2)/25)*AA37+(1-EXP(-LN(2)/25))/(LN(2)/25)*Calculateur!V38*Calculateur!X38*VLOOKUP('Données projet'!$B$9,Paramètres!$A$1:$I$89,3,0)*0.475*44/12</f>
        <v>22.004182806325677</v>
      </c>
      <c r="AB38" s="21">
        <f>EXP(-LN(2)/2)*AB37+(1-EXP(-LN(2)/2))/(LN(2)/2)*V38*Y38*VLOOKUP('Données projet'!$B$9,Paramètres!$A$1:$I$89,3,0)*0.475*44/12</f>
        <v>12.534080265156646</v>
      </c>
      <c r="AC38" s="22">
        <f t="shared" si="3"/>
        <v>66.750604958924214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14.286666666666665</v>
      </c>
      <c r="AI38" s="13">
        <f>IF('Données projet'!$A$62&gt;35,AI37+AH38-AQ37,IF(A38&lt;'Données projet'!$A$62,$AF$205^A38,IF(A38='Données projet'!$A$62,'Données projet'!$B$62,AI37+AH38-AQ37)))</f>
        <v>195.2166666666667</v>
      </c>
      <c r="AJ38" s="13">
        <f>AI38*VLOOKUP('Données projet'!$B$10,Paramètres!$A$1:$I$89,3,0)*VLOOKUP('Données projet'!$B$10,Paramètres!$A$1:$I$89,5,0)</f>
        <v>86.285766666666689</v>
      </c>
      <c r="AK38" s="13">
        <f t="shared" si="35"/>
        <v>23.667256012304843</v>
      </c>
      <c r="AL38" s="20">
        <f t="shared" si="4"/>
        <v>191.50151449920875</v>
      </c>
      <c r="AM38" s="59">
        <f t="shared" si="5"/>
        <v>484.8348478325421</v>
      </c>
      <c r="AN38" s="59">
        <f ca="1">AVERAGE(OFFSET($AM$3,0,0,'Données projet'!$E$10+1,1))-AVERAGE(OFFSET($H$3,0,0,'Données projet'!$E$10+1,1))</f>
        <v>218.3918302549892</v>
      </c>
      <c r="AO38" s="59">
        <f t="shared" si="36"/>
        <v>102.61932145411976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7.470165611325827</v>
      </c>
      <c r="AV38" s="21">
        <f>EXP(-LN(2)/25)*AV37+(1-EXP(-LN(2)/25))/(LN(2)/25)*Calculateur!AQ38*Calculateur!AS38*VLOOKUP('Données projet'!$B$10,Paramètres!$A$1:$I$89,3,0)*0.475*44/12</f>
        <v>10.925422596992609</v>
      </c>
      <c r="AW38" s="21">
        <f>EXP(-LN(2)/2)*AW37+(1-EXP(-LN(2)/2))/(LN(2)/2)*AQ38*AT38*VLOOKUP('Données projet'!$B$10,Paramètres!$A$1:$I$89,3,0)*0.475*44/12</f>
        <v>12.708789035125136</v>
      </c>
      <c r="AX38" s="21">
        <f t="shared" si="6"/>
        <v>31.104377243443572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86.538461538461533</v>
      </c>
      <c r="BB38" s="12">
        <f>VLOOKUP(A38,'Données projet'!$A$87:$I$107,9,0)</f>
        <v>4.6153846153846132</v>
      </c>
      <c r="BC38" s="12">
        <f t="array" ref="BC38">INDEX(BB:BB,MIN(IF(ISNUMBER(BB38:BB234),ROW(BB38:BB234),"")))</f>
        <v>4.6153846153846132</v>
      </c>
      <c r="BD38" s="12">
        <f>IF('Données projet'!$A$88&gt;35,BD37+BC38-BL37,IF(A38&lt;'Données projet'!$A$88,$BA$205^A38,IF(A38='Données projet'!$A$88,'Données projet'!$B$88,BD37+BC38-BL37)))</f>
        <v>86.538461538461519</v>
      </c>
      <c r="BE38" s="13">
        <f>BD38*VLOOKUP('Données projet'!$B$11,Paramètres!$A$1:$I$89,3,0)*VLOOKUP('Données projet'!$B$11,Paramètres!$A$1:$I$89,5,0)</f>
        <v>75.599999999999994</v>
      </c>
      <c r="BF38" s="13">
        <f t="shared" si="37"/>
        <v>21.057844937632133</v>
      </c>
      <c r="BG38" s="20">
        <f t="shared" si="7"/>
        <v>168.34574659970926</v>
      </c>
      <c r="BH38" s="59">
        <f t="shared" si="8"/>
        <v>461.67907993304254</v>
      </c>
      <c r="BI38" s="59">
        <f ca="1">AVERAGE(OFFSET($BH$3,0,0,'Données projet'!$E$11+1,1))-AVERAGE(OFFSET($H$3,0,0,'Données projet'!$E$11+1,1))</f>
        <v>112.66486935566058</v>
      </c>
      <c r="BJ38" s="59">
        <f t="shared" si="38"/>
        <v>110.84860075828624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12.820512820512819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9.4052622872618148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9.4052622872618148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22.851428571428578</v>
      </c>
      <c r="N39" s="13">
        <f>IF('Données projet'!$A$36&gt;35,N38+M39-V38,IF(A39&lt;'Données projet'!$A$36,$K$205^A39,IF(A39='Données projet'!$A$36,'Données projet'!$B$36,N38+M39-V38)))</f>
        <v>313.38142857142856</v>
      </c>
      <c r="O39" s="13">
        <f>N39*VLOOKUP('Données projet'!$B$9,Paramètres!$A$1:$I$89,3,0)*VLOOKUP('Données projet'!$B$9,Paramètres!$A$1:$I$89,5,0)</f>
        <v>175.18021857142855</v>
      </c>
      <c r="P39" s="13">
        <f t="shared" si="33"/>
        <v>44.248185618905715</v>
      </c>
      <c r="Q39" s="20">
        <f t="shared" si="53"/>
        <v>382.17113729816555</v>
      </c>
      <c r="R39" s="59">
        <f t="shared" si="0"/>
        <v>675.50447063149886</v>
      </c>
      <c r="S39" s="59">
        <f ca="1">AVERAGE(OFFSET($R$3,0,0,'Données projet'!$E$9+1,1))-AVERAGE(OFFSET($H$3,0,0,'Données projet'!$E$9+1,1))</f>
        <v>314.07001555875894</v>
      </c>
      <c r="T39" s="59">
        <f t="shared" si="34"/>
        <v>281.53154885904991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31.580677510617672</v>
      </c>
      <c r="AA39" s="21">
        <f>EXP(-LN(2)/25)*AA38+(1-EXP(-LN(2)/25))/(LN(2)/25)*Calculateur!V39*Calculateur!X39*VLOOKUP('Données projet'!$B$9,Paramètres!$A$1:$I$89,3,0)*0.475*44/12</f>
        <v>21.40247727033702</v>
      </c>
      <c r="AB39" s="21">
        <f>EXP(-LN(2)/2)*AB38+(1-EXP(-LN(2)/2))/(LN(2)/2)*V39*Y39*VLOOKUP('Données projet'!$B$9,Paramètres!$A$1:$I$89,3,0)*0.475*44/12</f>
        <v>8.862933151428745</v>
      </c>
      <c r="AC39" s="22">
        <f t="shared" si="3"/>
        <v>61.84608793238344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14.286666666666665</v>
      </c>
      <c r="AI39" s="13">
        <f>IF('Données projet'!$A$62&gt;35,AI38+AH39-AQ38,IF(A39&lt;'Données projet'!$A$62,$AF$205^A39,IF(A39='Données projet'!$A$62,'Données projet'!$B$62,AI38+AH39-AQ38)))</f>
        <v>209.50333333333336</v>
      </c>
      <c r="AJ39" s="13">
        <f>AI39*VLOOKUP('Données projet'!$B$10,Paramètres!$A$1:$I$89,3,0)*VLOOKUP('Données projet'!$B$10,Paramètres!$A$1:$I$89,5,0)</f>
        <v>92.600473333333355</v>
      </c>
      <c r="AK39" s="13">
        <f t="shared" si="35"/>
        <v>25.191353036317594</v>
      </c>
      <c r="AL39" s="20">
        <f t="shared" si="4"/>
        <v>205.15409759380873</v>
      </c>
      <c r="AM39" s="59">
        <f t="shared" si="5"/>
        <v>498.48743092714204</v>
      </c>
      <c r="AN39" s="59">
        <f ca="1">AVERAGE(OFFSET($AM$3,0,0,'Données projet'!$E$10+1,1))-AVERAGE(OFFSET($H$3,0,0,'Données projet'!$E$10+1,1))</f>
        <v>218.3918302549892</v>
      </c>
      <c r="AO39" s="59">
        <f t="shared" si="36"/>
        <v>102.61932145411976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7.323680220038848</v>
      </c>
      <c r="AV39" s="21">
        <f>EXP(-LN(2)/25)*AV38+(1-EXP(-LN(2)/25))/(LN(2)/25)*Calculateur!AQ39*Calculateur!AS39*VLOOKUP('Données projet'!$B$10,Paramètres!$A$1:$I$89,3,0)*0.475*44/12</f>
        <v>10.626666341534843</v>
      </c>
      <c r="AW39" s="21">
        <f>EXP(-LN(2)/2)*AW38+(1-EXP(-LN(2)/2))/(LN(2)/2)*AQ39*AT39*VLOOKUP('Données projet'!$B$10,Paramètres!$A$1:$I$89,3,0)*0.475*44/12</f>
        <v>8.9864709074062255</v>
      </c>
      <c r="AX39" s="21">
        <f t="shared" si="6"/>
        <v>26.936817468979918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4.4871794871794863</v>
      </c>
      <c r="BD39" s="12">
        <f>IF('Données projet'!$A$88&gt;35,BD38+BC39-BL38,IF(A39&lt;'Données projet'!$A$88,$BA$205^A39,IF(A39='Données projet'!$A$88,'Données projet'!$B$88,BD38+BC39-BL38)))</f>
        <v>78.20512820512819</v>
      </c>
      <c r="BE39" s="13">
        <f>BD39*VLOOKUP('Données projet'!$B$11,Paramètres!$A$1:$I$89,3,0)*VLOOKUP('Données projet'!$B$11,Paramètres!$A$1:$I$89,5,0)</f>
        <v>68.319999999999993</v>
      </c>
      <c r="BF39" s="13">
        <f t="shared" si="37"/>
        <v>19.255666339544923</v>
      </c>
      <c r="BG39" s="20">
        <f t="shared" si="7"/>
        <v>152.52761887470737</v>
      </c>
      <c r="BH39" s="59">
        <f t="shared" si="8"/>
        <v>445.86095220804066</v>
      </c>
      <c r="BI39" s="59">
        <f ca="1">AVERAGE(OFFSET($BH$3,0,0,'Données projet'!$E$11+1,1))-AVERAGE(OFFSET($H$3,0,0,'Données projet'!$E$11+1,1))</f>
        <v>112.66486935566058</v>
      </c>
      <c r="BJ39" s="59">
        <f t="shared" si="38"/>
        <v>110.84860075828624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9.1480748954153928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9.1480748954153928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22.851428571428578</v>
      </c>
      <c r="N40" s="13">
        <f>IF('Données projet'!$A$36&gt;35,N39+M40-V39,IF(A40&lt;'Données projet'!$A$36,$K$205^A40,IF(A40='Données projet'!$A$36,'Données projet'!$B$36,N39+M40-V39)))</f>
        <v>336.23285714285714</v>
      </c>
      <c r="O40" s="13">
        <f>N40*VLOOKUP('Données projet'!$B$9,Paramètres!$A$1:$I$89,3,0)*VLOOKUP('Données projet'!$B$9,Paramètres!$A$1:$I$89,5,0)</f>
        <v>187.95416714285713</v>
      </c>
      <c r="P40" s="13">
        <f t="shared" si="33"/>
        <v>47.087363665282226</v>
      </c>
      <c r="Q40" s="20">
        <f t="shared" si="53"/>
        <v>409.36399949084267</v>
      </c>
      <c r="R40" s="59">
        <f t="shared" si="0"/>
        <v>702.69733282417599</v>
      </c>
      <c r="S40" s="59">
        <f ca="1">AVERAGE(OFFSET($R$3,0,0,'Données projet'!$E$9+1,1))-AVERAGE(OFFSET($H$3,0,0,'Données projet'!$E$9+1,1))</f>
        <v>314.07001555875894</v>
      </c>
      <c r="T40" s="59">
        <f t="shared" si="34"/>
        <v>281.53154885904991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30.961399686945747</v>
      </c>
      <c r="AA40" s="21">
        <f>EXP(-LN(2)/25)*AA39+(1-EXP(-LN(2)/25))/(LN(2)/25)*Calculateur!V40*Calculateur!X40*VLOOKUP('Données projet'!$B$9,Paramètres!$A$1:$I$89,3,0)*0.475*44/12</f>
        <v>20.817225403872289</v>
      </c>
      <c r="AB40" s="21">
        <f>EXP(-LN(2)/2)*AB39+(1-EXP(-LN(2)/2))/(LN(2)/2)*V40*Y40*VLOOKUP('Données projet'!$B$9,Paramètres!$A$1:$I$89,3,0)*0.475*44/12</f>
        <v>6.267040132578324</v>
      </c>
      <c r="AC40" s="22">
        <f t="shared" si="3"/>
        <v>58.045665223396362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14.286666666666665</v>
      </c>
      <c r="AI40" s="13">
        <f>IF('Données projet'!$A$62&gt;35,AI39+AH40-AQ39,IF(A40&lt;'Données projet'!$A$62,$AF$205^A40,IF(A40='Données projet'!$A$62,'Données projet'!$B$62,AI39+AH40-AQ39)))</f>
        <v>223.79000000000002</v>
      </c>
      <c r="AJ40" s="13">
        <f>AI40*VLOOKUP('Données projet'!$B$10,Paramètres!$A$1:$I$89,3,0)*VLOOKUP('Données projet'!$B$10,Paramètres!$A$1:$I$89,5,0)</f>
        <v>98.915180000000021</v>
      </c>
      <c r="AK40" s="13">
        <f t="shared" si="35"/>
        <v>26.703390307941099</v>
      </c>
      <c r="AL40" s="20">
        <f t="shared" si="4"/>
        <v>218.78567661966409</v>
      </c>
      <c r="AM40" s="59">
        <f t="shared" si="5"/>
        <v>512.11900995299743</v>
      </c>
      <c r="AN40" s="59">
        <f ca="1">AVERAGE(OFFSET($AM$3,0,0,'Données projet'!$E$10+1,1))-AVERAGE(OFFSET($H$3,0,0,'Données projet'!$E$10+1,1))</f>
        <v>218.3918302549892</v>
      </c>
      <c r="AO40" s="59">
        <f t="shared" si="36"/>
        <v>102.61932145411976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7.1800673179277403</v>
      </c>
      <c r="AV40" s="21">
        <f>EXP(-LN(2)/25)*AV39+(1-EXP(-LN(2)/25))/(LN(2)/25)*Calculateur!AQ40*Calculateur!AS40*VLOOKUP('Données projet'!$B$10,Paramètres!$A$1:$I$89,3,0)*0.475*44/12</f>
        <v>10.336079591593478</v>
      </c>
      <c r="AW40" s="21">
        <f>EXP(-LN(2)/2)*AW39+(1-EXP(-LN(2)/2))/(LN(2)/2)*AQ40*AT40*VLOOKUP('Données projet'!$B$10,Paramètres!$A$1:$I$89,3,0)*0.475*44/12</f>
        <v>6.3543945175625698</v>
      </c>
      <c r="AX40" s="21">
        <f t="shared" si="6"/>
        <v>23.870541427083786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4.4871794871794863</v>
      </c>
      <c r="BD40" s="12">
        <f>IF('Données projet'!$A$88&gt;35,BD39+BC40-BL39,IF(A40&lt;'Données projet'!$A$88,$BA$205^A40,IF(A40='Données projet'!$A$88,'Données projet'!$B$88,BD39+BC40-BL39)))</f>
        <v>82.692307692307679</v>
      </c>
      <c r="BE40" s="13">
        <f>BD40*VLOOKUP('Données projet'!$B$11,Paramètres!$A$1:$I$89,3,0)*VLOOKUP('Données projet'!$B$11,Paramètres!$A$1:$I$89,5,0)</f>
        <v>72.239999999999995</v>
      </c>
      <c r="BF40" s="13">
        <f t="shared" si="37"/>
        <v>20.228704652038434</v>
      </c>
      <c r="BG40" s="20">
        <f t="shared" si="7"/>
        <v>161.04966060230026</v>
      </c>
      <c r="BH40" s="59">
        <f t="shared" si="8"/>
        <v>454.38299393563358</v>
      </c>
      <c r="BI40" s="59">
        <f ca="1">AVERAGE(OFFSET($BH$3,0,0,'Données projet'!$E$11+1,1))-AVERAGE(OFFSET($H$3,0,0,'Données projet'!$E$11+1,1))</f>
        <v>112.66486935566058</v>
      </c>
      <c r="BJ40" s="59">
        <f t="shared" si="38"/>
        <v>110.84860075828624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8.8979203063239076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8.8979203063239076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22.851428571428578</v>
      </c>
      <c r="N41" s="13">
        <f>IF('Données projet'!$A$36&gt;35,N40+M41-V40,IF(A41&lt;'Données projet'!$A$36,$K$205^A41,IF(A41='Données projet'!$A$36,'Données projet'!$B$36,N40+M41-V40)))</f>
        <v>359.08428571428573</v>
      </c>
      <c r="O41" s="13">
        <f>N41*VLOOKUP('Données projet'!$B$9,Paramètres!$A$1:$I$89,3,0)*VLOOKUP('Données projet'!$B$9,Paramètres!$A$1:$I$89,5,0)</f>
        <v>200.72811571428574</v>
      </c>
      <c r="P41" s="13">
        <f t="shared" si="33"/>
        <v>49.904151662519681</v>
      </c>
      <c r="Q41" s="20">
        <f t="shared" si="53"/>
        <v>436.51786568126948</v>
      </c>
      <c r="R41" s="59">
        <f t="shared" si="0"/>
        <v>729.8511990146028</v>
      </c>
      <c r="S41" s="59">
        <f ca="1">AVERAGE(OFFSET($R$3,0,0,'Données projet'!$E$9+1,1))-AVERAGE(OFFSET($H$3,0,0,'Données projet'!$E$9+1,1))</f>
        <v>314.07001555875894</v>
      </c>
      <c r="T41" s="59">
        <f t="shared" si="34"/>
        <v>281.53154885904991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30.354265523673853</v>
      </c>
      <c r="AA41" s="21">
        <f>EXP(-LN(2)/25)*AA40+(1-EXP(-LN(2)/25))/(LN(2)/25)*Calculateur!V41*Calculateur!X41*VLOOKUP('Données projet'!$B$9,Paramètres!$A$1:$I$89,3,0)*0.475*44/12</f>
        <v>20.247977280473094</v>
      </c>
      <c r="AB41" s="21">
        <f>EXP(-LN(2)/2)*AB40+(1-EXP(-LN(2)/2))/(LN(2)/2)*V41*Y41*VLOOKUP('Données projet'!$B$9,Paramètres!$A$1:$I$89,3,0)*0.475*44/12</f>
        <v>4.4314665757143734</v>
      </c>
      <c r="AC41" s="22">
        <f t="shared" si="3"/>
        <v>55.033709379861321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14.286666666666665</v>
      </c>
      <c r="AI41" s="13">
        <f>IF('Données projet'!$A$62&gt;35,AI40+AH41-AQ40,IF(A41&lt;'Données projet'!$A$62,$AF$205^A41,IF(A41='Données projet'!$A$62,'Données projet'!$B$62,AI40+AH41-AQ40)))</f>
        <v>238.07666666666668</v>
      </c>
      <c r="AJ41" s="13">
        <f>AI41*VLOOKUP('Données projet'!$B$10,Paramètres!$A$1:$I$89,3,0)*VLOOKUP('Données projet'!$B$10,Paramètres!$A$1:$I$89,5,0)</f>
        <v>105.22988666666669</v>
      </c>
      <c r="AK41" s="13">
        <f t="shared" si="35"/>
        <v>28.204225348416781</v>
      </c>
      <c r="AL41" s="20">
        <f t="shared" si="4"/>
        <v>232.39774509293701</v>
      </c>
      <c r="AM41" s="59">
        <f t="shared" si="5"/>
        <v>525.7310784262703</v>
      </c>
      <c r="AN41" s="59">
        <f ca="1">AVERAGE(OFFSET($AM$3,0,0,'Données projet'!$E$10+1,1))-AVERAGE(OFFSET($H$3,0,0,'Données projet'!$E$10+1,1))</f>
        <v>218.3918302549892</v>
      </c>
      <c r="AO41" s="59">
        <f t="shared" si="36"/>
        <v>102.61932145411976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7.0392705772318109</v>
      </c>
      <c r="AV41" s="21">
        <f>EXP(-LN(2)/25)*AV40+(1-EXP(-LN(2)/25))/(LN(2)/25)*Calculateur!AQ41*Calculateur!AS41*VLOOKUP('Données projet'!$B$10,Paramètres!$A$1:$I$89,3,0)*0.475*44/12</f>
        <v>10.053438951610552</v>
      </c>
      <c r="AW41" s="21">
        <f>EXP(-LN(2)/2)*AW40+(1-EXP(-LN(2)/2))/(LN(2)/2)*AQ41*AT41*VLOOKUP('Données projet'!$B$10,Paramètres!$A$1:$I$89,3,0)*0.475*44/12</f>
        <v>4.4932354537031136</v>
      </c>
      <c r="AX41" s="21">
        <f t="shared" si="6"/>
        <v>21.585944982545477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4.4871794871794863</v>
      </c>
      <c r="BD41" s="12">
        <f>IF('Données projet'!$A$88&gt;35,BD40+BC41-BL40,IF(A41&lt;'Données projet'!$A$88,$BA$205^A41,IF(A41='Données projet'!$A$88,'Données projet'!$B$88,BD40+BC41-BL40)))</f>
        <v>87.179487179487168</v>
      </c>
      <c r="BE41" s="13">
        <f>BD41*VLOOKUP('Données projet'!$B$11,Paramètres!$A$1:$I$89,3,0)*VLOOKUP('Données projet'!$B$11,Paramètres!$A$1:$I$89,5,0)</f>
        <v>76.16</v>
      </c>
      <c r="BF41" s="13">
        <f t="shared" si="37"/>
        <v>21.195613176537421</v>
      </c>
      <c r="BG41" s="20">
        <f t="shared" si="7"/>
        <v>169.56102628246933</v>
      </c>
      <c r="BH41" s="59">
        <f t="shared" si="8"/>
        <v>462.89435961580261</v>
      </c>
      <c r="BI41" s="59">
        <f ca="1">AVERAGE(OFFSET($BH$3,0,0,'Données projet'!$E$11+1,1))-AVERAGE(OFFSET($H$3,0,0,'Données projet'!$E$11+1,1))</f>
        <v>112.66486935566058</v>
      </c>
      <c r="BJ41" s="59">
        <f t="shared" si="38"/>
        <v>110.84860075828624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8.6546062076261876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8.6546062076261876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22.851428571428578</v>
      </c>
      <c r="N42" s="13">
        <f>IF('Données projet'!$A$36&gt;35,N41+M42-V41,IF(A42&lt;'Données projet'!$A$36,$K$205^A42,IF(A42='Données projet'!$A$36,'Données projet'!$B$36,N41+M42-V41)))</f>
        <v>381.93571428571431</v>
      </c>
      <c r="O42" s="13">
        <f>N42*VLOOKUP('Données projet'!$B$9,Paramètres!$A$1:$I$89,3,0)*VLOOKUP('Données projet'!$B$9,Paramètres!$A$1:$I$89,5,0)</f>
        <v>213.50206428571431</v>
      </c>
      <c r="P42" s="13">
        <f t="shared" si="33"/>
        <v>52.700136656354076</v>
      </c>
      <c r="Q42" s="20">
        <f t="shared" si="53"/>
        <v>463.6354999741024</v>
      </c>
      <c r="R42" s="59">
        <f t="shared" si="0"/>
        <v>756.96883330743572</v>
      </c>
      <c r="S42" s="59">
        <f ca="1">AVERAGE(OFFSET($R$3,0,0,'Données projet'!$E$9+1,1))-AVERAGE(OFFSET($H$3,0,0,'Données projet'!$E$9+1,1))</f>
        <v>314.07001555875894</v>
      </c>
      <c r="T42" s="59">
        <f t="shared" si="34"/>
        <v>281.53154885904991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29.759036891028444</v>
      </c>
      <c r="AA42" s="21">
        <f>EXP(-LN(2)/25)*AA41+(1-EXP(-LN(2)/25))/(LN(2)/25)*Calculateur!V42*Calculateur!X42*VLOOKUP('Données projet'!$B$9,Paramètres!$A$1:$I$89,3,0)*0.475*44/12</f>
        <v>19.694295276943709</v>
      </c>
      <c r="AB42" s="21">
        <f>EXP(-LN(2)/2)*AB41+(1-EXP(-LN(2)/2))/(LN(2)/2)*V42*Y42*VLOOKUP('Données projet'!$B$9,Paramètres!$A$1:$I$89,3,0)*0.475*44/12</f>
        <v>3.1335200662891629</v>
      </c>
      <c r="AC42" s="22">
        <f t="shared" si="3"/>
        <v>52.586852234261315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14.286666666666665</v>
      </c>
      <c r="AI42" s="13">
        <f>IF('Données projet'!$A$62&gt;35,AI41+AH42-AQ41,IF(A42&lt;'Données projet'!$A$62,$AF$205^A42,IF(A42='Données projet'!$A$62,'Données projet'!$B$62,AI41+AH42-AQ41)))</f>
        <v>252.36333333333334</v>
      </c>
      <c r="AJ42" s="13">
        <f>AI42*VLOOKUP('Données projet'!$B$10,Paramètres!$A$1:$I$89,3,0)*VLOOKUP('Données projet'!$B$10,Paramètres!$A$1:$I$89,5,0)</f>
        <v>111.54459333333335</v>
      </c>
      <c r="AK42" s="13">
        <f t="shared" si="35"/>
        <v>29.694606946885088</v>
      </c>
      <c r="AL42" s="20">
        <f t="shared" si="4"/>
        <v>245.99160715471373</v>
      </c>
      <c r="AM42" s="59">
        <f t="shared" si="5"/>
        <v>539.3249404880471</v>
      </c>
      <c r="AN42" s="59">
        <f ca="1">AVERAGE(OFFSET($AM$3,0,0,'Données projet'!$E$10+1,1))-AVERAGE(OFFSET($H$3,0,0,'Données projet'!$E$10+1,1))</f>
        <v>218.3918302549892</v>
      </c>
      <c r="AO42" s="59">
        <f t="shared" si="36"/>
        <v>102.61932145411976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6.9012347747433962</v>
      </c>
      <c r="AV42" s="21">
        <f>EXP(-LN(2)/25)*AV41+(1-EXP(-LN(2)/25))/(LN(2)/25)*Calculateur!AQ42*Calculateur!AS42*VLOOKUP('Données projet'!$B$10,Paramètres!$A$1:$I$89,3,0)*0.475*44/12</f>
        <v>9.7785271347913838</v>
      </c>
      <c r="AW42" s="21">
        <f>EXP(-LN(2)/2)*AW41+(1-EXP(-LN(2)/2))/(LN(2)/2)*AQ42*AT42*VLOOKUP('Données projet'!$B$10,Paramètres!$A$1:$I$89,3,0)*0.475*44/12</f>
        <v>3.1771972587812853</v>
      </c>
      <c r="AX42" s="21">
        <f t="shared" si="6"/>
        <v>19.856959168316063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4.4871794871794863</v>
      </c>
      <c r="BD42" s="12">
        <f>IF('Données projet'!$A$88&gt;35,BD41+BC42-BL41,IF(A42&lt;'Données projet'!$A$88,$BA$205^A42,IF(A42='Données projet'!$A$88,'Données projet'!$B$88,BD41+BC42-BL41)))</f>
        <v>91.666666666666657</v>
      </c>
      <c r="BE42" s="13">
        <f>BD42*VLOOKUP('Données projet'!$B$11,Paramètres!$A$1:$I$89,3,0)*VLOOKUP('Données projet'!$B$11,Paramètres!$A$1:$I$89,5,0)</f>
        <v>80.080000000000013</v>
      </c>
      <c r="BF42" s="13">
        <f t="shared" si="37"/>
        <v>22.156743406564654</v>
      </c>
      <c r="BG42" s="20">
        <f t="shared" si="7"/>
        <v>178.06232809976677</v>
      </c>
      <c r="BH42" s="59">
        <f t="shared" si="8"/>
        <v>471.39566143310009</v>
      </c>
      <c r="BI42" s="59">
        <f ca="1">AVERAGE(OFFSET($BH$3,0,0,'Données projet'!$E$11+1,1))-AVERAGE(OFFSET($H$3,0,0,'Données projet'!$E$11+1,1))</f>
        <v>112.66486935566058</v>
      </c>
      <c r="BJ42" s="59">
        <f t="shared" si="38"/>
        <v>110.84860075828624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8.4179455457526888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8.4179455457526888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22.851428571428578</v>
      </c>
      <c r="N43" s="13">
        <f>IF('Données projet'!$A$36&gt;35,N42+M43-V42,IF(A43&lt;'Données projet'!$A$36,$K$205^A43,IF(A43='Données projet'!$A$36,'Données projet'!$B$36,N42+M43-V42)))</f>
        <v>404.7871428571429</v>
      </c>
      <c r="O43" s="13">
        <f>N43*VLOOKUP('Données projet'!$B$9,Paramètres!$A$1:$I$89,3,0)*VLOOKUP('Données projet'!$B$9,Paramètres!$A$1:$I$89,5,0)</f>
        <v>226.27601285714289</v>
      </c>
      <c r="P43" s="13">
        <f t="shared" si="33"/>
        <v>55.476705055614268</v>
      </c>
      <c r="Q43" s="20">
        <f t="shared" si="53"/>
        <v>490.71931703138534</v>
      </c>
      <c r="R43" s="59">
        <f t="shared" si="0"/>
        <v>784.0526503647186</v>
      </c>
      <c r="S43" s="59">
        <f ca="1">AVERAGE(OFFSET($R$3,0,0,'Données projet'!$E$9+1,1))-AVERAGE(OFFSET($H$3,0,0,'Données projet'!$E$9+1,1))</f>
        <v>314.07001555875894</v>
      </c>
      <c r="T43" s="59">
        <f t="shared" si="34"/>
        <v>281.53154885904991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29.175480328815595</v>
      </c>
      <c r="AA43" s="21">
        <f>EXP(-LN(2)/25)*AA42+(1-EXP(-LN(2)/25))/(LN(2)/25)*Calculateur!V43*Calculateur!X43*VLOOKUP('Données projet'!$B$9,Paramètres!$A$1:$I$89,3,0)*0.475*44/12</f>
        <v>19.155753736917706</v>
      </c>
      <c r="AB43" s="21">
        <f>EXP(-LN(2)/2)*AB42+(1-EXP(-LN(2)/2))/(LN(2)/2)*V43*Y43*VLOOKUP('Données projet'!$B$9,Paramètres!$A$1:$I$89,3,0)*0.475*44/12</f>
        <v>2.2157332878571872</v>
      </c>
      <c r="AC43" s="22">
        <f t="shared" si="3"/>
        <v>50.546967353590489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14.286666666666665</v>
      </c>
      <c r="AI43" s="13">
        <f>IF('Données projet'!$A$62&gt;35,AI42+AH43-AQ42,IF(A43&lt;'Données projet'!$A$62,$AF$205^A43,IF(A43='Données projet'!$A$62,'Données projet'!$B$62,AI42+AH43-AQ42)))</f>
        <v>266.65000000000003</v>
      </c>
      <c r="AJ43" s="13">
        <f>AI43*VLOOKUP('Données projet'!$B$10,Paramètres!$A$1:$I$89,3,0)*VLOOKUP('Données projet'!$B$10,Paramètres!$A$1:$I$89,5,0)</f>
        <v>117.85930000000002</v>
      </c>
      <c r="AK43" s="13">
        <f t="shared" si="35"/>
        <v>31.175194323842991</v>
      </c>
      <c r="AL43" s="20">
        <f t="shared" si="4"/>
        <v>259.56841094735989</v>
      </c>
      <c r="AM43" s="59">
        <f t="shared" si="5"/>
        <v>552.90174428069326</v>
      </c>
      <c r="AN43" s="59">
        <f ca="1">AVERAGE(OFFSET($AM$3,0,0,'Données projet'!$E$10+1,1))-AVERAGE(OFFSET($H$3,0,0,'Données projet'!$E$10+1,1))</f>
        <v>218.3918302549892</v>
      </c>
      <c r="AO43" s="59">
        <f t="shared" si="36"/>
        <v>102.61932145411976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6.7659057701482528</v>
      </c>
      <c r="AV43" s="21">
        <f>EXP(-LN(2)/25)*AV42+(1-EXP(-LN(2)/25))/(LN(2)/25)*Calculateur!AQ43*Calculateur!AS43*VLOOKUP('Données projet'!$B$10,Paramètres!$A$1:$I$89,3,0)*0.475*44/12</f>
        <v>9.5111327960601209</v>
      </c>
      <c r="AW43" s="21">
        <f>EXP(-LN(2)/2)*AW42+(1-EXP(-LN(2)/2))/(LN(2)/2)*AQ43*AT43*VLOOKUP('Données projet'!$B$10,Paramètres!$A$1:$I$89,3,0)*0.475*44/12</f>
        <v>2.2466177268515573</v>
      </c>
      <c r="AX43" s="21">
        <f t="shared" si="6"/>
        <v>18.523656293059933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96.153846153846146</v>
      </c>
      <c r="BB43" s="12">
        <f>VLOOKUP(A43,'Données projet'!$A$87:$I$107,9,0)</f>
        <v>4.4871794871794863</v>
      </c>
      <c r="BC43" s="12">
        <f t="array" ref="BC43">INDEX(BB:BB,MIN(IF(ISNUMBER(BB43:BB239),ROW(BB43:BB239),"")))</f>
        <v>4.4871794871794863</v>
      </c>
      <c r="BD43" s="12">
        <f>IF('Données projet'!$A$88&gt;35,BD42+BC43-BL42,IF(A43&lt;'Données projet'!$A$88,$BA$205^A43,IF(A43='Données projet'!$A$88,'Données projet'!$B$88,BD42+BC43-BL42)))</f>
        <v>96.153846153846146</v>
      </c>
      <c r="BE43" s="13">
        <f>BD43*VLOOKUP('Données projet'!$B$11,Paramètres!$A$1:$I$89,3,0)*VLOOKUP('Données projet'!$B$11,Paramètres!$A$1:$I$89,5,0)</f>
        <v>84</v>
      </c>
      <c r="BF43" s="13">
        <f t="shared" si="37"/>
        <v>23.112410479560449</v>
      </c>
      <c r="BG43" s="20">
        <f t="shared" si="7"/>
        <v>186.55411491856776</v>
      </c>
      <c r="BH43" s="59">
        <f t="shared" si="8"/>
        <v>479.88744825190111</v>
      </c>
      <c r="BI43" s="59">
        <f ca="1">AVERAGE(OFFSET($BH$3,0,0,'Données projet'!$E$11+1,1))-AVERAGE(OFFSET($H$3,0,0,'Données projet'!$E$11+1,1))</f>
        <v>112.66486935566058</v>
      </c>
      <c r="BJ43" s="59">
        <f t="shared" si="38"/>
        <v>110.84860075828624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12.820512820512819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10.839247855330596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10.839247855330596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22.851428571428578</v>
      </c>
      <c r="N44" s="13">
        <f>IF('Données projet'!$A$36&gt;35,N43+M44-V43,IF(A44&lt;'Données projet'!$A$36,$K$205^A44,IF(A44='Données projet'!$A$36,'Données projet'!$B$36,N43+M44-V43)))</f>
        <v>427.63857142857148</v>
      </c>
      <c r="O44" s="13">
        <f>N44*VLOOKUP('Données projet'!$B$9,Paramètres!$A$1:$I$89,3,0)*VLOOKUP('Données projet'!$B$9,Paramètres!$A$1:$I$89,5,0)</f>
        <v>239.04996142857144</v>
      </c>
      <c r="P44" s="13">
        <f t="shared" si="33"/>
        <v>58.235077894233235</v>
      </c>
      <c r="Q44" s="20">
        <f t="shared" si="53"/>
        <v>517.77144348721811</v>
      </c>
      <c r="R44" s="59">
        <f t="shared" si="0"/>
        <v>811.10477682055148</v>
      </c>
      <c r="S44" s="59">
        <f ca="1">AVERAGE(OFFSET($R$3,0,0,'Données projet'!$E$9+1,1))-AVERAGE(OFFSET($H$3,0,0,'Données projet'!$E$9+1,1))</f>
        <v>314.07001555875894</v>
      </c>
      <c r="T44" s="59">
        <f t="shared" si="34"/>
        <v>281.53154885904991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28.603366954853385</v>
      </c>
      <c r="AA44" s="21">
        <f>EXP(-LN(2)/25)*AA43+(1-EXP(-LN(2)/25))/(LN(2)/25)*Calculateur!V44*Calculateur!X44*VLOOKUP('Données projet'!$B$9,Paramètres!$A$1:$I$89,3,0)*0.475*44/12</f>
        <v>18.631938643624384</v>
      </c>
      <c r="AB44" s="21">
        <f>EXP(-LN(2)/2)*AB43+(1-EXP(-LN(2)/2))/(LN(2)/2)*V44*Y44*VLOOKUP('Données projet'!$B$9,Paramètres!$A$1:$I$89,3,0)*0.475*44/12</f>
        <v>1.5667600331445817</v>
      </c>
      <c r="AC44" s="22">
        <f t="shared" si="3"/>
        <v>48.802065631622348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14.286666666666665</v>
      </c>
      <c r="AI44" s="13">
        <f>IF('Données projet'!$A$62&gt;35,AI43+AH44-AQ43,IF(A44&lt;'Données projet'!$A$62,$AF$205^A44,IF(A44='Données projet'!$A$62,'Données projet'!$B$62,AI43+AH44-AQ43)))</f>
        <v>280.93666666666672</v>
      </c>
      <c r="AJ44" s="13">
        <f>AI44*VLOOKUP('Données projet'!$B$10,Paramètres!$A$1:$I$89,3,0)*VLOOKUP('Données projet'!$B$10,Paramètres!$A$1:$I$89,5,0)</f>
        <v>124.17400666666671</v>
      </c>
      <c r="AK44" s="13">
        <f t="shared" si="35"/>
        <v>32.64657207027394</v>
      </c>
      <c r="AL44" s="20">
        <f t="shared" si="4"/>
        <v>273.12917463350499</v>
      </c>
      <c r="AM44" s="59">
        <f t="shared" si="5"/>
        <v>566.4625079668383</v>
      </c>
      <c r="AN44" s="59">
        <f ca="1">AVERAGE(OFFSET($AM$3,0,0,'Données projet'!$E$10+1,1))-AVERAGE(OFFSET($H$3,0,0,'Données projet'!$E$10+1,1))</f>
        <v>218.3918302549892</v>
      </c>
      <c r="AO44" s="59">
        <f t="shared" si="36"/>
        <v>102.61932145411976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6.633230484790678</v>
      </c>
      <c r="AV44" s="21">
        <f>EXP(-LN(2)/25)*AV43+(1-EXP(-LN(2)/25))/(LN(2)/25)*Calculateur!AQ44*Calculateur!AS44*VLOOKUP('Données projet'!$B$10,Paramètres!$A$1:$I$89,3,0)*0.475*44/12</f>
        <v>9.2510503695831208</v>
      </c>
      <c r="AW44" s="21">
        <f>EXP(-LN(2)/2)*AW43+(1-EXP(-LN(2)/2))/(LN(2)/2)*AQ44*AT44*VLOOKUP('Données projet'!$B$10,Paramètres!$A$1:$I$89,3,0)*0.475*44/12</f>
        <v>1.5885986293906429</v>
      </c>
      <c r="AX44" s="21">
        <f t="shared" si="6"/>
        <v>17.472879483764441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4.1025641025641022</v>
      </c>
      <c r="BD44" s="12">
        <f>IF('Données projet'!$A$88&gt;35,BD43+BC44-BL43,IF(A44&lt;'Données projet'!$A$88,$BA$205^A44,IF(A44='Données projet'!$A$88,'Données projet'!$B$88,BD43+BC44-BL43)))</f>
        <v>87.435897435897431</v>
      </c>
      <c r="BE44" s="13">
        <f>BD44*VLOOKUP('Données projet'!$B$11,Paramètres!$A$1:$I$89,3,0)*VLOOKUP('Données projet'!$B$11,Paramètres!$A$1:$I$89,5,0)</f>
        <v>76.384000000000015</v>
      </c>
      <c r="BF44" s="13">
        <f t="shared" si="37"/>
        <v>21.250687416058835</v>
      </c>
      <c r="BG44" s="20">
        <f t="shared" si="7"/>
        <v>170.04708058296916</v>
      </c>
      <c r="BH44" s="59">
        <f t="shared" si="8"/>
        <v>463.38041391630247</v>
      </c>
      <c r="BI44" s="59">
        <f ca="1">AVERAGE(OFFSET($BH$3,0,0,'Données projet'!$E$11+1,1))-AVERAGE(OFFSET($H$3,0,0,'Données projet'!$E$11+1,1))</f>
        <v>112.66486935566058</v>
      </c>
      <c r="BJ44" s="59">
        <f t="shared" si="38"/>
        <v>110.84860075828624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10.542848052715309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10.542848052715309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450.49</v>
      </c>
      <c r="L45" s="12">
        <f>VLOOKUP(A45,'Données projet'!$A$35:$I$55,9,0)</f>
        <v>22.851428571428578</v>
      </c>
      <c r="M45" s="12">
        <f t="array" ref="M45">INDEX(L:L,MIN(IF(ISNUMBER(L45:L241),ROW(L45:L241),"")))</f>
        <v>22.851428571428578</v>
      </c>
      <c r="N45" s="13">
        <f>IF('Données projet'!$A$36&gt;35,N44+M45-V44,IF(A45&lt;'Données projet'!$A$36,$K$205^A45,IF(A45='Données projet'!$A$36,'Données projet'!$B$36,N44+M45-V44)))</f>
        <v>450.49000000000007</v>
      </c>
      <c r="O45" s="13">
        <f>N45*VLOOKUP('Données projet'!$B$9,Paramètres!$A$1:$I$89,3,0)*VLOOKUP('Données projet'!$B$9,Paramètres!$A$1:$I$89,5,0)</f>
        <v>251.82391000000004</v>
      </c>
      <c r="P45" s="13">
        <f t="shared" si="33"/>
        <v>60.976338340878812</v>
      </c>
      <c r="Q45" s="20">
        <f t="shared" si="53"/>
        <v>544.79376586036392</v>
      </c>
      <c r="R45" s="59">
        <f t="shared" si="0"/>
        <v>838.12709919369718</v>
      </c>
      <c r="S45" s="59">
        <f ca="1">AVERAGE(OFFSET($R$3,0,0,'Données projet'!$E$9+1,1))-AVERAGE(OFFSET($H$3,0,0,'Données projet'!$E$9+1,1))</f>
        <v>314.07001555875894</v>
      </c>
      <c r="T45" s="59">
        <f t="shared" si="34"/>
        <v>281.53154885904991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100.04000000000002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52.523395338496876</v>
      </c>
      <c r="AA45" s="21">
        <f>EXP(-LN(2)/25)*AA44+(1-EXP(-LN(2)/25))/(LN(2)/25)*Calculateur!V45*Calculateur!X45*VLOOKUP('Données projet'!$B$9,Paramètres!$A$1:$I$89,3,0)*0.475*44/12</f>
        <v>26.250624715479255</v>
      </c>
      <c r="AB45" s="21">
        <f>EXP(-LN(2)/2)*AB44+(1-EXP(-LN(2)/2))/(LN(2)/2)*V45*Y45*VLOOKUP('Données projet'!$B$9,Paramètres!$A$1:$I$89,3,0)*0.475*44/12</f>
        <v>13.771287073109026</v>
      </c>
      <c r="AC45" s="22">
        <f t="shared" si="3"/>
        <v>92.545307127085152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14.286666666666665</v>
      </c>
      <c r="AI45" s="13">
        <f>IF('Données projet'!$A$62&gt;35,AI44+AH45-AQ44,IF(A45&lt;'Données projet'!$A$62,$AF$205^A45,IF(A45='Données projet'!$A$62,'Données projet'!$B$62,AI44+AH45-AQ44)))</f>
        <v>295.22333333333341</v>
      </c>
      <c r="AJ45" s="13">
        <f>AI45*VLOOKUP('Données projet'!$B$10,Paramètres!$A$1:$I$89,3,0)*VLOOKUP('Données projet'!$B$10,Paramètres!$A$1:$I$89,5,0)</f>
        <v>130.48871333333338</v>
      </c>
      <c r="AK45" s="13">
        <f t="shared" si="35"/>
        <v>34.109261961477507</v>
      </c>
      <c r="AL45" s="20">
        <f t="shared" si="4"/>
        <v>286.67480697179559</v>
      </c>
      <c r="AM45" s="59">
        <f t="shared" si="5"/>
        <v>580.0081403051289</v>
      </c>
      <c r="AN45" s="59">
        <f ca="1">AVERAGE(OFFSET($AM$3,0,0,'Données projet'!$E$10+1,1))-AVERAGE(OFFSET($H$3,0,0,'Données projet'!$E$10+1,1))</f>
        <v>218.3918302549892</v>
      </c>
      <c r="AO45" s="59">
        <f t="shared" si="36"/>
        <v>102.61932145411976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6.5031568808550322</v>
      </c>
      <c r="AV45" s="21">
        <f>EXP(-LN(2)/25)*AV44+(1-EXP(-LN(2)/25))/(LN(2)/25)*Calculateur!AQ45*Calculateur!AS45*VLOOKUP('Données projet'!$B$10,Paramètres!$A$1:$I$89,3,0)*0.475*44/12</f>
        <v>8.9980799107352745</v>
      </c>
      <c r="AW45" s="21">
        <f>EXP(-LN(2)/2)*AW44+(1-EXP(-LN(2)/2))/(LN(2)/2)*AQ45*AT45*VLOOKUP('Données projet'!$B$10,Paramètres!$A$1:$I$89,3,0)*0.475*44/12</f>
        <v>1.1233088634257786</v>
      </c>
      <c r="AX45" s="21">
        <f t="shared" si="6"/>
        <v>16.624545655016085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4.1025641025641022</v>
      </c>
      <c r="BD45" s="12">
        <f>IF('Données projet'!$A$88&gt;35,BD44+BC45-BL44,IF(A45&lt;'Données projet'!$A$88,$BA$205^A45,IF(A45='Données projet'!$A$88,'Données projet'!$B$88,BD44+BC45-BL44)))</f>
        <v>91.538461538461533</v>
      </c>
      <c r="BE45" s="13">
        <f>BD45*VLOOKUP('Données projet'!$B$11,Paramètres!$A$1:$I$89,3,0)*VLOOKUP('Données projet'!$B$11,Paramètres!$A$1:$I$89,5,0)</f>
        <v>79.968000000000004</v>
      </c>
      <c r="BF45" s="13">
        <f t="shared" si="37"/>
        <v>22.12935978012921</v>
      </c>
      <c r="BG45" s="20">
        <f t="shared" si="7"/>
        <v>177.81956828372503</v>
      </c>
      <c r="BH45" s="59">
        <f t="shared" si="8"/>
        <v>471.15290161705832</v>
      </c>
      <c r="BI45" s="59">
        <f ca="1">AVERAGE(OFFSET($BH$3,0,0,'Données projet'!$E$11+1,1))-AVERAGE(OFFSET($H$3,0,0,'Données projet'!$E$11+1,1))</f>
        <v>112.66486935566058</v>
      </c>
      <c r="BJ45" s="59">
        <f t="shared" si="38"/>
        <v>110.84860075828624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10.254553318289526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10.254553318289526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21.970000000000002</v>
      </c>
      <c r="N46" s="13">
        <f>IF('Données projet'!$A$36&gt;35,N45+M46-V45,IF(A46&lt;'Données projet'!$A$36,$K$205^A46,IF(A46='Données projet'!$A$36,'Données projet'!$B$36,N45+M46-V45)))</f>
        <v>372.42000000000007</v>
      </c>
      <c r="O46" s="13">
        <f>N46*VLOOKUP('Données projet'!$B$9,Paramètres!$A$1:$I$89,3,0)*VLOOKUP('Données projet'!$B$9,Paramètres!$A$1:$I$89,5,0)</f>
        <v>208.18278000000007</v>
      </c>
      <c r="P46" s="13">
        <f t="shared" si="33"/>
        <v>51.538276765249073</v>
      </c>
      <c r="Q46" s="20">
        <f t="shared" si="53"/>
        <v>452.34750719947556</v>
      </c>
      <c r="R46" s="59">
        <f t="shared" si="0"/>
        <v>745.68084053280882</v>
      </c>
      <c r="S46" s="59">
        <f ca="1">AVERAGE(OFFSET($R$3,0,0,'Données projet'!$E$9+1,1))-AVERAGE(OFFSET($H$3,0,0,'Données projet'!$E$9+1,1))</f>
        <v>314.07001555875894</v>
      </c>
      <c r="T46" s="59">
        <f t="shared" si="34"/>
        <v>281.53154885904991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51.493443592016803</v>
      </c>
      <c r="AA46" s="21">
        <f>EXP(-LN(2)/25)*AA45+(1-EXP(-LN(2)/25))/(LN(2)/25)*Calculateur!V46*Calculateur!X46*VLOOKUP('Données projet'!$B$9,Paramètres!$A$1:$I$89,3,0)*0.475*44/12</f>
        <v>25.532800002174117</v>
      </c>
      <c r="AB46" s="21">
        <f>EXP(-LN(2)/2)*AB45+(1-EXP(-LN(2)/2))/(LN(2)/2)*V46*Y46*VLOOKUP('Données projet'!$B$9,Paramètres!$A$1:$I$89,3,0)*0.475*44/12</f>
        <v>9.7377704750620353</v>
      </c>
      <c r="AC46" s="22">
        <f t="shared" si="3"/>
        <v>86.764014069252951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>
        <f>VLOOKUP(A46,'Données projet'!$A$61:$I$81,2,0)</f>
        <v>309.51</v>
      </c>
      <c r="AG46" s="12">
        <f>VLOOKUP(A46,'Données projet'!$A$61:$I$81,9,0)</f>
        <v>14.286666666666665</v>
      </c>
      <c r="AH46" s="12">
        <f t="array" ref="AH46">INDEX(AG:AG,MIN(IF(ISNUMBER(AG46:AG242),ROW(AG46:AG242),"")))</f>
        <v>14.286666666666665</v>
      </c>
      <c r="AI46" s="13">
        <f>IF('Données projet'!$A$62&gt;35,AI45+AH46-AQ45,IF(A46&lt;'Données projet'!$A$62,$AF$205^A46,IF(A46='Données projet'!$A$62,'Données projet'!$B$62,AI45+AH46-AQ45)))</f>
        <v>309.5100000000001</v>
      </c>
      <c r="AJ46" s="13">
        <f>AI46*VLOOKUP('Données projet'!$B$10,Paramètres!$A$1:$I$89,3,0)*VLOOKUP('Données projet'!$B$10,Paramètres!$A$1:$I$89,5,0)</f>
        <v>136.80342000000007</v>
      </c>
      <c r="AK46" s="13">
        <f t="shared" si="35"/>
        <v>35.563732419231116</v>
      </c>
      <c r="AL46" s="20">
        <f t="shared" si="4"/>
        <v>300.20612379682763</v>
      </c>
      <c r="AM46" s="59">
        <f t="shared" si="5"/>
        <v>593.53945713016094</v>
      </c>
      <c r="AN46" s="59">
        <f ca="1">AVERAGE(OFFSET($AM$3,0,0,'Données projet'!$E$10+1,1))-AVERAGE(OFFSET($H$3,0,0,'Données projet'!$E$10+1,1))</f>
        <v>218.3918302549892</v>
      </c>
      <c r="AO46" s="59">
        <f t="shared" si="36"/>
        <v>102.61932145411976</v>
      </c>
      <c r="AP46" s="15">
        <f>IF(ISNA(VLOOKUP(A46,'Données projet'!$A$61:$I$81,3,0)),0,VLOOKUP(A46,'Données projet'!$A$61:$I$81,3,0))</f>
        <v>2</v>
      </c>
      <c r="AQ46" s="15">
        <f>IF(ISNA(VLOOKUP(A46,'Données projet'!$A$61:$I$81,4,0)),0,VLOOKUP(A46,'Données projet'!$A$61:$I$81,4,0))</f>
        <v>72.429999999999978</v>
      </c>
      <c r="AR46" s="16">
        <f>IF(ISNA(VLOOKUP(A46,'Données projet'!$A$61:$I$81,5,0)),0%,VLOOKUP(A46,'Données projet'!$A$61:$I$81,5,0)*VLOOKUP('Données projet'!$B$10,Paramètres!$A$1:$I$89,7,0))</f>
        <v>0.13750000000000001</v>
      </c>
      <c r="AS46" s="16">
        <f>IF(ISNA(VLOOKUP(A46,'Données projet'!$A$61:$I$81,6,0)),0%,VLOOKUP(A46,'Données projet'!$A$61:$I$81,6,0)*VLOOKUP('Données projet'!$B$10,Paramètres!$A$1:$I$89,7,0))</f>
        <v>0.20350000000000001</v>
      </c>
      <c r="AT46" s="16">
        <f>IF(ISNA(VLOOKUP(A46,'Données projet'!$A$61:$I$81,7,0)),0%,VLOOKUP(A46,'Données projet'!$A$61:$I$81,7,0))</f>
        <v>0.38</v>
      </c>
      <c r="AU46" s="21">
        <f>EXP(-LN(2)/35)*AU45+(1-EXP(-LN(2)/35))/(LN(2)/35)*AQ46*AR46*VLOOKUP('Données projet'!$B$10,Paramètres!$A$1:$I$89,3,0)*0.475*44/12</f>
        <v>12.215082125622953</v>
      </c>
      <c r="AV46" s="21">
        <f>EXP(-LN(2)/25)*AV45+(1-EXP(-LN(2)/25))/(LN(2)/25)*Calculateur!AQ46*Calculateur!AS46*VLOOKUP('Données projet'!$B$10,Paramètres!$A$1:$I$89,3,0)*0.475*44/12</f>
        <v>17.360381899584894</v>
      </c>
      <c r="AW46" s="21">
        <f>EXP(-LN(2)/2)*AW45+(1-EXP(-LN(2)/2))/(LN(2)/2)*AQ46*AT46*VLOOKUP('Données projet'!$B$10,Paramètres!$A$1:$I$89,3,0)*0.475*44/12</f>
        <v>14.568293343336368</v>
      </c>
      <c r="AX46" s="21">
        <f t="shared" si="6"/>
        <v>44.143757368544215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4.1025641025641022</v>
      </c>
      <c r="BD46" s="12">
        <f>IF('Données projet'!$A$88&gt;35,BD45+BC46-BL45,IF(A46&lt;'Données projet'!$A$88,$BA$205^A46,IF(A46='Données projet'!$A$88,'Données projet'!$B$88,BD45+BC46-BL45)))</f>
        <v>95.641025641025635</v>
      </c>
      <c r="BE46" s="13">
        <f>BD46*VLOOKUP('Données projet'!$B$11,Paramètres!$A$1:$I$89,3,0)*VLOOKUP('Données projet'!$B$11,Paramètres!$A$1:$I$89,5,0)</f>
        <v>83.552000000000007</v>
      </c>
      <c r="BF46" s="13">
        <f t="shared" si="37"/>
        <v>23.003458599323775</v>
      </c>
      <c r="BG46" s="20">
        <f t="shared" si="7"/>
        <v>185.58409039382227</v>
      </c>
      <c r="BH46" s="59">
        <f t="shared" si="8"/>
        <v>478.91742372715555</v>
      </c>
      <c r="BI46" s="59">
        <f ca="1">AVERAGE(OFFSET($BH$3,0,0,'Données projet'!$E$11+1,1))-AVERAGE(OFFSET($H$3,0,0,'Données projet'!$E$11+1,1))</f>
        <v>112.66486935566058</v>
      </c>
      <c r="BJ46" s="59">
        <f t="shared" si="38"/>
        <v>110.84860075828624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9.9741420185373766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9.9741420185373766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21.970000000000002</v>
      </c>
      <c r="N47" s="13">
        <f>IF('Données projet'!$A$36&gt;35,N46+M47-V46,IF(A47&lt;'Données projet'!$A$36,$K$205^A47,IF(A47='Données projet'!$A$36,'Données projet'!$B$36,N46+M47-V46)))</f>
        <v>394.3900000000001</v>
      </c>
      <c r="O47" s="13">
        <f>N47*VLOOKUP('Données projet'!$B$9,Paramètres!$A$1:$I$89,3,0)*VLOOKUP('Données projet'!$B$9,Paramètres!$A$1:$I$89,5,0)</f>
        <v>220.46401000000006</v>
      </c>
      <c r="P47" s="13">
        <f t="shared" si="33"/>
        <v>54.215723631671224</v>
      </c>
      <c r="Q47" s="20">
        <f t="shared" si="53"/>
        <v>478.4005360751608</v>
      </c>
      <c r="R47" s="59">
        <f t="shared" si="0"/>
        <v>771.73386940849412</v>
      </c>
      <c r="S47" s="59">
        <f ca="1">AVERAGE(OFFSET($R$3,0,0,'Données projet'!$E$9+1,1))-AVERAGE(OFFSET($H$3,0,0,'Données projet'!$E$9+1,1))</f>
        <v>314.07001555875894</v>
      </c>
      <c r="T47" s="59">
        <f t="shared" si="34"/>
        <v>281.53154885904991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50.483688571076669</v>
      </c>
      <c r="AA47" s="21">
        <f>EXP(-LN(2)/25)*AA46+(1-EXP(-LN(2)/25))/(LN(2)/25)*Calculateur!V47*Calculateur!X47*VLOOKUP('Données projet'!$B$9,Paramètres!$A$1:$I$89,3,0)*0.475*44/12</f>
        <v>24.834604243403071</v>
      </c>
      <c r="AB47" s="21">
        <f>EXP(-LN(2)/2)*AB46+(1-EXP(-LN(2)/2))/(LN(2)/2)*V47*Y47*VLOOKUP('Données projet'!$B$9,Paramètres!$A$1:$I$89,3,0)*0.475*44/12</f>
        <v>6.8856435365545137</v>
      </c>
      <c r="AC47" s="22">
        <f t="shared" si="3"/>
        <v>82.203936351034258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13.08111111111111</v>
      </c>
      <c r="AI47" s="13">
        <f>IF('Données projet'!$A$62&gt;35,AI46+AH47-AQ46,IF(A47&lt;'Données projet'!$A$62,$AF$205^A47,IF(A47='Données projet'!$A$62,'Données projet'!$B$62,AI46+AH47-AQ46)))</f>
        <v>250.16111111111124</v>
      </c>
      <c r="AJ47" s="13">
        <f>AI47*VLOOKUP('Données projet'!$B$10,Paramètres!$A$1:$I$89,3,0)*VLOOKUP('Données projet'!$B$10,Paramètres!$A$1:$I$89,5,0)</f>
        <v>110.57121111111118</v>
      </c>
      <c r="AK47" s="13">
        <f t="shared" si="35"/>
        <v>29.465525770342264</v>
      </c>
      <c r="AL47" s="20">
        <f t="shared" si="4"/>
        <v>243.89731673519807</v>
      </c>
      <c r="AM47" s="59">
        <f t="shared" si="5"/>
        <v>537.23065006853142</v>
      </c>
      <c r="AN47" s="59">
        <f ca="1">AVERAGE(OFFSET($AM$3,0,0,'Données projet'!$E$10+1,1))-AVERAGE(OFFSET($H$3,0,0,'Données projet'!$E$10+1,1))</f>
        <v>218.3918302549892</v>
      </c>
      <c r="AO47" s="59">
        <f t="shared" si="36"/>
        <v>102.61932145411976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11.975551815603911</v>
      </c>
      <c r="AV47" s="21">
        <f>EXP(-LN(2)/25)*AV46+(1-EXP(-LN(2)/25))/(LN(2)/25)*Calculateur!AQ47*Calculateur!AS47*VLOOKUP('Données projet'!$B$10,Paramètres!$A$1:$I$89,3,0)*0.475*44/12</f>
        <v>16.885661343597938</v>
      </c>
      <c r="AW47" s="21">
        <f>EXP(-LN(2)/2)*AW46+(1-EXP(-LN(2)/2))/(LN(2)/2)*AQ47*AT47*VLOOKUP('Données projet'!$B$10,Paramètres!$A$1:$I$89,3,0)*0.475*44/12</f>
        <v>10.301339013387986</v>
      </c>
      <c r="AX47" s="21">
        <f t="shared" si="6"/>
        <v>39.162552172589834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4.1025641025641022</v>
      </c>
      <c r="BD47" s="12">
        <f>IF('Données projet'!$A$88&gt;35,BD46+BC47-BL46,IF(A47&lt;'Données projet'!$A$88,$BA$205^A47,IF(A47='Données projet'!$A$88,'Données projet'!$B$88,BD46+BC47-BL46)))</f>
        <v>99.743589743589737</v>
      </c>
      <c r="BE47" s="13">
        <f>BD47*VLOOKUP('Données projet'!$B$11,Paramètres!$A$1:$I$89,3,0)*VLOOKUP('Données projet'!$B$11,Paramètres!$A$1:$I$89,5,0)</f>
        <v>87.13600000000001</v>
      </c>
      <c r="BF47" s="13">
        <f t="shared" si="37"/>
        <v>23.873202484658083</v>
      </c>
      <c r="BG47" s="20">
        <f t="shared" si="7"/>
        <v>193.34102766077947</v>
      </c>
      <c r="BH47" s="59">
        <f t="shared" si="8"/>
        <v>486.67436099411282</v>
      </c>
      <c r="BI47" s="59">
        <f ca="1">AVERAGE(OFFSET($BH$3,0,0,'Données projet'!$E$11+1,1))-AVERAGE(OFFSET($H$3,0,0,'Données projet'!$E$11+1,1))</f>
        <v>112.66486935566058</v>
      </c>
      <c r="BJ47" s="59">
        <f t="shared" si="38"/>
        <v>110.84860075828624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9.70139858052314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9.70139858052314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21.970000000000002</v>
      </c>
      <c r="N48" s="13">
        <f>IF('Données projet'!$A$36&gt;35,N47+M48-V47,IF(A48&lt;'Données projet'!$A$36,$K$205^A48,IF(A48='Données projet'!$A$36,'Données projet'!$B$36,N47+M48-V47)))</f>
        <v>416.36000000000013</v>
      </c>
      <c r="O48" s="13">
        <f>N48*VLOOKUP('Données projet'!$B$9,Paramètres!$A$1:$I$89,3,0)*VLOOKUP('Données projet'!$B$9,Paramètres!$A$1:$I$89,5,0)</f>
        <v>232.74524000000008</v>
      </c>
      <c r="P48" s="13">
        <f t="shared" si="33"/>
        <v>56.875856080072602</v>
      </c>
      <c r="Q48" s="20">
        <f t="shared" si="53"/>
        <v>504.42340900612658</v>
      </c>
      <c r="R48" s="59">
        <f t="shared" si="0"/>
        <v>797.75674233945983</v>
      </c>
      <c r="S48" s="59">
        <f ca="1">AVERAGE(OFFSET($R$3,0,0,'Données projet'!$E$9+1,1))-AVERAGE(OFFSET($H$3,0,0,'Données projet'!$E$9+1,1))</f>
        <v>314.07001555875894</v>
      </c>
      <c r="T48" s="59">
        <f t="shared" si="34"/>
        <v>281.53154885904991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49.493734230207423</v>
      </c>
      <c r="AA48" s="21">
        <f>EXP(-LN(2)/25)*AA47+(1-EXP(-LN(2)/25))/(LN(2)/25)*Calculateur!V48*Calculateur!X48*VLOOKUP('Données projet'!$B$9,Paramètres!$A$1:$I$89,3,0)*0.475*44/12</f>
        <v>24.155500684372136</v>
      </c>
      <c r="AB48" s="21">
        <f>EXP(-LN(2)/2)*AB47+(1-EXP(-LN(2)/2))/(LN(2)/2)*V48*Y48*VLOOKUP('Données projet'!$B$9,Paramètres!$A$1:$I$89,3,0)*0.475*44/12</f>
        <v>4.8688852375310177</v>
      </c>
      <c r="AC48" s="22">
        <f t="shared" si="3"/>
        <v>78.518120152110569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13.08111111111111</v>
      </c>
      <c r="AI48" s="13">
        <f>IF('Données projet'!$A$62&gt;35,AI47+AH48-AQ47,IF(A48&lt;'Données projet'!$A$62,$AF$205^A48,IF(A48='Données projet'!$A$62,'Données projet'!$B$62,AI47+AH48-AQ47)))</f>
        <v>263.24222222222232</v>
      </c>
      <c r="AJ48" s="13">
        <f>AI48*VLOOKUP('Données projet'!$B$10,Paramètres!$A$1:$I$89,3,0)*VLOOKUP('Données projet'!$B$10,Paramètres!$A$1:$I$89,5,0)</f>
        <v>116.35306222222228</v>
      </c>
      <c r="AK48" s="13">
        <f t="shared" si="35"/>
        <v>30.822889162204049</v>
      </c>
      <c r="AL48" s="20">
        <f t="shared" si="4"/>
        <v>256.33144866120921</v>
      </c>
      <c r="AM48" s="59">
        <f t="shared" si="5"/>
        <v>549.66478199454252</v>
      </c>
      <c r="AN48" s="59">
        <f ca="1">AVERAGE(OFFSET($AM$3,0,0,'Données projet'!$E$10+1,1))-AVERAGE(OFFSET($H$3,0,0,'Données projet'!$E$10+1,1))</f>
        <v>218.3918302549892</v>
      </c>
      <c r="AO48" s="59">
        <f t="shared" si="36"/>
        <v>102.61932145411976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11.74071854886528</v>
      </c>
      <c r="AV48" s="21">
        <f>EXP(-LN(2)/25)*AV47+(1-EXP(-LN(2)/25))/(LN(2)/25)*Calculateur!AQ48*Calculateur!AS48*VLOOKUP('Données projet'!$B$10,Paramètres!$A$1:$I$89,3,0)*0.475*44/12</f>
        <v>16.423922046178916</v>
      </c>
      <c r="AW48" s="21">
        <f>EXP(-LN(2)/2)*AW47+(1-EXP(-LN(2)/2))/(LN(2)/2)*AQ48*AT48*VLOOKUP('Données projet'!$B$10,Paramètres!$A$1:$I$89,3,0)*0.475*44/12</f>
        <v>7.2841466716681849</v>
      </c>
      <c r="AX48" s="21">
        <f t="shared" si="6"/>
        <v>35.44878726671238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103.84615384615384</v>
      </c>
      <c r="BB48" s="12">
        <f>VLOOKUP(A48,'Données projet'!$A$87:$I$107,9,0)</f>
        <v>4.1025641025641022</v>
      </c>
      <c r="BC48" s="12">
        <f t="array" ref="BC48">INDEX(BB:BB,MIN(IF(ISNUMBER(BB48:BB244),ROW(BB48:BB244),"")))</f>
        <v>4.1025641025641022</v>
      </c>
      <c r="BD48" s="12">
        <f>IF('Données projet'!$A$88&gt;35,BD47+BC48-BL47,IF(A48&lt;'Données projet'!$A$88,$BA$205^A48,IF(A48='Données projet'!$A$88,'Données projet'!$B$88,BD47+BC48-BL47)))</f>
        <v>103.84615384615384</v>
      </c>
      <c r="BE48" s="13">
        <f>BD48*VLOOKUP('Données projet'!$B$11,Paramètres!$A$1:$I$89,3,0)*VLOOKUP('Données projet'!$B$11,Paramètres!$A$1:$I$89,5,0)</f>
        <v>90.72</v>
      </c>
      <c r="BF48" s="13">
        <f t="shared" si="37"/>
        <v>24.738791046142097</v>
      </c>
      <c r="BG48" s="20">
        <f t="shared" si="7"/>
        <v>201.0907277386975</v>
      </c>
      <c r="BH48" s="59">
        <f t="shared" si="8"/>
        <v>494.42406107203078</v>
      </c>
      <c r="BI48" s="59">
        <f ca="1">AVERAGE(OFFSET($BH$3,0,0,'Données projet'!$E$11+1,1))-AVERAGE(OFFSET($H$3,0,0,'Données projet'!$E$11+1,1))</f>
        <v>112.66486935566058</v>
      </c>
      <c r="BJ48" s="59">
        <f t="shared" si="38"/>
        <v>110.84860075828624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12.179487179487179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11.955030225711036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11.955030225711036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21.970000000000002</v>
      </c>
      <c r="N49" s="13">
        <f>IF('Données projet'!$A$36&gt;35,N48+M49-V48,IF(A49&lt;'Données projet'!$A$36,$K$205^A49,IF(A49='Données projet'!$A$36,'Données projet'!$B$36,N48+M49-V48)))</f>
        <v>438.33000000000015</v>
      </c>
      <c r="O49" s="13">
        <f>N49*VLOOKUP('Données projet'!$B$9,Paramètres!$A$1:$I$89,3,0)*VLOOKUP('Données projet'!$B$9,Paramètres!$A$1:$I$89,5,0)</f>
        <v>245.02647000000007</v>
      </c>
      <c r="P49" s="13">
        <f t="shared" si="33"/>
        <v>59.519691926533838</v>
      </c>
      <c r="Q49" s="20">
        <f t="shared" si="53"/>
        <v>530.41789868871319</v>
      </c>
      <c r="R49" s="59">
        <f t="shared" si="0"/>
        <v>823.75123202204645</v>
      </c>
      <c r="S49" s="59">
        <f ca="1">AVERAGE(OFFSET($R$3,0,0,'Données projet'!$E$9+1,1))-AVERAGE(OFFSET($H$3,0,0,'Données projet'!$E$9+1,1))</f>
        <v>314.07001555875894</v>
      </c>
      <c r="T49" s="59">
        <f t="shared" si="34"/>
        <v>281.53154885904991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48.523192290150099</v>
      </c>
      <c r="AA49" s="21">
        <f>EXP(-LN(2)/25)*AA48+(1-EXP(-LN(2)/25))/(LN(2)/25)*Calculateur!V49*Calculateur!X49*VLOOKUP('Données projet'!$B$9,Paramètres!$A$1:$I$89,3,0)*0.475*44/12</f>
        <v>23.494967247875408</v>
      </c>
      <c r="AB49" s="21">
        <f>EXP(-LN(2)/2)*AB48+(1-EXP(-LN(2)/2))/(LN(2)/2)*V49*Y49*VLOOKUP('Données projet'!$B$9,Paramètres!$A$1:$I$89,3,0)*0.475*44/12</f>
        <v>3.4428217682772568</v>
      </c>
      <c r="AC49" s="22">
        <f t="shared" si="3"/>
        <v>75.46098130630277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13.08111111111111</v>
      </c>
      <c r="AI49" s="13">
        <f>IF('Données projet'!$A$62&gt;35,AI48+AH49-AQ48,IF(A49&lt;'Données projet'!$A$62,$AF$205^A49,IF(A49='Données projet'!$A$62,'Données projet'!$B$62,AI48+AH49-AQ48)))</f>
        <v>276.32333333333344</v>
      </c>
      <c r="AJ49" s="13">
        <f>AI49*VLOOKUP('Données projet'!$B$10,Paramètres!$A$1:$I$89,3,0)*VLOOKUP('Données projet'!$B$10,Paramètres!$A$1:$I$89,5,0)</f>
        <v>122.13491333333339</v>
      </c>
      <c r="AK49" s="13">
        <f t="shared" si="35"/>
        <v>32.172420574779963</v>
      </c>
      <c r="AL49" s="20">
        <f t="shared" si="4"/>
        <v>268.75193988996409</v>
      </c>
      <c r="AM49" s="59">
        <f t="shared" si="5"/>
        <v>562.08527322329746</v>
      </c>
      <c r="AN49" s="59">
        <f ca="1">AVERAGE(OFFSET($AM$3,0,0,'Données projet'!$E$10+1,1))-AVERAGE(OFFSET($H$3,0,0,'Données projet'!$E$10+1,1))</f>
        <v>218.3918302549892</v>
      </c>
      <c r="AO49" s="59">
        <f t="shared" si="36"/>
        <v>102.61932145411976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11.510490219253244</v>
      </c>
      <c r="AV49" s="21">
        <f>EXP(-LN(2)/25)*AV48+(1-EXP(-LN(2)/25))/(LN(2)/25)*Calculateur!AQ49*Calculateur!AS49*VLOOKUP('Données projet'!$B$10,Paramètres!$A$1:$I$89,3,0)*0.475*44/12</f>
        <v>15.974809034129631</v>
      </c>
      <c r="AW49" s="21">
        <f>EXP(-LN(2)/2)*AW48+(1-EXP(-LN(2)/2))/(LN(2)/2)*AQ49*AT49*VLOOKUP('Données projet'!$B$10,Paramètres!$A$1:$I$89,3,0)*0.475*44/12</f>
        <v>5.150669506693994</v>
      </c>
      <c r="AX49" s="21">
        <f t="shared" si="6"/>
        <v>32.635968760076871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3.8461538461538454</v>
      </c>
      <c r="BD49" s="12">
        <f>IF('Données projet'!$A$88&gt;35,BD48+BC49-BL48,IF(A49&lt;'Données projet'!$A$88,$BA$205^A49,IF(A49='Données projet'!$A$88,'Données projet'!$B$88,BD48+BC49-BL48)))</f>
        <v>95.512820512820497</v>
      </c>
      <c r="BE49" s="13">
        <f>BD49*VLOOKUP('Données projet'!$B$11,Paramètres!$A$1:$I$89,3,0)*VLOOKUP('Données projet'!$B$11,Paramètres!$A$1:$I$89,5,0)</f>
        <v>83.44</v>
      </c>
      <c r="BF49" s="13">
        <f t="shared" si="37"/>
        <v>22.976210016812125</v>
      </c>
      <c r="BG49" s="20">
        <f t="shared" si="7"/>
        <v>185.34156577928113</v>
      </c>
      <c r="BH49" s="59">
        <f t="shared" si="8"/>
        <v>478.67489911261441</v>
      </c>
      <c r="BI49" s="59">
        <f ca="1">AVERAGE(OFFSET($BH$3,0,0,'Données projet'!$E$11+1,1))-AVERAGE(OFFSET($H$3,0,0,'Données projet'!$E$11+1,1))</f>
        <v>112.66486935566058</v>
      </c>
      <c r="BJ49" s="59">
        <f t="shared" si="38"/>
        <v>110.84860075828624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11.628119295501252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11.628119295501252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21.970000000000002</v>
      </c>
      <c r="N50" s="13">
        <f>IF('Données projet'!$A$36&gt;35,N49+M50-V49,IF(A50&lt;'Données projet'!$A$36,$K$205^A50,IF(A50='Données projet'!$A$36,'Données projet'!$B$36,N49+M50-V49)))</f>
        <v>460.30000000000018</v>
      </c>
      <c r="O50" s="13">
        <f>N50*VLOOKUP('Données projet'!$B$9,Paramètres!$A$1:$I$89,3,0)*VLOOKUP('Données projet'!$B$9,Paramètres!$A$1:$I$89,5,0)</f>
        <v>257.30770000000012</v>
      </c>
      <c r="P50" s="13">
        <f t="shared" si="33"/>
        <v>62.148141193508692</v>
      </c>
      <c r="Q50" s="20">
        <f t="shared" si="53"/>
        <v>556.38559007869458</v>
      </c>
      <c r="R50" s="59">
        <f t="shared" si="0"/>
        <v>849.71892341202783</v>
      </c>
      <c r="S50" s="59">
        <f ca="1">AVERAGE(OFFSET($R$3,0,0,'Données projet'!$E$9+1,1))-AVERAGE(OFFSET($H$3,0,0,'Données projet'!$E$9+1,1))</f>
        <v>314.07001555875894</v>
      </c>
      <c r="T50" s="59">
        <f t="shared" si="34"/>
        <v>281.53154885904991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47.571682085565172</v>
      </c>
      <c r="AA50" s="21">
        <f>EXP(-LN(2)/25)*AA49+(1-EXP(-LN(2)/25))/(LN(2)/25)*Calculateur!V50*Calculateur!X50*VLOOKUP('Données projet'!$B$9,Paramètres!$A$1:$I$89,3,0)*0.475*44/12</f>
        <v>22.852496132935627</v>
      </c>
      <c r="AB50" s="21">
        <f>EXP(-LN(2)/2)*AB49+(1-EXP(-LN(2)/2))/(LN(2)/2)*V50*Y50*VLOOKUP('Données projet'!$B$9,Paramètres!$A$1:$I$89,3,0)*0.475*44/12</f>
        <v>2.4344426187655088</v>
      </c>
      <c r="AC50" s="22">
        <f t="shared" si="3"/>
        <v>72.858620837266301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13.08111111111111</v>
      </c>
      <c r="AI50" s="13">
        <f>IF('Données projet'!$A$62&gt;35,AI49+AH50-AQ49,IF(A50&lt;'Données projet'!$A$62,$AF$205^A50,IF(A50='Données projet'!$A$62,'Données projet'!$B$62,AI49+AH50-AQ49)))</f>
        <v>289.40444444444455</v>
      </c>
      <c r="AJ50" s="13">
        <f>AI50*VLOOKUP('Données projet'!$B$10,Paramètres!$A$1:$I$89,3,0)*VLOOKUP('Données projet'!$B$10,Paramètres!$A$1:$I$89,5,0)</f>
        <v>127.91676444444451</v>
      </c>
      <c r="AK50" s="13">
        <f t="shared" si="35"/>
        <v>33.514533107258679</v>
      </c>
      <c r="AL50" s="20">
        <f t="shared" si="4"/>
        <v>281.1595099025497</v>
      </c>
      <c r="AM50" s="59">
        <f t="shared" si="5"/>
        <v>574.49284323588302</v>
      </c>
      <c r="AN50" s="59">
        <f ca="1">AVERAGE(OFFSET($AM$3,0,0,'Données projet'!$E$10+1,1))-AVERAGE(OFFSET($H$3,0,0,'Données projet'!$E$10+1,1))</f>
        <v>218.3918302549892</v>
      </c>
      <c r="AO50" s="59">
        <f t="shared" si="36"/>
        <v>102.61932145411976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11.284776526759485</v>
      </c>
      <c r="AV50" s="21">
        <f>EXP(-LN(2)/25)*AV49+(1-EXP(-LN(2)/25))/(LN(2)/25)*Calculateur!AQ50*Calculateur!AS50*VLOOKUP('Données projet'!$B$10,Paramètres!$A$1:$I$89,3,0)*0.475*44/12</f>
        <v>15.53797704101266</v>
      </c>
      <c r="AW50" s="21">
        <f>EXP(-LN(2)/2)*AW49+(1-EXP(-LN(2)/2))/(LN(2)/2)*AQ50*AT50*VLOOKUP('Données projet'!$B$10,Paramètres!$A$1:$I$89,3,0)*0.475*44/12</f>
        <v>3.6420733358340929</v>
      </c>
      <c r="AX50" s="21">
        <f t="shared" si="6"/>
        <v>30.464826903606237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3.8461538461538454</v>
      </c>
      <c r="BD50" s="12">
        <f>IF('Données projet'!$A$88&gt;35,BD49+BC50-BL49,IF(A50&lt;'Données projet'!$A$88,$BA$205^A50,IF(A50='Données projet'!$A$88,'Données projet'!$B$88,BD49+BC50-BL49)))</f>
        <v>99.358974358974336</v>
      </c>
      <c r="BE50" s="13">
        <f>BD50*VLOOKUP('Données projet'!$B$11,Paramètres!$A$1:$I$89,3,0)*VLOOKUP('Données projet'!$B$11,Paramètres!$A$1:$I$89,5,0)</f>
        <v>86.8</v>
      </c>
      <c r="BF50" s="13">
        <f t="shared" si="37"/>
        <v>23.791843477385203</v>
      </c>
      <c r="BG50" s="20">
        <f t="shared" si="7"/>
        <v>192.61412738977921</v>
      </c>
      <c r="BH50" s="59">
        <f t="shared" si="8"/>
        <v>485.9474607231125</v>
      </c>
      <c r="BI50" s="59">
        <f ca="1">AVERAGE(OFFSET($BH$3,0,0,'Données projet'!$E$11+1,1))-AVERAGE(OFFSET($H$3,0,0,'Données projet'!$E$11+1,1))</f>
        <v>112.66486935566058</v>
      </c>
      <c r="BJ50" s="59">
        <f t="shared" si="38"/>
        <v>110.84860075828624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11.310147761869553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11.310147761869553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21.970000000000002</v>
      </c>
      <c r="N51" s="13">
        <f>IF('Données projet'!$A$36&gt;35,N50+M51-V50,IF(A51&lt;'Données projet'!$A$36,$K$205^A51,IF(A51='Données projet'!$A$36,'Données projet'!$B$36,N50+M51-V50)))</f>
        <v>482.27000000000021</v>
      </c>
      <c r="O51" s="13">
        <f>N51*VLOOKUP('Données projet'!$B$9,Paramètres!$A$1:$I$89,3,0)*VLOOKUP('Données projet'!$B$9,Paramètres!$A$1:$I$89,5,0)</f>
        <v>269.58893000000012</v>
      </c>
      <c r="P51" s="13">
        <f t="shared" si="33"/>
        <v>64.762022124596854</v>
      </c>
      <c r="Q51" s="20">
        <f t="shared" si="53"/>
        <v>582.32790828367308</v>
      </c>
      <c r="R51" s="59">
        <f t="shared" si="0"/>
        <v>875.66124161700645</v>
      </c>
      <c r="S51" s="59">
        <f ca="1">AVERAGE(OFFSET($R$3,0,0,'Données projet'!$E$9+1,1))-AVERAGE(OFFSET($H$3,0,0,'Données projet'!$E$9+1,1))</f>
        <v>314.07001555875894</v>
      </c>
      <c r="T51" s="59">
        <f t="shared" si="34"/>
        <v>281.53154885904991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46.638830415728229</v>
      </c>
      <c r="AA51" s="21">
        <f>EXP(-LN(2)/25)*AA50+(1-EXP(-LN(2)/25))/(LN(2)/25)*Calculateur!V51*Calculateur!X51*VLOOKUP('Données projet'!$B$9,Paramètres!$A$1:$I$89,3,0)*0.475*44/12</f>
        <v>22.227593424419961</v>
      </c>
      <c r="AB51" s="21">
        <f>EXP(-LN(2)/2)*AB50+(1-EXP(-LN(2)/2))/(LN(2)/2)*V51*Y51*VLOOKUP('Données projet'!$B$9,Paramètres!$A$1:$I$89,3,0)*0.475*44/12</f>
        <v>1.7214108841386284</v>
      </c>
      <c r="AC51" s="22">
        <f t="shared" si="3"/>
        <v>70.587834724286822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13.08111111111111</v>
      </c>
      <c r="AI51" s="13">
        <f>IF('Données projet'!$A$62&gt;35,AI50+AH51-AQ50,IF(A51&lt;'Données projet'!$A$62,$AF$205^A51,IF(A51='Données projet'!$A$62,'Données projet'!$B$62,AI50+AH51-AQ50)))</f>
        <v>302.48555555555566</v>
      </c>
      <c r="AJ51" s="13">
        <f>AI51*VLOOKUP('Données projet'!$B$10,Paramètres!$A$1:$I$89,3,0)*VLOOKUP('Données projet'!$B$10,Paramètres!$A$1:$I$89,5,0)</f>
        <v>133.69861555555562</v>
      </c>
      <c r="AK51" s="13">
        <f t="shared" si="35"/>
        <v>34.849600403540094</v>
      </c>
      <c r="AL51" s="20">
        <f t="shared" si="4"/>
        <v>293.55480946209173</v>
      </c>
      <c r="AM51" s="59">
        <f t="shared" si="5"/>
        <v>586.88814279542498</v>
      </c>
      <c r="AN51" s="59">
        <f ca="1">AVERAGE(OFFSET($AM$3,0,0,'Données projet'!$E$10+1,1))-AVERAGE(OFFSET($H$3,0,0,'Données projet'!$E$10+1,1))</f>
        <v>218.3918302549892</v>
      </c>
      <c r="AO51" s="59">
        <f t="shared" si="36"/>
        <v>102.61932145411976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11.063488942103769</v>
      </c>
      <c r="AV51" s="21">
        <f>EXP(-LN(2)/25)*AV50+(1-EXP(-LN(2)/25))/(LN(2)/25)*Calculateur!AQ51*Calculateur!AS51*VLOOKUP('Données projet'!$B$10,Paramètres!$A$1:$I$89,3,0)*0.475*44/12</f>
        <v>15.113090241719469</v>
      </c>
      <c r="AW51" s="21">
        <f>EXP(-LN(2)/2)*AW50+(1-EXP(-LN(2)/2))/(LN(2)/2)*AQ51*AT51*VLOOKUP('Données projet'!$B$10,Paramètres!$A$1:$I$89,3,0)*0.475*44/12</f>
        <v>2.5753347533469975</v>
      </c>
      <c r="AX51" s="21">
        <f t="shared" si="6"/>
        <v>28.751913937170233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3.8461538461538454</v>
      </c>
      <c r="BD51" s="12">
        <f>IF('Données projet'!$A$88&gt;35,BD50+BC51-BL50,IF(A51&lt;'Données projet'!$A$88,$BA$205^A51,IF(A51='Données projet'!$A$88,'Données projet'!$B$88,BD50+BC51-BL50)))</f>
        <v>103.20512820512818</v>
      </c>
      <c r="BE51" s="13">
        <f>BD51*VLOOKUP('Données projet'!$B$11,Paramètres!$A$1:$I$89,3,0)*VLOOKUP('Données projet'!$B$11,Paramètres!$A$1:$I$89,5,0)</f>
        <v>90.159999999999982</v>
      </c>
      <c r="BF51" s="13">
        <f t="shared" si="37"/>
        <v>24.603809151169582</v>
      </c>
      <c r="BG51" s="20">
        <f t="shared" si="7"/>
        <v>199.88030093828698</v>
      </c>
      <c r="BH51" s="59">
        <f t="shared" si="8"/>
        <v>493.21363427162032</v>
      </c>
      <c r="BI51" s="59">
        <f ca="1">AVERAGE(OFFSET($BH$3,0,0,'Données projet'!$E$11+1,1))-AVERAGE(OFFSET($H$3,0,0,'Données projet'!$E$11+1,1))</f>
        <v>112.66486935566058</v>
      </c>
      <c r="BJ51" s="59">
        <f t="shared" si="38"/>
        <v>110.84860075828624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11.00087117654641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11.00087117654641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504.24</v>
      </c>
      <c r="L52" s="12">
        <f>VLOOKUP(A52,'Données projet'!$A$35:$I$55,9,0)</f>
        <v>21.970000000000002</v>
      </c>
      <c r="M52" s="12">
        <f t="array" ref="M52">INDEX(L:L,MIN(IF(ISNUMBER(L52:L248),ROW(L52:L248),"")))</f>
        <v>21.970000000000002</v>
      </c>
      <c r="N52" s="13">
        <f>IF('Données projet'!$A$36&gt;35,N51+M52-V51,IF(A52&lt;'Données projet'!$A$36,$K$205^A52,IF(A52='Données projet'!$A$36,'Données projet'!$B$36,N51+M52-V51)))</f>
        <v>504.24000000000024</v>
      </c>
      <c r="O52" s="13">
        <f>N52*VLOOKUP('Données projet'!$B$9,Paramètres!$A$1:$I$89,3,0)*VLOOKUP('Données projet'!$B$9,Paramètres!$A$1:$I$89,5,0)</f>
        <v>281.87016000000011</v>
      </c>
      <c r="P52" s="13">
        <f t="shared" si="33"/>
        <v>67.362074198579379</v>
      </c>
      <c r="Q52" s="20">
        <f t="shared" si="53"/>
        <v>608.24614122919252</v>
      </c>
      <c r="R52" s="59">
        <f t="shared" si="0"/>
        <v>901.57947456252577</v>
      </c>
      <c r="S52" s="59">
        <f ca="1">AVERAGE(OFFSET($R$3,0,0,'Données projet'!$E$9+1,1))-AVERAGE(OFFSET($H$3,0,0,'Données projet'!$E$9+1,1))</f>
        <v>314.07001555875894</v>
      </c>
      <c r="T52" s="59">
        <f t="shared" si="34"/>
        <v>281.53154885904991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112.69999999999999</v>
      </c>
      <c r="W52" s="16">
        <f>IF(ISNA(VLOOKUP(A52,'Données projet'!$A$35:$I$55,5,0)),0%,VLOOKUP(A52,'Données projet'!$A$35:$I$55,5,0)*VLOOKUP('Données projet'!$B$9,Paramètres!$A$1:$I$89,7,0))</f>
        <v>0.33</v>
      </c>
      <c r="X52" s="16">
        <f>IF(ISNA(VLOOKUP(A52,'Données projet'!$A$35:$I$55,6,0)),0%,VLOOKUP(A52,'Données projet'!$A$35:$I$55,6,0)*VLOOKUP('Données projet'!$B$9,Paramètres!$A$1:$I$89,7,0))</f>
        <v>0.11000000000000001</v>
      </c>
      <c r="Y52" s="16">
        <f>IF(ISNA(VLOOKUP(A52,'Données projet'!$A$35:$I$55,7,0)),0%,VLOOKUP(A52,'Données projet'!$A$35:$I$55,7,0))</f>
        <v>0.2</v>
      </c>
      <c r="Z52" s="21">
        <f>EXP(-LN(2)/35)*Z51+(1-EXP(-LN(2)/35))/(LN(2)/35)*V52*W52*VLOOKUP('Données projet'!$B$9,Paramètres!$A$1:$I$89,3,0)*0.475*44/12</f>
        <v>73.303239990352296</v>
      </c>
      <c r="AA52" s="21">
        <f>EXP(-LN(2)/25)*AA51+(1-EXP(-LN(2)/25))/(LN(2)/25)*Calculateur!V52*Calculateur!X52*VLOOKUP('Données projet'!$B$9,Paramètres!$A$1:$I$89,3,0)*0.475*44/12</f>
        <v>30.776571941477684</v>
      </c>
      <c r="AB52" s="21">
        <f>EXP(-LN(2)/2)*AB51+(1-EXP(-LN(2)/2))/(LN(2)/2)*V52*Y52*VLOOKUP('Données projet'!$B$9,Paramètres!$A$1:$I$89,3,0)*0.475*44/12</f>
        <v>15.483189745694569</v>
      </c>
      <c r="AC52" s="22">
        <f t="shared" si="3"/>
        <v>119.56300167752455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13.08111111111111</v>
      </c>
      <c r="AI52" s="13">
        <f>IF('Données projet'!$A$62&gt;35,AI51+AH52-AQ51,IF(A52&lt;'Données projet'!$A$62,$AF$205^A52,IF(A52='Données projet'!$A$62,'Données projet'!$B$62,AI51+AH52-AQ51)))</f>
        <v>315.56666666666678</v>
      </c>
      <c r="AJ52" s="13">
        <f>AI52*VLOOKUP('Données projet'!$B$10,Paramètres!$A$1:$I$89,3,0)*VLOOKUP('Données projet'!$B$10,Paramètres!$A$1:$I$89,5,0)</f>
        <v>139.48046666666673</v>
      </c>
      <c r="AK52" s="13">
        <f t="shared" si="35"/>
        <v>36.177961963143794</v>
      </c>
      <c r="AL52" s="20">
        <f t="shared" si="4"/>
        <v>305.93842986358663</v>
      </c>
      <c r="AM52" s="59">
        <f t="shared" si="5"/>
        <v>599.27176319691989</v>
      </c>
      <c r="AN52" s="59">
        <f ca="1">AVERAGE(OFFSET($AM$3,0,0,'Données projet'!$E$10+1,1))-AVERAGE(OFFSET($H$3,0,0,'Données projet'!$E$10+1,1))</f>
        <v>218.3918302549892</v>
      </c>
      <c r="AO52" s="59">
        <f t="shared" si="36"/>
        <v>102.61932145411976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10.846540672011052</v>
      </c>
      <c r="AV52" s="21">
        <f>EXP(-LN(2)/25)*AV51+(1-EXP(-LN(2)/25))/(LN(2)/25)*Calculateur!AQ52*Calculateur!AS52*VLOOKUP('Données projet'!$B$10,Paramètres!$A$1:$I$89,3,0)*0.475*44/12</f>
        <v>14.699821994296776</v>
      </c>
      <c r="AW52" s="21">
        <f>EXP(-LN(2)/2)*AW51+(1-EXP(-LN(2)/2))/(LN(2)/2)*AQ52*AT52*VLOOKUP('Données projet'!$B$10,Paramètres!$A$1:$I$89,3,0)*0.475*44/12</f>
        <v>1.8210366679170469</v>
      </c>
      <c r="AX52" s="21">
        <f t="shared" si="6"/>
        <v>27.367399334224874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3.8461538461538454</v>
      </c>
      <c r="BD52" s="12">
        <f>IF('Données projet'!$A$88&gt;35,BD51+BC52-BL51,IF(A52&lt;'Données projet'!$A$88,$BA$205^A52,IF(A52='Données projet'!$A$88,'Données projet'!$B$88,BD51+BC52-BL51)))</f>
        <v>107.05128205128202</v>
      </c>
      <c r="BE52" s="13">
        <f>BD52*VLOOKUP('Données projet'!$B$11,Paramètres!$A$1:$I$89,3,0)*VLOOKUP('Données projet'!$B$11,Paramètres!$A$1:$I$89,5,0)</f>
        <v>93.519999999999982</v>
      </c>
      <c r="BF52" s="13">
        <f t="shared" si="37"/>
        <v>25.412259377583915</v>
      </c>
      <c r="BG52" s="20">
        <f t="shared" si="7"/>
        <v>207.14035174929197</v>
      </c>
      <c r="BH52" s="59">
        <f t="shared" si="8"/>
        <v>500.47368508262525</v>
      </c>
      <c r="BI52" s="59">
        <f ca="1">AVERAGE(OFFSET($BH$3,0,0,'Données projet'!$E$11+1,1))-AVERAGE(OFFSET($H$3,0,0,'Données projet'!$E$11+1,1))</f>
        <v>112.66486935566058</v>
      </c>
      <c r="BJ52" s="59">
        <f t="shared" si="38"/>
        <v>110.84860075828624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10.700051775713076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10.700051775713076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20.355714285714278</v>
      </c>
      <c r="N53" s="13">
        <f>IF('Données projet'!$A$36&gt;35,N52+M53-V52,IF(A53&lt;'Données projet'!$A$36,$K$205^A53,IF(A53='Données projet'!$A$36,'Données projet'!$B$36,N52+M53-V52)))</f>
        <v>411.89571428571452</v>
      </c>
      <c r="O53" s="13">
        <f>N53*VLOOKUP('Données projet'!$B$9,Paramètres!$A$1:$I$89,3,0)*VLOOKUP('Données projet'!$B$9,Paramètres!$A$1:$I$89,5,0)</f>
        <v>230.24970428571442</v>
      </c>
      <c r="P53" s="13">
        <f t="shared" si="33"/>
        <v>56.336670025642462</v>
      </c>
      <c r="Q53" s="20">
        <f t="shared" si="53"/>
        <v>499.13793525894647</v>
      </c>
      <c r="R53" s="59">
        <f t="shared" si="0"/>
        <v>792.47126859227978</v>
      </c>
      <c r="S53" s="59">
        <f ca="1">AVERAGE(OFFSET($R$3,0,0,'Données projet'!$E$9+1,1))-AVERAGE(OFFSET($H$3,0,0,'Données projet'!$E$9+1,1))</f>
        <v>314.07001555875894</v>
      </c>
      <c r="T53" s="59">
        <f t="shared" si="34"/>
        <v>281.53154885904991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71.865808164703083</v>
      </c>
      <c r="AA53" s="21">
        <f>EXP(-LN(2)/25)*AA52+(1-EXP(-LN(2)/25))/(LN(2)/25)*Calculateur!V53*Calculateur!X53*VLOOKUP('Données projet'!$B$9,Paramètres!$A$1:$I$89,3,0)*0.475*44/12</f>
        <v>29.934984963268398</v>
      </c>
      <c r="AB53" s="21">
        <f>EXP(-LN(2)/2)*AB52+(1-EXP(-LN(2)/2))/(LN(2)/2)*V53*Y53*VLOOKUP('Données projet'!$B$9,Paramètres!$A$1:$I$89,3,0)*0.475*44/12</f>
        <v>10.948268463578646</v>
      </c>
      <c r="AC53" s="22">
        <f t="shared" si="3"/>
        <v>112.74906159155012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13.08111111111111</v>
      </c>
      <c r="AI53" s="13">
        <f>IF('Données projet'!$A$62&gt;35,AI52+AH53-AQ52,IF(A53&lt;'Données projet'!$A$62,$AF$205^A53,IF(A53='Données projet'!$A$62,'Données projet'!$B$62,AI52+AH53-AQ52)))</f>
        <v>328.64777777777789</v>
      </c>
      <c r="AJ53" s="13">
        <f>AI53*VLOOKUP('Données projet'!$B$10,Paramètres!$A$1:$I$89,3,0)*VLOOKUP('Données projet'!$B$10,Paramètres!$A$1:$I$89,5,0)</f>
        <v>145.26231777777784</v>
      </c>
      <c r="AK53" s="13">
        <f t="shared" si="35"/>
        <v>37.499927546699773</v>
      </c>
      <c r="AL53" s="20">
        <f t="shared" si="4"/>
        <v>318.31091060679847</v>
      </c>
      <c r="AM53" s="59">
        <f t="shared" si="5"/>
        <v>611.64424394013179</v>
      </c>
      <c r="AN53" s="59">
        <f ca="1">AVERAGE(OFFSET($AM$3,0,0,'Données projet'!$E$10+1,1))-AVERAGE(OFFSET($H$3,0,0,'Données projet'!$E$10+1,1))</f>
        <v>218.3918302549892</v>
      </c>
      <c r="AO53" s="59">
        <f t="shared" si="36"/>
        <v>102.61932145411976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10.633846625169475</v>
      </c>
      <c r="AV53" s="21">
        <f>EXP(-LN(2)/25)*AV52+(1-EXP(-LN(2)/25))/(LN(2)/25)*Calculateur!AQ53*Calculateur!AS53*VLOOKUP('Données projet'!$B$10,Paramètres!$A$1:$I$89,3,0)*0.475*44/12</f>
        <v>14.29785458883269</v>
      </c>
      <c r="AW53" s="21">
        <f>EXP(-LN(2)/2)*AW52+(1-EXP(-LN(2)/2))/(LN(2)/2)*AQ53*AT53*VLOOKUP('Données projet'!$B$10,Paramètres!$A$1:$I$89,3,0)*0.475*44/12</f>
        <v>1.287667376673499</v>
      </c>
      <c r="AX53" s="21">
        <f t="shared" si="6"/>
        <v>26.219368590675668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110.89743589743588</v>
      </c>
      <c r="BB53" s="12">
        <f>VLOOKUP(A53,'Données projet'!$A$87:$I$107,9,0)</f>
        <v>3.8461538461538454</v>
      </c>
      <c r="BC53" s="12">
        <f t="array" ref="BC53">INDEX(BB:BB,MIN(IF(ISNUMBER(BB53:BB249),ROW(BB53:BB249),"")))</f>
        <v>3.8461538461538454</v>
      </c>
      <c r="BD53" s="12">
        <f>IF('Données projet'!$A$88&gt;35,BD52+BC53-BL52,IF(A53&lt;'Données projet'!$A$88,$BA$205^A53,IF(A53='Données projet'!$A$88,'Données projet'!$B$88,BD52+BC53-BL52)))</f>
        <v>110.89743589743586</v>
      </c>
      <c r="BE53" s="13">
        <f>BD53*VLOOKUP('Données projet'!$B$11,Paramètres!$A$1:$I$89,3,0)*VLOOKUP('Données projet'!$B$11,Paramètres!$A$1:$I$89,5,0)</f>
        <v>96.879999999999981</v>
      </c>
      <c r="BF53" s="13">
        <f t="shared" si="37"/>
        <v>26.217334929013017</v>
      </c>
      <c r="BG53" s="20">
        <f t="shared" si="7"/>
        <v>214.39452500136431</v>
      </c>
      <c r="BH53" s="59">
        <f t="shared" si="8"/>
        <v>507.72785833469766</v>
      </c>
      <c r="BI53" s="59">
        <f ca="1">AVERAGE(OFFSET($BH$3,0,0,'Données projet'!$E$11+1,1))-AVERAGE(OFFSET($H$3,0,0,'Données projet'!$E$11+1,1))</f>
        <v>112.66486935566058</v>
      </c>
      <c r="BJ53" s="59">
        <f t="shared" si="38"/>
        <v>110.84860075828624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11.538461538461538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12.793800623101264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12.793800623101264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20.355714285714278</v>
      </c>
      <c r="N54" s="13">
        <f>IF('Données projet'!$A$36&gt;35,N53+M54-V53,IF(A54&lt;'Données projet'!$A$36,$K$205^A54,IF(A54='Données projet'!$A$36,'Données projet'!$B$36,N53+M54-V53)))</f>
        <v>432.25142857142879</v>
      </c>
      <c r="O54" s="13">
        <f>N54*VLOOKUP('Données projet'!$B$9,Paramètres!$A$1:$I$89,3,0)*VLOOKUP('Données projet'!$B$9,Paramètres!$A$1:$I$89,5,0)</f>
        <v>241.62854857142869</v>
      </c>
      <c r="P54" s="13">
        <f t="shared" si="33"/>
        <v>58.789782611687855</v>
      </c>
      <c r="Q54" s="20">
        <f t="shared" si="53"/>
        <v>523.22859347726126</v>
      </c>
      <c r="R54" s="59">
        <f t="shared" si="0"/>
        <v>816.56192681059451</v>
      </c>
      <c r="S54" s="59">
        <f ca="1">AVERAGE(OFFSET($R$3,0,0,'Données projet'!$E$9+1,1))-AVERAGE(OFFSET($H$3,0,0,'Données projet'!$E$9+1,1))</f>
        <v>314.07001555875894</v>
      </c>
      <c r="T54" s="59">
        <f t="shared" si="34"/>
        <v>281.53154885904991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70.456563500408009</v>
      </c>
      <c r="AA54" s="21">
        <f>EXP(-LN(2)/25)*AA53+(1-EXP(-LN(2)/25))/(LN(2)/25)*Calculateur!V54*Calculateur!X54*VLOOKUP('Données projet'!$B$9,Paramètres!$A$1:$I$89,3,0)*0.475*44/12</f>
        <v>29.116411225235382</v>
      </c>
      <c r="AB54" s="21">
        <f>EXP(-LN(2)/2)*AB53+(1-EXP(-LN(2)/2))/(LN(2)/2)*V54*Y54*VLOOKUP('Données projet'!$B$9,Paramètres!$A$1:$I$89,3,0)*0.475*44/12</f>
        <v>7.7415948728472852</v>
      </c>
      <c r="AC54" s="22">
        <f t="shared" si="3"/>
        <v>107.31456959849068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13.08111111111111</v>
      </c>
      <c r="AI54" s="13">
        <f>IF('Données projet'!$A$62&gt;35,AI53+AH54-AQ53,IF(A54&lt;'Données projet'!$A$62,$AF$205^A54,IF(A54='Données projet'!$A$62,'Données projet'!$B$62,AI53+AH54-AQ53)))</f>
        <v>341.728888888889</v>
      </c>
      <c r="AJ54" s="13">
        <f>AI54*VLOOKUP('Données projet'!$B$10,Paramètres!$A$1:$I$89,3,0)*VLOOKUP('Données projet'!$B$10,Paramètres!$A$1:$I$89,5,0)</f>
        <v>151.04416888888895</v>
      </c>
      <c r="AK54" s="13">
        <f t="shared" si="35"/>
        <v>38.81578086029355</v>
      </c>
      <c r="AL54" s="20">
        <f t="shared" si="4"/>
        <v>330.67274581315957</v>
      </c>
      <c r="AM54" s="59">
        <f t="shared" si="5"/>
        <v>624.00607914649288</v>
      </c>
      <c r="AN54" s="59">
        <f ca="1">AVERAGE(OFFSET($AM$3,0,0,'Données projet'!$E$10+1,1))-AVERAGE(OFFSET($H$3,0,0,'Données projet'!$E$10+1,1))</f>
        <v>218.3918302549892</v>
      </c>
      <c r="AO54" s="59">
        <f t="shared" si="36"/>
        <v>102.61932145411976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10.425323378855904</v>
      </c>
      <c r="AV54" s="21">
        <f>EXP(-LN(2)/25)*AV53+(1-EXP(-LN(2)/25))/(LN(2)/25)*Calculateur!AQ54*Calculateur!AS54*VLOOKUP('Données projet'!$B$10,Paramètres!$A$1:$I$89,3,0)*0.475*44/12</f>
        <v>13.906879003209566</v>
      </c>
      <c r="AW54" s="21">
        <f>EXP(-LN(2)/2)*AW53+(1-EXP(-LN(2)/2))/(LN(2)/2)*AQ54*AT54*VLOOKUP('Données projet'!$B$10,Paramètres!$A$1:$I$89,3,0)*0.475*44/12</f>
        <v>0.91051833395852355</v>
      </c>
      <c r="AX54" s="21">
        <f t="shared" si="6"/>
        <v>25.242720716023992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3.3333333333333344</v>
      </c>
      <c r="BD54" s="12">
        <f>IF('Données projet'!$A$88&gt;35,BD53+BC54-BL53,IF(A54&lt;'Données projet'!$A$88,$BA$205^A54,IF(A54='Données projet'!$A$88,'Données projet'!$B$88,BD53+BC54-BL53)))</f>
        <v>102.69230769230765</v>
      </c>
      <c r="BE54" s="13">
        <f>BD54*VLOOKUP('Données projet'!$B$11,Paramètres!$A$1:$I$89,3,0)*VLOOKUP('Données projet'!$B$11,Paramètres!$A$1:$I$89,5,0)</f>
        <v>89.711999999999975</v>
      </c>
      <c r="BF54" s="13">
        <f t="shared" si="37"/>
        <v>24.495753377522234</v>
      </c>
      <c r="BG54" s="20">
        <f t="shared" si="7"/>
        <v>198.91183713251783</v>
      </c>
      <c r="BH54" s="59">
        <f t="shared" si="8"/>
        <v>492.24517046585117</v>
      </c>
      <c r="BI54" s="59">
        <f ca="1">AVERAGE(OFFSET($BH$3,0,0,'Données projet'!$E$11+1,1))-AVERAGE(OFFSET($H$3,0,0,'Données projet'!$E$11+1,1))</f>
        <v>112.66486935566058</v>
      </c>
      <c r="BJ54" s="59">
        <f t="shared" si="38"/>
        <v>110.84860075828624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12.443953472265825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12.443953472265825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20.355714285714278</v>
      </c>
      <c r="N55" s="13">
        <f>IF('Données projet'!$A$36&gt;35,N54+M55-V54,IF(A55&lt;'Données projet'!$A$36,$K$205^A55,IF(A55='Données projet'!$A$36,'Données projet'!$B$36,N54+M55-V54)))</f>
        <v>452.60714285714306</v>
      </c>
      <c r="O55" s="13">
        <f>N55*VLOOKUP('Données projet'!$B$9,Paramètres!$A$1:$I$89,3,0)*VLOOKUP('Données projet'!$B$9,Paramètres!$A$1:$I$89,5,0)</f>
        <v>253.007392857143</v>
      </c>
      <c r="P55" s="13">
        <f t="shared" si="33"/>
        <v>61.229479905592257</v>
      </c>
      <c r="Q55" s="20">
        <f t="shared" si="53"/>
        <v>547.29588672843067</v>
      </c>
      <c r="R55" s="59">
        <f t="shared" si="0"/>
        <v>840.62922006176404</v>
      </c>
      <c r="S55" s="59">
        <f ca="1">AVERAGE(OFFSET($R$3,0,0,'Données projet'!$E$9+1,1))-AVERAGE(OFFSET($H$3,0,0,'Données projet'!$E$9+1,1))</f>
        <v>314.07001555875894</v>
      </c>
      <c r="T55" s="59">
        <f t="shared" si="34"/>
        <v>281.53154885904991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69.074953264425389</v>
      </c>
      <c r="AA55" s="21">
        <f>EXP(-LN(2)/25)*AA54+(1-EXP(-LN(2)/25))/(LN(2)/25)*Calculateur!V55*Calculateur!X55*VLOOKUP('Données projet'!$B$9,Paramètres!$A$1:$I$89,3,0)*0.475*44/12</f>
        <v>28.320221429115801</v>
      </c>
      <c r="AB55" s="21">
        <f>EXP(-LN(2)/2)*AB54+(1-EXP(-LN(2)/2))/(LN(2)/2)*V55*Y55*VLOOKUP('Données projet'!$B$9,Paramètres!$A$1:$I$89,3,0)*0.475*44/12</f>
        <v>5.474134231789324</v>
      </c>
      <c r="AC55" s="22">
        <f t="shared" si="3"/>
        <v>102.86930892533051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354.81</v>
      </c>
      <c r="AG55" s="12">
        <f>VLOOKUP(A55,'Données projet'!$A$61:$I$81,9,0)</f>
        <v>13.08111111111111</v>
      </c>
      <c r="AH55" s="12">
        <f t="array" ref="AH55">INDEX(AG:AG,MIN(IF(ISNUMBER(AG55:AG251),ROW(AG55:AG251),"")))</f>
        <v>13.08111111111111</v>
      </c>
      <c r="AI55" s="13">
        <f>IF('Données projet'!$A$62&gt;35,AI54+AH55-AQ54,IF(A55&lt;'Données projet'!$A$62,$AF$205^A55,IF(A55='Données projet'!$A$62,'Données projet'!$B$62,AI54+AH55-AQ54)))</f>
        <v>354.81000000000012</v>
      </c>
      <c r="AJ55" s="13">
        <f>AI55*VLOOKUP('Données projet'!$B$10,Paramètres!$A$1:$I$89,3,0)*VLOOKUP('Données projet'!$B$10,Paramètres!$A$1:$I$89,5,0)</f>
        <v>156.82602000000006</v>
      </c>
      <c r="AK55" s="13">
        <f t="shared" si="35"/>
        <v>40.125782659810149</v>
      </c>
      <c r="AL55" s="20">
        <f t="shared" si="4"/>
        <v>343.02438963250273</v>
      </c>
      <c r="AM55" s="59">
        <f t="shared" si="5"/>
        <v>636.35772296583605</v>
      </c>
      <c r="AN55" s="59">
        <f ca="1">AVERAGE(OFFSET($AM$3,0,0,'Données projet'!$E$10+1,1))-AVERAGE(OFFSET($H$3,0,0,'Données projet'!$E$10+1,1))</f>
        <v>218.3918302549892</v>
      </c>
      <c r="AO55" s="59">
        <f t="shared" si="36"/>
        <v>102.61932145411976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61.259999999999991</v>
      </c>
      <c r="AR55" s="16">
        <f>IF(ISNA(VLOOKUP(A55,'Données projet'!$A$61:$I$81,5,0)),0%,VLOOKUP(A55,'Données projet'!$A$61:$I$81,5,0)*VLOOKUP('Données projet'!$B$10,Paramètres!$A$1:$I$89,7,0))</f>
        <v>0.33</v>
      </c>
      <c r="AS55" s="16">
        <f>IF(ISNA(VLOOKUP(A55,'Données projet'!$A$61:$I$81,6,0)),0%,VLOOKUP(A55,'Données projet'!$A$61:$I$81,6,0)*VLOOKUP('Données projet'!$B$10,Paramètres!$A$1:$I$89,7,0))</f>
        <v>0.11000000000000001</v>
      </c>
      <c r="AT55" s="16">
        <f>IF(ISNA(VLOOKUP(A55,'Données projet'!$A$61:$I$81,7,0)),0%,VLOOKUP(A55,'Données projet'!$A$61:$I$81,7,0))</f>
        <v>0.2</v>
      </c>
      <c r="AU55" s="21">
        <f>EXP(-LN(2)/35)*AU54+(1-EXP(-LN(2)/35))/(LN(2)/35)*AQ55*AR55*VLOOKUP('Données projet'!$B$10,Paramètres!$A$1:$I$89,3,0)*0.475*44/12</f>
        <v>22.074251425693319</v>
      </c>
      <c r="AV55" s="21">
        <f>EXP(-LN(2)/25)*AV54+(1-EXP(-LN(2)/25))/(LN(2)/25)*Calculateur!AQ55*Calculateur!AS55*VLOOKUP('Données projet'!$B$10,Paramètres!$A$1:$I$89,3,0)*0.475*44/12</f>
        <v>17.462158357435143</v>
      </c>
      <c r="AW55" s="21">
        <f>EXP(-LN(2)/2)*AW54+(1-EXP(-LN(2)/2))/(LN(2)/2)*AQ55*AT55*VLOOKUP('Données projet'!$B$10,Paramètres!$A$1:$I$89,3,0)*0.475*44/12</f>
        <v>6.775306356644812</v>
      </c>
      <c r="AX55" s="21">
        <f t="shared" si="6"/>
        <v>46.311716139773274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3.3333333333333344</v>
      </c>
      <c r="BD55" s="12">
        <f>IF('Données projet'!$A$88&gt;35,BD54+BC55-BL54,IF(A55&lt;'Données projet'!$A$88,$BA$205^A55,IF(A55='Données projet'!$A$88,'Données projet'!$B$88,BD54+BC55-BL54)))</f>
        <v>106.02564102564098</v>
      </c>
      <c r="BE55" s="13">
        <f>BD55*VLOOKUP('Données projet'!$B$11,Paramètres!$A$1:$I$89,3,0)*VLOOKUP('Données projet'!$B$11,Paramètres!$A$1:$I$89,5,0)</f>
        <v>92.623999999999967</v>
      </c>
      <c r="BF55" s="13">
        <f t="shared" si="37"/>
        <v>25.19700823637309</v>
      </c>
      <c r="BG55" s="20">
        <f t="shared" si="7"/>
        <v>205.20492267834973</v>
      </c>
      <c r="BH55" s="59">
        <f t="shared" si="8"/>
        <v>498.53825601168307</v>
      </c>
      <c r="BI55" s="59">
        <f ca="1">AVERAGE(OFFSET($BH$3,0,0,'Données projet'!$E$11+1,1))-AVERAGE(OFFSET($H$3,0,0,'Données projet'!$E$11+1,1))</f>
        <v>112.66486935566058</v>
      </c>
      <c r="BJ55" s="59">
        <f t="shared" si="38"/>
        <v>110.84860075828624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12.103672910167644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12.103672910167644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20.355714285714278</v>
      </c>
      <c r="N56" s="13">
        <f>IF('Données projet'!$A$36&gt;35,N55+M56-V55,IF(A56&lt;'Données projet'!$A$36,$K$205^A56,IF(A56='Données projet'!$A$36,'Données projet'!$B$36,N55+M56-V55)))</f>
        <v>472.96285714285733</v>
      </c>
      <c r="O56" s="13">
        <f>N56*VLOOKUP('Données projet'!$B$9,Paramètres!$A$1:$I$89,3,0)*VLOOKUP('Données projet'!$B$9,Paramètres!$A$1:$I$89,5,0)</f>
        <v>264.38623714285728</v>
      </c>
      <c r="P56" s="13">
        <f t="shared" si="33"/>
        <v>63.656434183712321</v>
      </c>
      <c r="Q56" s="20">
        <f t="shared" si="53"/>
        <v>571.34098589377538</v>
      </c>
      <c r="R56" s="59">
        <f t="shared" si="0"/>
        <v>864.67431922710875</v>
      </c>
      <c r="S56" s="59">
        <f ca="1">AVERAGE(OFFSET($R$3,0,0,'Données projet'!$E$9+1,1))-AVERAGE(OFFSET($H$3,0,0,'Données projet'!$E$9+1,1))</f>
        <v>314.07001555875894</v>
      </c>
      <c r="T56" s="59">
        <f t="shared" si="34"/>
        <v>281.53154885904991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67.720435562471351</v>
      </c>
      <c r="AA56" s="21">
        <f>EXP(-LN(2)/25)*AA55+(1-EXP(-LN(2)/25))/(LN(2)/25)*Calculateur!V56*Calculateur!X56*VLOOKUP('Données projet'!$B$9,Paramètres!$A$1:$I$89,3,0)*0.475*44/12</f>
        <v>27.54580348484091</v>
      </c>
      <c r="AB56" s="21">
        <f>EXP(-LN(2)/2)*AB55+(1-EXP(-LN(2)/2))/(LN(2)/2)*V56*Y56*VLOOKUP('Données projet'!$B$9,Paramètres!$A$1:$I$89,3,0)*0.475*44/12</f>
        <v>3.870797436423643</v>
      </c>
      <c r="AC56" s="22">
        <f t="shared" si="3"/>
        <v>99.137036483735912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11.968999999999999</v>
      </c>
      <c r="AI56" s="13">
        <f>IF('Données projet'!$A$62&gt;35,AI55+AH56-AQ55,IF(A56&lt;'Données projet'!$A$62,$AF$205^A56,IF(A56='Données projet'!$A$62,'Données projet'!$B$62,AI55+AH56-AQ55)))</f>
        <v>305.51900000000012</v>
      </c>
      <c r="AJ56" s="13">
        <f>AI56*VLOOKUP('Données projet'!$B$10,Paramètres!$A$1:$I$89,3,0)*VLOOKUP('Données projet'!$B$10,Paramètres!$A$1:$I$89,5,0)</f>
        <v>135.03939800000006</v>
      </c>
      <c r="AK56" s="13">
        <f t="shared" si="35"/>
        <v>35.158226257791895</v>
      </c>
      <c r="AL56" s="20">
        <f t="shared" si="4"/>
        <v>296.42752891565436</v>
      </c>
      <c r="AM56" s="59">
        <f t="shared" si="5"/>
        <v>589.76086224898768</v>
      </c>
      <c r="AN56" s="59">
        <f ca="1">AVERAGE(OFFSET($AM$3,0,0,'Données projet'!$E$10+1,1))-AVERAGE(OFFSET($H$3,0,0,'Données projet'!$E$10+1,1))</f>
        <v>218.3918302549892</v>
      </c>
      <c r="AO56" s="59">
        <f t="shared" si="36"/>
        <v>102.61932145411976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21.641388819199388</v>
      </c>
      <c r="AV56" s="21">
        <f>EXP(-LN(2)/25)*AV55+(1-EXP(-LN(2)/25))/(LN(2)/25)*Calculateur!AQ56*Calculateur!AS56*VLOOKUP('Données projet'!$B$10,Paramètres!$A$1:$I$89,3,0)*0.475*44/12</f>
        <v>16.984654718856081</v>
      </c>
      <c r="AW56" s="21">
        <f>EXP(-LN(2)/2)*AW55+(1-EXP(-LN(2)/2))/(LN(2)/2)*AQ56*AT56*VLOOKUP('Données projet'!$B$10,Paramètres!$A$1:$I$89,3,0)*0.475*44/12</f>
        <v>4.7908650693998682</v>
      </c>
      <c r="AX56" s="21">
        <f t="shared" si="6"/>
        <v>43.416908607455341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3.3333333333333344</v>
      </c>
      <c r="BD56" s="12">
        <f>IF('Données projet'!$A$88&gt;35,BD55+BC56-BL55,IF(A56&lt;'Données projet'!$A$88,$BA$205^A56,IF(A56='Données projet'!$A$88,'Données projet'!$B$88,BD55+BC56-BL55)))</f>
        <v>109.35897435897431</v>
      </c>
      <c r="BE56" s="13">
        <f>BD56*VLOOKUP('Données projet'!$B$11,Paramètres!$A$1:$I$89,3,0)*VLOOKUP('Données projet'!$B$11,Paramètres!$A$1:$I$89,5,0)</f>
        <v>95.535999999999959</v>
      </c>
      <c r="BF56" s="13">
        <f t="shared" si="37"/>
        <v>25.895701102516686</v>
      </c>
      <c r="BG56" s="20">
        <f t="shared" si="7"/>
        <v>211.49354608688316</v>
      </c>
      <c r="BH56" s="59">
        <f t="shared" si="8"/>
        <v>504.82687942021647</v>
      </c>
      <c r="BI56" s="59">
        <f ca="1">AVERAGE(OFFSET($BH$3,0,0,'Données projet'!$E$11+1,1))-AVERAGE(OFFSET($H$3,0,0,'Données projet'!$E$11+1,1))</f>
        <v>112.66486935566058</v>
      </c>
      <c r="BJ56" s="59">
        <f t="shared" si="38"/>
        <v>110.84860075828624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11.772697337934614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11.772697337934614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20.355714285714278</v>
      </c>
      <c r="N57" s="13">
        <f>IF('Données projet'!$A$36&gt;35,N56+M57-V56,IF(A57&lt;'Données projet'!$A$36,$K$205^A57,IF(A57='Données projet'!$A$36,'Données projet'!$B$36,N56+M57-V56)))</f>
        <v>493.3185714285716</v>
      </c>
      <c r="O57" s="13">
        <f>N57*VLOOKUP('Données projet'!$B$9,Paramètres!$A$1:$I$89,3,0)*VLOOKUP('Données projet'!$B$9,Paramètres!$A$1:$I$89,5,0)</f>
        <v>275.76508142857153</v>
      </c>
      <c r="P57" s="13">
        <f t="shared" si="33"/>
        <v>66.071256581811042</v>
      </c>
      <c r="Q57" s="20">
        <f t="shared" si="53"/>
        <v>595.36495536808297</v>
      </c>
      <c r="R57" s="59">
        <f t="shared" si="0"/>
        <v>888.69828870141623</v>
      </c>
      <c r="S57" s="59">
        <f ca="1">AVERAGE(OFFSET($R$3,0,0,'Données projet'!$E$9+1,1))-AVERAGE(OFFSET($H$3,0,0,'Données projet'!$E$9+1,1))</f>
        <v>314.07001555875894</v>
      </c>
      <c r="T57" s="59">
        <f t="shared" si="34"/>
        <v>281.53154885904991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66.392479126478406</v>
      </c>
      <c r="AA57" s="21">
        <f>EXP(-LN(2)/25)*AA56+(1-EXP(-LN(2)/25))/(LN(2)/25)*Calculateur!V57*Calculateur!X57*VLOOKUP('Données projet'!$B$9,Paramètres!$A$1:$I$89,3,0)*0.475*44/12</f>
        <v>26.792562039977085</v>
      </c>
      <c r="AB57" s="21">
        <f>EXP(-LN(2)/2)*AB56+(1-EXP(-LN(2)/2))/(LN(2)/2)*V57*Y57*VLOOKUP('Données projet'!$B$9,Paramètres!$A$1:$I$89,3,0)*0.475*44/12</f>
        <v>2.7370671158946625</v>
      </c>
      <c r="AC57" s="22">
        <f t="shared" si="3"/>
        <v>95.922108282350152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11.968999999999999</v>
      </c>
      <c r="AI57" s="13">
        <f>IF('Données projet'!$A$62&gt;35,AI56+AH57-AQ56,IF(A57&lt;'Données projet'!$A$62,$AF$205^A57,IF(A57='Données projet'!$A$62,'Données projet'!$B$62,AI56+AH57-AQ56)))</f>
        <v>317.48800000000011</v>
      </c>
      <c r="AJ57" s="13">
        <f>AI57*VLOOKUP('Données projet'!$B$10,Paramètres!$A$1:$I$89,3,0)*VLOOKUP('Données projet'!$B$10,Paramètres!$A$1:$I$89,5,0)</f>
        <v>140.32969600000007</v>
      </c>
      <c r="AK57" s="13">
        <f t="shared" si="35"/>
        <v>36.372523876008572</v>
      </c>
      <c r="AL57" s="20">
        <f t="shared" si="4"/>
        <v>307.7563662840484</v>
      </c>
      <c r="AM57" s="59">
        <f t="shared" si="5"/>
        <v>601.08969961738171</v>
      </c>
      <c r="AN57" s="59">
        <f ca="1">AVERAGE(OFFSET($AM$3,0,0,'Données projet'!$E$10+1,1))-AVERAGE(OFFSET($H$3,0,0,'Données projet'!$E$10+1,1))</f>
        <v>218.3918302549892</v>
      </c>
      <c r="AO57" s="59">
        <f t="shared" si="36"/>
        <v>102.61932145411976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21.217014384398681</v>
      </c>
      <c r="AV57" s="21">
        <f>EXP(-LN(2)/25)*AV56+(1-EXP(-LN(2)/25))/(LN(2)/25)*Calculateur!AQ57*Calculateur!AS57*VLOOKUP('Données projet'!$B$10,Paramètres!$A$1:$I$89,3,0)*0.475*44/12</f>
        <v>16.520208442384789</v>
      </c>
      <c r="AW57" s="21">
        <f>EXP(-LN(2)/2)*AW56+(1-EXP(-LN(2)/2))/(LN(2)/2)*AQ57*AT57*VLOOKUP('Données projet'!$B$10,Paramètres!$A$1:$I$89,3,0)*0.475*44/12</f>
        <v>3.3876531783224069</v>
      </c>
      <c r="AX57" s="21">
        <f t="shared" si="6"/>
        <v>41.124876005105875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3.3333333333333344</v>
      </c>
      <c r="BD57" s="12">
        <f>IF('Données projet'!$A$88&gt;35,BD56+BC57-BL56,IF(A57&lt;'Données projet'!$A$88,$BA$205^A57,IF(A57='Données projet'!$A$88,'Données projet'!$B$88,BD56+BC57-BL56)))</f>
        <v>112.69230769230764</v>
      </c>
      <c r="BE57" s="13">
        <f>BD57*VLOOKUP('Données projet'!$B$11,Paramètres!$A$1:$I$89,3,0)*VLOOKUP('Données projet'!$B$11,Paramètres!$A$1:$I$89,5,0)</f>
        <v>98.447999999999965</v>
      </c>
      <c r="BF57" s="13">
        <f t="shared" si="37"/>
        <v>26.591919029858307</v>
      </c>
      <c r="BG57" s="20">
        <f t="shared" si="7"/>
        <v>217.77785897700315</v>
      </c>
      <c r="BH57" s="59">
        <f t="shared" si="8"/>
        <v>511.11119231033649</v>
      </c>
      <c r="BI57" s="59">
        <f ca="1">AVERAGE(OFFSET($BH$3,0,0,'Données projet'!$E$11+1,1))-AVERAGE(OFFSET($H$3,0,0,'Données projet'!$E$11+1,1))</f>
        <v>112.66486935566058</v>
      </c>
      <c r="BJ57" s="59">
        <f t="shared" si="38"/>
        <v>110.84860075828624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11.450772310129546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11.450772310129546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20.355714285714278</v>
      </c>
      <c r="N58" s="13">
        <f>IF('Données projet'!$A$36&gt;35,N57+M58-V57,IF(A58&lt;'Données projet'!$A$36,$K$205^A58,IF(A58='Données projet'!$A$36,'Données projet'!$B$36,N57+M58-V57)))</f>
        <v>513.67428571428593</v>
      </c>
      <c r="O58" s="13">
        <f>N58*VLOOKUP('Données projet'!$B$9,Paramètres!$A$1:$I$89,3,0)*VLOOKUP('Données projet'!$B$9,Paramètres!$A$1:$I$89,5,0)</f>
        <v>287.14392571428584</v>
      </c>
      <c r="P58" s="13">
        <f t="shared" si="33"/>
        <v>68.474504947595136</v>
      </c>
      <c r="Q58" s="20">
        <f t="shared" si="53"/>
        <v>619.36876673610948</v>
      </c>
      <c r="R58" s="59">
        <f t="shared" si="0"/>
        <v>912.70210006944285</v>
      </c>
      <c r="S58" s="59">
        <f ca="1">AVERAGE(OFFSET($R$3,0,0,'Données projet'!$E$9+1,1))-AVERAGE(OFFSET($H$3,0,0,'Données projet'!$E$9+1,1))</f>
        <v>314.07001555875894</v>
      </c>
      <c r="T58" s="59">
        <f t="shared" si="34"/>
        <v>281.53154885904991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65.090563106221836</v>
      </c>
      <c r="AA58" s="21">
        <f>EXP(-LN(2)/25)*AA57+(1-EXP(-LN(2)/25))/(LN(2)/25)*Calculateur!V58*Calculateur!X58*VLOOKUP('Données projet'!$B$9,Paramètres!$A$1:$I$89,3,0)*0.475*44/12</f>
        <v>26.05991802203431</v>
      </c>
      <c r="AB58" s="21">
        <f>EXP(-LN(2)/2)*AB57+(1-EXP(-LN(2)/2))/(LN(2)/2)*V58*Y58*VLOOKUP('Données projet'!$B$9,Paramètres!$A$1:$I$89,3,0)*0.475*44/12</f>
        <v>1.935398718211822</v>
      </c>
      <c r="AC58" s="22">
        <f t="shared" si="3"/>
        <v>93.085879846467975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11.968999999999999</v>
      </c>
      <c r="AI58" s="13">
        <f>IF('Données projet'!$A$62&gt;35,AI57+AH58-AQ57,IF(A58&lt;'Données projet'!$A$62,$AF$205^A58,IF(A58='Données projet'!$A$62,'Données projet'!$B$62,AI57+AH58-AQ57)))</f>
        <v>329.45700000000011</v>
      </c>
      <c r="AJ58" s="13">
        <f>AI58*VLOOKUP('Données projet'!$B$10,Paramètres!$A$1:$I$89,3,0)*VLOOKUP('Données projet'!$B$10,Paramètres!$A$1:$I$89,5,0)</f>
        <v>145.61999400000008</v>
      </c>
      <c r="AK58" s="13">
        <f t="shared" si="35"/>
        <v>37.581503292391467</v>
      </c>
      <c r="AL58" s="20">
        <f t="shared" si="4"/>
        <v>319.07594111758192</v>
      </c>
      <c r="AM58" s="59">
        <f t="shared" si="5"/>
        <v>612.40927445091529</v>
      </c>
      <c r="AN58" s="59">
        <f ca="1">AVERAGE(OFFSET($AM$3,0,0,'Données projet'!$E$10+1,1))-AVERAGE(OFFSET($H$3,0,0,'Données projet'!$E$10+1,1))</f>
        <v>218.3918302549892</v>
      </c>
      <c r="AO58" s="59">
        <f t="shared" si="36"/>
        <v>102.61932145411976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20.800961673421568</v>
      </c>
      <c r="AV58" s="21">
        <f>EXP(-LN(2)/25)*AV57+(1-EXP(-LN(2)/25))/(LN(2)/25)*Calculateur!AQ58*Calculateur!AS58*VLOOKUP('Données projet'!$B$10,Paramètres!$A$1:$I$89,3,0)*0.475*44/12</f>
        <v>16.068462473767774</v>
      </c>
      <c r="AW58" s="21">
        <f>EXP(-LN(2)/2)*AW57+(1-EXP(-LN(2)/2))/(LN(2)/2)*AQ58*AT58*VLOOKUP('Données projet'!$B$10,Paramètres!$A$1:$I$89,3,0)*0.475*44/12</f>
        <v>2.3954325346999346</v>
      </c>
      <c r="AX58" s="21">
        <f t="shared" si="6"/>
        <v>39.264856681889277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116.02564102564102</v>
      </c>
      <c r="BB58" s="12">
        <f>VLOOKUP(A58,'Données projet'!$A$87:$I$107,9,0)</f>
        <v>3.3333333333333344</v>
      </c>
      <c r="BC58" s="12">
        <f t="array" ref="BC58">INDEX(BB:BB,MIN(IF(ISNUMBER(BB58:BB254),ROW(BB58:BB254),"")))</f>
        <v>3.3333333333333344</v>
      </c>
      <c r="BD58" s="12">
        <f>IF('Données projet'!$A$88&gt;35,BD57+BC58-BL57,IF(A58&lt;'Données projet'!$A$88,$BA$205^A58,IF(A58='Données projet'!$A$88,'Données projet'!$B$88,BD57+BC58-BL57)))</f>
        <v>116.02564102564097</v>
      </c>
      <c r="BE58" s="13">
        <f>BD58*VLOOKUP('Données projet'!$B$11,Paramètres!$A$1:$I$89,3,0)*VLOOKUP('Données projet'!$B$11,Paramètres!$A$1:$I$89,5,0)</f>
        <v>101.35999999999997</v>
      </c>
      <c r="BF58" s="13">
        <f t="shared" si="37"/>
        <v>27.285743629596691</v>
      </c>
      <c r="BG58" s="20">
        <f t="shared" si="7"/>
        <v>224.05800348821421</v>
      </c>
      <c r="BH58" s="59">
        <f t="shared" si="8"/>
        <v>517.3913368215475</v>
      </c>
      <c r="BI58" s="59">
        <f ca="1">AVERAGE(OFFSET($BH$3,0,0,'Données projet'!$E$11+1,1))-AVERAGE(OFFSET($H$3,0,0,'Données projet'!$E$11+1,1))</f>
        <v>112.66486935566058</v>
      </c>
      <c r="BJ58" s="59">
        <f t="shared" si="38"/>
        <v>110.84860075828624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10.897435897435898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0.215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13.391418091365086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13.391418091365086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534.03</v>
      </c>
      <c r="L59" s="12">
        <f>VLOOKUP(A59,'Données projet'!$A$35:$I$55,9,0)</f>
        <v>20.355714285714278</v>
      </c>
      <c r="M59" s="12">
        <f t="array" ref="M59">INDEX(L:L,MIN(IF(ISNUMBER(L59:L255),ROW(L59:L255),"")))</f>
        <v>20.355714285714278</v>
      </c>
      <c r="N59" s="13">
        <f>IF('Données projet'!$A$36&gt;35,N58+M59-V58,IF(A59&lt;'Données projet'!$A$36,$K$205^A59,IF(A59='Données projet'!$A$36,'Données projet'!$B$36,N58+M59-V58)))</f>
        <v>534.0300000000002</v>
      </c>
      <c r="O59" s="13">
        <f>N59*VLOOKUP('Données projet'!$B$9,Paramètres!$A$1:$I$89,3,0)*VLOOKUP('Données projet'!$B$9,Paramètres!$A$1:$I$89,5,0)</f>
        <v>298.52277000000015</v>
      </c>
      <c r="P59" s="13">
        <f t="shared" si="33"/>
        <v>70.866690413510668</v>
      </c>
      <c r="Q59" s="20">
        <f t="shared" si="53"/>
        <v>643.35331022019807</v>
      </c>
      <c r="R59" s="59">
        <f t="shared" si="0"/>
        <v>936.68664355353144</v>
      </c>
      <c r="S59" s="59">
        <f ca="1">AVERAGE(OFFSET($R$3,0,0,'Données projet'!$E$9+1,1))-AVERAGE(OFFSET($H$3,0,0,'Données projet'!$E$9+1,1))</f>
        <v>314.07001555875894</v>
      </c>
      <c r="T59" s="59">
        <f t="shared" si="34"/>
        <v>281.53154885904991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94.669999999999959</v>
      </c>
      <c r="W59" s="16">
        <f>IF(ISNA(VLOOKUP(A59,'Données projet'!$A$35:$I$55,5,0)),0%,VLOOKUP(A59,'Données projet'!$A$35:$I$55,5,0)*VLOOKUP('Données projet'!$B$9,Paramètres!$A$1:$I$89,7,0))</f>
        <v>0.33</v>
      </c>
      <c r="X59" s="16">
        <f>IF(ISNA(VLOOKUP(A59,'Données projet'!$A$35:$I$55,6,0)),0%,VLOOKUP(A59,'Données projet'!$A$35:$I$55,6,0)*VLOOKUP('Données projet'!$B$9,Paramètres!$A$1:$I$89,7,0))</f>
        <v>0.11000000000000001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86.980999905169341</v>
      </c>
      <c r="AA59" s="21">
        <f>EXP(-LN(2)/25)*AA58+(1-EXP(-LN(2)/25))/(LN(2)/25)*Calculateur!V59*Calculateur!X59*VLOOKUP('Données projet'!$B$9,Paramètres!$A$1:$I$89,3,0)*0.475*44/12</f>
        <v>33.039177003482436</v>
      </c>
      <c r="AB59" s="21">
        <f>EXP(-LN(2)/2)*AB58+(1-EXP(-LN(2)/2))/(LN(2)/2)*V59*Y59*VLOOKUP('Données projet'!$B$9,Paramètres!$A$1:$I$89,3,0)*0.475*44/12</f>
        <v>13.352200211590977</v>
      </c>
      <c r="AC59" s="22">
        <f t="shared" si="3"/>
        <v>133.37237712024276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11.968999999999999</v>
      </c>
      <c r="AI59" s="13">
        <f>IF('Données projet'!$A$62&gt;35,AI58+AH59-AQ58,IF(A59&lt;'Données projet'!$A$62,$AF$205^A59,IF(A59='Données projet'!$A$62,'Données projet'!$B$62,AI58+AH59-AQ58)))</f>
        <v>341.4260000000001</v>
      </c>
      <c r="AJ59" s="13">
        <f>AI59*VLOOKUP('Données projet'!$B$10,Paramètres!$A$1:$I$89,3,0)*VLOOKUP('Données projet'!$B$10,Paramètres!$A$1:$I$89,5,0)</f>
        <v>150.91029200000006</v>
      </c>
      <c r="AK59" s="13">
        <f t="shared" si="35"/>
        <v>38.785379844706739</v>
      </c>
      <c r="AL59" s="20">
        <f t="shared" si="4"/>
        <v>330.38662846286434</v>
      </c>
      <c r="AM59" s="59">
        <f t="shared" si="5"/>
        <v>623.71996179619759</v>
      </c>
      <c r="AN59" s="59">
        <f ca="1">AVERAGE(OFFSET($AM$3,0,0,'Données projet'!$E$10+1,1))-AVERAGE(OFFSET($H$3,0,0,'Données projet'!$E$10+1,1))</f>
        <v>218.3918302549892</v>
      </c>
      <c r="AO59" s="59">
        <f t="shared" si="36"/>
        <v>102.61932145411976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20.393067502339623</v>
      </c>
      <c r="AV59" s="21">
        <f>EXP(-LN(2)/25)*AV58+(1-EXP(-LN(2)/25))/(LN(2)/25)*Calculateur!AQ59*Calculateur!AS59*VLOOKUP('Données projet'!$B$10,Paramètres!$A$1:$I$89,3,0)*0.475*44/12</f>
        <v>15.629069522418877</v>
      </c>
      <c r="AW59" s="21">
        <f>EXP(-LN(2)/2)*AW58+(1-EXP(-LN(2)/2))/(LN(2)/2)*AQ59*AT59*VLOOKUP('Données projet'!$B$10,Paramètres!$A$1:$I$89,3,0)*0.475*44/12</f>
        <v>1.6938265891612037</v>
      </c>
      <c r="AX59" s="21">
        <f t="shared" si="6"/>
        <v>37.715963613919705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3.2051282051282071</v>
      </c>
      <c r="BD59" s="12">
        <f>IF('Données projet'!$A$88&gt;35,BD58+BC59-BL58,IF(A59&lt;'Données projet'!$A$88,$BA$205^A59,IF(A59='Données projet'!$A$88,'Données projet'!$B$88,BD58+BC59-BL58)))</f>
        <v>108.33333333333327</v>
      </c>
      <c r="BE59" s="13">
        <f>BD59*VLOOKUP('Données projet'!$B$11,Paramètres!$A$1:$I$89,3,0)*VLOOKUP('Données projet'!$B$11,Paramètres!$A$1:$I$89,5,0)</f>
        <v>94.639999999999958</v>
      </c>
      <c r="BF59" s="13">
        <f t="shared" si="37"/>
        <v>25.680986215135576</v>
      </c>
      <c r="BG59" s="20">
        <f t="shared" si="7"/>
        <v>209.55905099136103</v>
      </c>
      <c r="BH59" s="59">
        <f t="shared" si="8"/>
        <v>502.89238432469438</v>
      </c>
      <c r="BI59" s="59">
        <f ca="1">AVERAGE(OFFSET($BH$3,0,0,'Données projet'!$E$11+1,1))-AVERAGE(OFFSET($H$3,0,0,'Données projet'!$E$11+1,1))</f>
        <v>112.66486935566058</v>
      </c>
      <c r="BJ59" s="59">
        <f t="shared" si="38"/>
        <v>110.84860075828624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13.025229059432636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13.025229059432636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18.617142857142849</v>
      </c>
      <c r="N60" s="13">
        <f>IF('Données projet'!$A$36&gt;35,N59+M60-V59,IF(A60&lt;'Données projet'!$A$36,$K$205^A60,IF(A60='Données projet'!$A$36,'Données projet'!$B$36,N59+M60-V59)))</f>
        <v>457.97714285714312</v>
      </c>
      <c r="O60" s="13">
        <f>N60*VLOOKUP('Données projet'!$B$9,Paramètres!$A$1:$I$89,3,0)*VLOOKUP('Données projet'!$B$9,Paramètres!$A$1:$I$89,5,0)</f>
        <v>256.00922285714302</v>
      </c>
      <c r="P60" s="13">
        <f t="shared" si="33"/>
        <v>61.870941241266237</v>
      </c>
      <c r="Q60" s="20">
        <f t="shared" si="53"/>
        <v>553.64128580472936</v>
      </c>
      <c r="R60" s="59">
        <f t="shared" si="0"/>
        <v>846.97461913806274</v>
      </c>
      <c r="S60" s="59">
        <f ca="1">AVERAGE(OFFSET($R$3,0,0,'Données projet'!$E$9+1,1))-AVERAGE(OFFSET($H$3,0,0,'Données projet'!$E$9+1,1))</f>
        <v>314.07001555875894</v>
      </c>
      <c r="T60" s="59">
        <f t="shared" si="34"/>
        <v>281.53154885904991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85.275355550200345</v>
      </c>
      <c r="AA60" s="21">
        <f>EXP(-LN(2)/25)*AA59+(1-EXP(-LN(2)/25))/(LN(2)/25)*Calculateur!V60*Calculateur!X60*VLOOKUP('Données projet'!$B$9,Paramètres!$A$1:$I$89,3,0)*0.475*44/12</f>
        <v>32.135718970867401</v>
      </c>
      <c r="AB60" s="21">
        <f>EXP(-LN(2)/2)*AB59+(1-EXP(-LN(2)/2))/(LN(2)/2)*V60*Y60*VLOOKUP('Données projet'!$B$9,Paramètres!$A$1:$I$89,3,0)*0.475*44/12</f>
        <v>9.4414313133764356</v>
      </c>
      <c r="AC60" s="22">
        <f t="shared" si="3"/>
        <v>126.85250583444419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11.968999999999999</v>
      </c>
      <c r="AI60" s="13">
        <f>IF('Données projet'!$A$62&gt;35,AI59+AH60-AQ59,IF(A60&lt;'Données projet'!$A$62,$AF$205^A60,IF(A60='Données projet'!$A$62,'Données projet'!$B$62,AI59+AH60-AQ59)))</f>
        <v>353.3950000000001</v>
      </c>
      <c r="AJ60" s="13">
        <f>AI60*VLOOKUP('Données projet'!$B$10,Paramètres!$A$1:$I$89,3,0)*VLOOKUP('Données projet'!$B$10,Paramètres!$A$1:$I$89,5,0)</f>
        <v>156.20059000000006</v>
      </c>
      <c r="AK60" s="13">
        <f t="shared" si="35"/>
        <v>39.984352916906452</v>
      </c>
      <c r="AL60" s="20">
        <f t="shared" si="4"/>
        <v>341.68877558027884</v>
      </c>
      <c r="AM60" s="59">
        <f t="shared" si="5"/>
        <v>635.0221089136121</v>
      </c>
      <c r="AN60" s="59">
        <f ca="1">AVERAGE(OFFSET($AM$3,0,0,'Données projet'!$E$10+1,1))-AVERAGE(OFFSET($H$3,0,0,'Données projet'!$E$10+1,1))</f>
        <v>218.3918302549892</v>
      </c>
      <c r="AO60" s="59">
        <f t="shared" si="36"/>
        <v>102.61932145411976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19.993171887161715</v>
      </c>
      <c r="AV60" s="21">
        <f>EXP(-LN(2)/25)*AV59+(1-EXP(-LN(2)/25))/(LN(2)/25)*Calculateur!AQ60*Calculateur!AS60*VLOOKUP('Données projet'!$B$10,Paramètres!$A$1:$I$89,3,0)*0.475*44/12</f>
        <v>15.201691794431287</v>
      </c>
      <c r="AW60" s="21">
        <f>EXP(-LN(2)/2)*AW59+(1-EXP(-LN(2)/2))/(LN(2)/2)*AQ60*AT60*VLOOKUP('Données projet'!$B$10,Paramètres!$A$1:$I$89,3,0)*0.475*44/12</f>
        <v>1.1977162673499675</v>
      </c>
      <c r="AX60" s="21">
        <f t="shared" si="6"/>
        <v>36.392579948942974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3.2051282051282071</v>
      </c>
      <c r="BD60" s="12">
        <f>IF('Données projet'!$A$88&gt;35,BD59+BC60-BL59,IF(A60&lt;'Données projet'!$A$88,$BA$205^A60,IF(A60='Données projet'!$A$88,'Données projet'!$B$88,BD59+BC60-BL59)))</f>
        <v>111.53846153846148</v>
      </c>
      <c r="BE60" s="13">
        <f>BD60*VLOOKUP('Données projet'!$B$11,Paramètres!$A$1:$I$89,3,0)*VLOOKUP('Données projet'!$B$11,Paramètres!$A$1:$I$89,5,0)</f>
        <v>97.439999999999955</v>
      </c>
      <c r="BF60" s="13">
        <f t="shared" si="37"/>
        <v>26.351195394682154</v>
      </c>
      <c r="BG60" s="20">
        <f t="shared" si="7"/>
        <v>215.60299864573798</v>
      </c>
      <c r="BH60" s="59">
        <f t="shared" si="8"/>
        <v>508.93633197907127</v>
      </c>
      <c r="BI60" s="59">
        <f ca="1">AVERAGE(OFFSET($BH$3,0,0,'Données projet'!$E$11+1,1))-AVERAGE(OFFSET($H$3,0,0,'Données projet'!$E$11+1,1))</f>
        <v>112.66486935566058</v>
      </c>
      <c r="BJ60" s="59">
        <f t="shared" si="38"/>
        <v>110.84860075828624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12.669053485835423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12.669053485835423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18.617142857142849</v>
      </c>
      <c r="N61" s="13">
        <f>IF('Données projet'!$A$36&gt;35,N60+M61-V60,IF(A61&lt;'Données projet'!$A$36,$K$205^A61,IF(A61='Données projet'!$A$36,'Données projet'!$B$36,N60+M61-V60)))</f>
        <v>476.59428571428595</v>
      </c>
      <c r="O61" s="13">
        <f>N61*VLOOKUP('Données projet'!$B$9,Paramètres!$A$1:$I$89,3,0)*VLOOKUP('Données projet'!$B$9,Paramètres!$A$1:$I$89,5,0)</f>
        <v>266.41620571428587</v>
      </c>
      <c r="P61" s="13">
        <f t="shared" si="33"/>
        <v>64.088107222101385</v>
      </c>
      <c r="Q61" s="20">
        <f t="shared" si="53"/>
        <v>575.62834503087436</v>
      </c>
      <c r="R61" s="59">
        <f t="shared" si="0"/>
        <v>868.96167836420773</v>
      </c>
      <c r="S61" s="59">
        <f ca="1">AVERAGE(OFFSET($R$3,0,0,'Données projet'!$E$9+1,1))-AVERAGE(OFFSET($H$3,0,0,'Données projet'!$E$9+1,1))</f>
        <v>314.07001555875894</v>
      </c>
      <c r="T61" s="59">
        <f t="shared" si="34"/>
        <v>281.53154885904991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83.603157840691964</v>
      </c>
      <c r="AA61" s="21">
        <f>EXP(-LN(2)/25)*AA60+(1-EXP(-LN(2)/25))/(LN(2)/25)*Calculateur!V61*Calculateur!X61*VLOOKUP('Données projet'!$B$9,Paramètres!$A$1:$I$89,3,0)*0.475*44/12</f>
        <v>31.25696604566502</v>
      </c>
      <c r="AB61" s="21">
        <f>EXP(-LN(2)/2)*AB60+(1-EXP(-LN(2)/2))/(LN(2)/2)*V61*Y61*VLOOKUP('Données projet'!$B$9,Paramètres!$A$1:$I$89,3,0)*0.475*44/12</f>
        <v>6.6761001057954896</v>
      </c>
      <c r="AC61" s="22">
        <f t="shared" si="3"/>
        <v>121.53622399215247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11.968999999999999</v>
      </c>
      <c r="AI61" s="13">
        <f>IF('Données projet'!$A$62&gt;35,AI60+AH61-AQ60,IF(A61&lt;'Données projet'!$A$62,$AF$205^A61,IF(A61='Données projet'!$A$62,'Données projet'!$B$62,AI60+AH61-AQ60)))</f>
        <v>365.36400000000009</v>
      </c>
      <c r="AJ61" s="13">
        <f>AI61*VLOOKUP('Données projet'!$B$10,Paramètres!$A$1:$I$89,3,0)*VLOOKUP('Données projet'!$B$10,Paramètres!$A$1:$I$89,5,0)</f>
        <v>161.49088800000007</v>
      </c>
      <c r="AK61" s="13">
        <f t="shared" si="35"/>
        <v>41.178607621025144</v>
      </c>
      <c r="AL61" s="20">
        <f t="shared" si="4"/>
        <v>352.98270487328563</v>
      </c>
      <c r="AM61" s="59">
        <f t="shared" si="5"/>
        <v>646.31603820661894</v>
      </c>
      <c r="AN61" s="59">
        <f ca="1">AVERAGE(OFFSET($AM$3,0,0,'Données projet'!$E$10+1,1))-AVERAGE(OFFSET($H$3,0,0,'Données projet'!$E$10+1,1))</f>
        <v>218.3918302549892</v>
      </c>
      <c r="AO61" s="59">
        <f t="shared" si="36"/>
        <v>102.61932145411976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19.601117981085206</v>
      </c>
      <c r="AV61" s="21">
        <f>EXP(-LN(2)/25)*AV60+(1-EXP(-LN(2)/25))/(LN(2)/25)*Calculateur!AQ61*Calculateur!AS61*VLOOKUP('Données projet'!$B$10,Paramètres!$A$1:$I$89,3,0)*0.475*44/12</f>
        <v>14.786000732890336</v>
      </c>
      <c r="AW61" s="21">
        <f>EXP(-LN(2)/2)*AW60+(1-EXP(-LN(2)/2))/(LN(2)/2)*AQ61*AT61*VLOOKUP('Données projet'!$B$10,Paramètres!$A$1:$I$89,3,0)*0.475*44/12</f>
        <v>0.84691329458060194</v>
      </c>
      <c r="AX61" s="21">
        <f t="shared" si="6"/>
        <v>35.234032008556142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3.2051282051282071</v>
      </c>
      <c r="BD61" s="12">
        <f>IF('Données projet'!$A$88&gt;35,BD60+BC61-BL60,IF(A61&lt;'Données projet'!$A$88,$BA$205^A61,IF(A61='Données projet'!$A$88,'Données projet'!$B$88,BD60+BC61-BL60)))</f>
        <v>114.74358974358968</v>
      </c>
      <c r="BE61" s="13">
        <f>BD61*VLOOKUP('Données projet'!$B$11,Paramètres!$A$1:$I$89,3,0)*VLOOKUP('Données projet'!$B$11,Paramètres!$A$1:$I$89,5,0)</f>
        <v>100.23999999999997</v>
      </c>
      <c r="BF61" s="13">
        <f t="shared" si="37"/>
        <v>27.019166259515604</v>
      </c>
      <c r="BG61" s="20">
        <f t="shared" si="7"/>
        <v>221.6430479019896</v>
      </c>
      <c r="BH61" s="59">
        <f t="shared" si="8"/>
        <v>514.97638123532295</v>
      </c>
      <c r="BI61" s="59">
        <f ca="1">AVERAGE(OFFSET($BH$3,0,0,'Données projet'!$E$11+1,1))-AVERAGE(OFFSET($H$3,0,0,'Données projet'!$E$11+1,1))</f>
        <v>112.66486935566058</v>
      </c>
      <c r="BJ61" s="59">
        <f t="shared" si="38"/>
        <v>110.84860075828624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12.322617552028687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12.322617552028687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18.617142857142849</v>
      </c>
      <c r="N62" s="13">
        <f>IF('Données projet'!$A$36&gt;35,N61+M62-V61,IF(A62&lt;'Données projet'!$A$36,$K$205^A62,IF(A62='Données projet'!$A$36,'Données projet'!$B$36,N61+M62-V61)))</f>
        <v>495.21142857142877</v>
      </c>
      <c r="O62" s="13">
        <f>N62*VLOOKUP('Données projet'!$B$9,Paramètres!$A$1:$I$89,3,0)*VLOOKUP('Données projet'!$B$9,Paramètres!$A$1:$I$89,5,0)</f>
        <v>276.82318857142872</v>
      </c>
      <c r="P62" s="13">
        <f t="shared" si="33"/>
        <v>66.295212111853616</v>
      </c>
      <c r="Q62" s="20">
        <f t="shared" si="53"/>
        <v>597.59788119005009</v>
      </c>
      <c r="R62" s="59">
        <f t="shared" si="0"/>
        <v>890.93121452338346</v>
      </c>
      <c r="S62" s="59">
        <f ca="1">AVERAGE(OFFSET($R$3,0,0,'Données projet'!$E$9+1,1))-AVERAGE(OFFSET($H$3,0,0,'Données projet'!$E$9+1,1))</f>
        <v>314.07001555875894</v>
      </c>
      <c r="T62" s="59">
        <f t="shared" si="34"/>
        <v>281.53154885904991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81.963750908327142</v>
      </c>
      <c r="AA62" s="21">
        <f>EXP(-LN(2)/25)*AA61+(1-EXP(-LN(2)/25))/(LN(2)/25)*Calculateur!V62*Calculateur!X62*VLOOKUP('Données projet'!$B$9,Paramètres!$A$1:$I$89,3,0)*0.475*44/12</f>
        <v>30.402242665413905</v>
      </c>
      <c r="AB62" s="21">
        <f>EXP(-LN(2)/2)*AB61+(1-EXP(-LN(2)/2))/(LN(2)/2)*V62*Y62*VLOOKUP('Données projet'!$B$9,Paramètres!$A$1:$I$89,3,0)*0.475*44/12</f>
        <v>4.7207156566882187</v>
      </c>
      <c r="AC62" s="22">
        <f t="shared" si="3"/>
        <v>117.08670923042926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11.968999999999999</v>
      </c>
      <c r="AI62" s="13">
        <f>IF('Données projet'!$A$62&gt;35,AI61+AH62-AQ61,IF(A62&lt;'Données projet'!$A$62,$AF$205^A62,IF(A62='Données projet'!$A$62,'Données projet'!$B$62,AI61+AH62-AQ61)))</f>
        <v>377.33300000000008</v>
      </c>
      <c r="AJ62" s="13">
        <f>AI62*VLOOKUP('Données projet'!$B$10,Paramètres!$A$1:$I$89,3,0)*VLOOKUP('Données projet'!$B$10,Paramètres!$A$1:$I$89,5,0)</f>
        <v>166.78118600000008</v>
      </c>
      <c r="AK62" s="13">
        <f t="shared" si="35"/>
        <v>42.368316252495546</v>
      </c>
      <c r="AL62" s="20">
        <f t="shared" si="4"/>
        <v>364.26871642309652</v>
      </c>
      <c r="AM62" s="59">
        <f t="shared" si="5"/>
        <v>657.60204975642978</v>
      </c>
      <c r="AN62" s="59">
        <f ca="1">AVERAGE(OFFSET($AM$3,0,0,'Données projet'!$E$10+1,1))-AVERAGE(OFFSET($H$3,0,0,'Données projet'!$E$10+1,1))</f>
        <v>218.3918302549892</v>
      </c>
      <c r="AO62" s="59">
        <f t="shared" si="36"/>
        <v>102.61932145411976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19.216752012977587</v>
      </c>
      <c r="AV62" s="21">
        <f>EXP(-LN(2)/25)*AV61+(1-EXP(-LN(2)/25))/(LN(2)/25)*Calculateur!AQ62*Calculateur!AS62*VLOOKUP('Données projet'!$B$10,Paramètres!$A$1:$I$89,3,0)*0.475*44/12</f>
        <v>14.381676765287466</v>
      </c>
      <c r="AW62" s="21">
        <f>EXP(-LN(2)/2)*AW61+(1-EXP(-LN(2)/2))/(LN(2)/2)*AQ62*AT62*VLOOKUP('Données projet'!$B$10,Paramètres!$A$1:$I$89,3,0)*0.475*44/12</f>
        <v>0.59885813367498375</v>
      </c>
      <c r="AX62" s="21">
        <f t="shared" si="6"/>
        <v>34.197286911940033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3.2051282051282071</v>
      </c>
      <c r="BD62" s="12">
        <f>IF('Données projet'!$A$88&gt;35,BD61+BC62-BL61,IF(A62&lt;'Données projet'!$A$88,$BA$205^A62,IF(A62='Données projet'!$A$88,'Données projet'!$B$88,BD61+BC62-BL61)))</f>
        <v>117.94871794871788</v>
      </c>
      <c r="BE62" s="13">
        <f>BD62*VLOOKUP('Données projet'!$B$11,Paramètres!$A$1:$I$89,3,0)*VLOOKUP('Données projet'!$B$11,Paramètres!$A$1:$I$89,5,0)</f>
        <v>103.03999999999995</v>
      </c>
      <c r="BF62" s="13">
        <f t="shared" si="37"/>
        <v>27.68496851505423</v>
      </c>
      <c r="BG62" s="20">
        <f t="shared" si="7"/>
        <v>227.67932016371932</v>
      </c>
      <c r="BH62" s="59">
        <f t="shared" si="8"/>
        <v>521.01265349705261</v>
      </c>
      <c r="BI62" s="59">
        <f ca="1">AVERAGE(OFFSET($BH$3,0,0,'Données projet'!$E$11+1,1))-AVERAGE(OFFSET($H$3,0,0,'Données projet'!$E$11+1,1))</f>
        <v>112.66486935566058</v>
      </c>
      <c r="BJ62" s="59">
        <f t="shared" si="38"/>
        <v>110.84860075828624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11.985654927050168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11.985654927050168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18.617142857142849</v>
      </c>
      <c r="N63" s="13">
        <f>IF('Données projet'!$A$36&gt;35,N62+M63-V62,IF(A63&lt;'Données projet'!$A$36,$K$205^A63,IF(A63='Données projet'!$A$36,'Données projet'!$B$36,N62+M63-V62)))</f>
        <v>513.82857142857165</v>
      </c>
      <c r="O63" s="13">
        <f>N63*VLOOKUP('Données projet'!$B$9,Paramètres!$A$1:$I$89,3,0)*VLOOKUP('Données projet'!$B$9,Paramètres!$A$1:$I$89,5,0)</f>
        <v>287.23017142857157</v>
      </c>
      <c r="P63" s="13">
        <f t="shared" si="33"/>
        <v>68.492677457199264</v>
      </c>
      <c r="Q63" s="20">
        <f t="shared" si="53"/>
        <v>619.55062847605086</v>
      </c>
      <c r="R63" s="59">
        <f t="shared" si="0"/>
        <v>912.88396180938412</v>
      </c>
      <c r="S63" s="59">
        <f ca="1">AVERAGE(OFFSET($R$3,0,0,'Données projet'!$E$9+1,1))-AVERAGE(OFFSET($H$3,0,0,'Données projet'!$E$9+1,1))</f>
        <v>314.07001555875894</v>
      </c>
      <c r="T63" s="59">
        <f t="shared" si="34"/>
        <v>281.53154885904991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80.356491745966508</v>
      </c>
      <c r="AA63" s="21">
        <f>EXP(-LN(2)/25)*AA62+(1-EXP(-LN(2)/25))/(LN(2)/25)*Calculateur!V63*Calculateur!X63*VLOOKUP('Données projet'!$B$9,Paramètres!$A$1:$I$89,3,0)*0.475*44/12</f>
        <v>29.570891740943704</v>
      </c>
      <c r="AB63" s="21">
        <f>EXP(-LN(2)/2)*AB62+(1-EXP(-LN(2)/2))/(LN(2)/2)*V63*Y63*VLOOKUP('Données projet'!$B$9,Paramètres!$A$1:$I$89,3,0)*0.475*44/12</f>
        <v>3.3380500528977457</v>
      </c>
      <c r="AC63" s="22">
        <f t="shared" si="3"/>
        <v>113.26543353980796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11.968999999999999</v>
      </c>
      <c r="AI63" s="13">
        <f>IF('Données projet'!$A$62&gt;35,AI62+AH63-AQ62,IF(A63&lt;'Données projet'!$A$62,$AF$205^A63,IF(A63='Données projet'!$A$62,'Données projet'!$B$62,AI62+AH63-AQ62)))</f>
        <v>389.30200000000008</v>
      </c>
      <c r="AJ63" s="13">
        <f>AI63*VLOOKUP('Données projet'!$B$10,Paramètres!$A$1:$I$89,3,0)*VLOOKUP('Données projet'!$B$10,Paramètres!$A$1:$I$89,5,0)</f>
        <v>172.07148400000005</v>
      </c>
      <c r="AK63" s="13">
        <f t="shared" si="35"/>
        <v>43.553639555626887</v>
      </c>
      <c r="AL63" s="20">
        <f t="shared" si="4"/>
        <v>375.54709019271689</v>
      </c>
      <c r="AM63" s="59">
        <f t="shared" si="5"/>
        <v>668.88042352605021</v>
      </c>
      <c r="AN63" s="59">
        <f ca="1">AVERAGE(OFFSET($AM$3,0,0,'Données projet'!$E$10+1,1))-AVERAGE(OFFSET($H$3,0,0,'Données projet'!$E$10+1,1))</f>
        <v>218.3918302549892</v>
      </c>
      <c r="AO63" s="59">
        <f t="shared" si="36"/>
        <v>102.61932145411976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18.839923227064464</v>
      </c>
      <c r="AV63" s="21">
        <f>EXP(-LN(2)/25)*AV62+(1-EXP(-LN(2)/25))/(LN(2)/25)*Calculateur!AQ63*Calculateur!AS63*VLOOKUP('Données projet'!$B$10,Paramètres!$A$1:$I$89,3,0)*0.475*44/12</f>
        <v>13.988409057841169</v>
      </c>
      <c r="AW63" s="21">
        <f>EXP(-LN(2)/2)*AW62+(1-EXP(-LN(2)/2))/(LN(2)/2)*AQ63*AT63*VLOOKUP('Données projet'!$B$10,Paramètres!$A$1:$I$89,3,0)*0.475*44/12</f>
        <v>0.42345664729030097</v>
      </c>
      <c r="AX63" s="21">
        <f t="shared" si="6"/>
        <v>33.251788932195936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121.15384615384616</v>
      </c>
      <c r="BB63" s="12">
        <f>VLOOKUP(A63,'Données projet'!$A$87:$I$107,9,0)</f>
        <v>3.2051282051282071</v>
      </c>
      <c r="BC63" s="12">
        <f t="array" ref="BC63">INDEX(BB:BB,MIN(IF(ISNUMBER(BB63:BB259),ROW(BB63:BB259),"")))</f>
        <v>3.2051282051282071</v>
      </c>
      <c r="BD63" s="12">
        <f>IF('Données projet'!$A$88&gt;35,BD62+BC63-BL62,IF(A63&lt;'Données projet'!$A$88,$BA$205^A63,IF(A63='Données projet'!$A$88,'Données projet'!$B$88,BD62+BC63-BL62)))</f>
        <v>121.15384615384609</v>
      </c>
      <c r="BE63" s="13">
        <f>BD63*VLOOKUP('Données projet'!$B$11,Paramètres!$A$1:$I$89,3,0)*VLOOKUP('Données projet'!$B$11,Paramètres!$A$1:$I$89,5,0)</f>
        <v>105.83999999999995</v>
      </c>
      <c r="BF63" s="13">
        <f t="shared" si="37"/>
        <v>28.348667862741735</v>
      </c>
      <c r="BG63" s="20">
        <f t="shared" si="7"/>
        <v>233.71192986094175</v>
      </c>
      <c r="BH63" s="59">
        <f t="shared" si="8"/>
        <v>527.04526319427509</v>
      </c>
      <c r="BI63" s="59">
        <f ca="1">AVERAGE(OFFSET($BH$3,0,0,'Données projet'!$E$11+1,1))-AVERAGE(OFFSET($H$3,0,0,'Données projet'!$E$11+1,1))</f>
        <v>112.66486935566058</v>
      </c>
      <c r="BJ63" s="59">
        <f t="shared" si="38"/>
        <v>110.84860075828624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10.256410256410255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0.215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13.779099741337406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13.779099741337406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18.617142857142849</v>
      </c>
      <c r="N64" s="13">
        <f>IF('Données projet'!$A$36&gt;35,N63+M64-V63,IF(A64&lt;'Données projet'!$A$36,$K$205^A64,IF(A64='Données projet'!$A$36,'Données projet'!$B$36,N63+M64-V63)))</f>
        <v>532.44571428571453</v>
      </c>
      <c r="O64" s="13">
        <f>N64*VLOOKUP('Données projet'!$B$9,Paramètres!$A$1:$I$89,3,0)*VLOOKUP('Données projet'!$B$9,Paramètres!$A$1:$I$89,5,0)</f>
        <v>297.63715428571442</v>
      </c>
      <c r="P64" s="13">
        <f t="shared" si="33"/>
        <v>70.680892526366577</v>
      </c>
      <c r="Q64" s="20">
        <f t="shared" si="53"/>
        <v>641.48726486437431</v>
      </c>
      <c r="R64" s="59">
        <f t="shared" si="0"/>
        <v>934.82059819770757</v>
      </c>
      <c r="S64" s="59">
        <f ca="1">AVERAGE(OFFSET($R$3,0,0,'Données projet'!$E$9+1,1))-AVERAGE(OFFSET($H$3,0,0,'Données projet'!$E$9+1,1))</f>
        <v>314.07001555875894</v>
      </c>
      <c r="T64" s="59">
        <f t="shared" si="34"/>
        <v>281.53154885904991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78.780749955448471</v>
      </c>
      <c r="AA64" s="21">
        <f>EXP(-LN(2)/25)*AA63+(1-EXP(-LN(2)/25))/(LN(2)/25)*Calculateur!V64*Calculateur!X64*VLOOKUP('Données projet'!$B$9,Paramètres!$A$1:$I$89,3,0)*0.475*44/12</f>
        <v>28.762274151221987</v>
      </c>
      <c r="AB64" s="21">
        <f>EXP(-LN(2)/2)*AB63+(1-EXP(-LN(2)/2))/(LN(2)/2)*V64*Y64*VLOOKUP('Données projet'!$B$9,Paramètres!$A$1:$I$89,3,0)*0.475*44/12</f>
        <v>2.3603578283441098</v>
      </c>
      <c r="AC64" s="22">
        <f t="shared" si="3"/>
        <v>109.90338193501456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11.968999999999999</v>
      </c>
      <c r="AI64" s="13">
        <f>IF('Données projet'!$A$62&gt;35,AI63+AH64-AQ63,IF(A64&lt;'Données projet'!$A$62,$AF$205^A64,IF(A64='Données projet'!$A$62,'Données projet'!$B$62,AI63+AH64-AQ63)))</f>
        <v>401.27100000000007</v>
      </c>
      <c r="AJ64" s="13">
        <f>AI64*VLOOKUP('Données projet'!$B$10,Paramètres!$A$1:$I$89,3,0)*VLOOKUP('Données projet'!$B$10,Paramètres!$A$1:$I$89,5,0)</f>
        <v>177.36178200000006</v>
      </c>
      <c r="AK64" s="13">
        <f t="shared" si="35"/>
        <v>44.734727829083468</v>
      </c>
      <c r="AL64" s="20">
        <f t="shared" si="4"/>
        <v>386.81808795232041</v>
      </c>
      <c r="AM64" s="59">
        <f t="shared" si="5"/>
        <v>680.15142128565367</v>
      </c>
      <c r="AN64" s="59">
        <f ca="1">AVERAGE(OFFSET($AM$3,0,0,'Données projet'!$E$10+1,1))-AVERAGE(OFFSET($H$3,0,0,'Données projet'!$E$10+1,1))</f>
        <v>218.3918302549892</v>
      </c>
      <c r="AO64" s="59">
        <f t="shared" si="36"/>
        <v>102.61932145411976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18.470483823800233</v>
      </c>
      <c r="AV64" s="21">
        <f>EXP(-LN(2)/25)*AV63+(1-EXP(-LN(2)/25))/(LN(2)/25)*Calculateur!AQ64*Calculateur!AS64*VLOOKUP('Données projet'!$B$10,Paramètres!$A$1:$I$89,3,0)*0.475*44/12</f>
        <v>13.605895276536041</v>
      </c>
      <c r="AW64" s="21">
        <f>EXP(-LN(2)/2)*AW63+(1-EXP(-LN(2)/2))/(LN(2)/2)*AQ64*AT64*VLOOKUP('Données projet'!$B$10,Paramètres!$A$1:$I$89,3,0)*0.475*44/12</f>
        <v>0.29942906683749188</v>
      </c>
      <c r="AX64" s="21">
        <f t="shared" si="6"/>
        <v>32.375808167173766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2.8205128205128176</v>
      </c>
      <c r="BD64" s="12">
        <f>IF('Données projet'!$A$88&gt;35,BD63+BC64-BL63,IF(A64&lt;'Données projet'!$A$88,$BA$205^A64,IF(A64='Données projet'!$A$88,'Données projet'!$B$88,BD63+BC64-BL63)))</f>
        <v>113.71794871794864</v>
      </c>
      <c r="BE64" s="13">
        <f>BD64*VLOOKUP('Données projet'!$B$11,Paramètres!$A$1:$I$89,3,0)*VLOOKUP('Données projet'!$B$11,Paramètres!$A$1:$I$89,5,0)</f>
        <v>99.343999999999951</v>
      </c>
      <c r="BF64" s="13">
        <f t="shared" si="37"/>
        <v>26.805654780620351</v>
      </c>
      <c r="BG64" s="20">
        <f t="shared" si="7"/>
        <v>219.71064874291369</v>
      </c>
      <c r="BH64" s="59">
        <f t="shared" si="8"/>
        <v>513.04398207624695</v>
      </c>
      <c r="BI64" s="59">
        <f ca="1">AVERAGE(OFFSET($BH$3,0,0,'Données projet'!$E$11+1,1))-AVERAGE(OFFSET($H$3,0,0,'Données projet'!$E$11+1,1))</f>
        <v>112.66486935566058</v>
      </c>
      <c r="BJ64" s="59">
        <f t="shared" si="38"/>
        <v>110.84860075828624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13.402309534299173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13.402309534299173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18.617142857142849</v>
      </c>
      <c r="N65" s="13">
        <f>IF('Données projet'!$A$36&gt;35,N64+M65-V64,IF(A65&lt;'Données projet'!$A$36,$K$205^A65,IF(A65='Données projet'!$A$36,'Données projet'!$B$36,N64+M65-V64)))</f>
        <v>551.06285714285741</v>
      </c>
      <c r="O65" s="13">
        <f>N65*VLOOKUP('Données projet'!$B$9,Paramètres!$A$1:$I$89,3,0)*VLOOKUP('Données projet'!$B$9,Paramètres!$A$1:$I$89,5,0)</f>
        <v>308.04413714285727</v>
      </c>
      <c r="P65" s="13">
        <f t="shared" si="33"/>
        <v>72.860217822174434</v>
      </c>
      <c r="Q65" s="20">
        <f t="shared" si="53"/>
        <v>663.40841823076346</v>
      </c>
      <c r="R65" s="59">
        <f t="shared" si="0"/>
        <v>956.74175156409683</v>
      </c>
      <c r="S65" s="59">
        <f ca="1">AVERAGE(OFFSET($R$3,0,0,'Données projet'!$E$9+1,1))-AVERAGE(OFFSET($H$3,0,0,'Données projet'!$E$9+1,1))</f>
        <v>314.07001555875894</v>
      </c>
      <c r="T65" s="59">
        <f t="shared" si="34"/>
        <v>281.53154885904991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77.235907500334903</v>
      </c>
      <c r="AA65" s="21">
        <f>EXP(-LN(2)/25)*AA64+(1-EXP(-LN(2)/25))/(LN(2)/25)*Calculateur!V65*Calculateur!X65*VLOOKUP('Données projet'!$B$9,Paramètres!$A$1:$I$89,3,0)*0.475*44/12</f>
        <v>27.975768252014561</v>
      </c>
      <c r="AB65" s="21">
        <f>EXP(-LN(2)/2)*AB64+(1-EXP(-LN(2)/2))/(LN(2)/2)*V65*Y65*VLOOKUP('Données projet'!$B$9,Paramètres!$A$1:$I$89,3,0)*0.475*44/12</f>
        <v>1.6690250264488731</v>
      </c>
      <c r="AC65" s="22">
        <f t="shared" si="3"/>
        <v>106.88070077879834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413.24</v>
      </c>
      <c r="AG65" s="12">
        <f>VLOOKUP(A65,'Données projet'!$A$61:$I$81,9,0)</f>
        <v>11.968999999999999</v>
      </c>
      <c r="AH65" s="12">
        <f t="array" ref="AH65">INDEX(AG:AG,MIN(IF(ISNUMBER(AG65:AG261),ROW(AG65:AG261),"")))</f>
        <v>11.968999999999999</v>
      </c>
      <c r="AI65" s="13">
        <f>IF('Données projet'!$A$62&gt;35,AI64+AH65-AQ64,IF(A65&lt;'Données projet'!$A$62,$AF$205^A65,IF(A65='Données projet'!$A$62,'Données projet'!$B$62,AI64+AH65-AQ64)))</f>
        <v>413.24000000000007</v>
      </c>
      <c r="AJ65" s="13">
        <f>AI65*VLOOKUP('Données projet'!$B$10,Paramètres!$A$1:$I$89,3,0)*VLOOKUP('Données projet'!$B$10,Paramètres!$A$1:$I$89,5,0)</f>
        <v>182.65208000000004</v>
      </c>
      <c r="AK65" s="13">
        <f t="shared" si="35"/>
        <v>45.911721895761744</v>
      </c>
      <c r="AL65" s="20">
        <f t="shared" si="4"/>
        <v>398.08195496845178</v>
      </c>
      <c r="AM65" s="59">
        <f t="shared" si="5"/>
        <v>691.41528830178504</v>
      </c>
      <c r="AN65" s="59">
        <f ca="1">AVERAGE(OFFSET($AM$3,0,0,'Données projet'!$E$10+1,1))-AVERAGE(OFFSET($H$3,0,0,'Données projet'!$E$10+1,1))</f>
        <v>218.3918302549892</v>
      </c>
      <c r="AO65" s="59">
        <f t="shared" si="36"/>
        <v>102.61932145411976</v>
      </c>
      <c r="AP65" s="15">
        <f>IF(ISNA(VLOOKUP(A65,'Données projet'!$A$61:$I$81,3,0)),0,VLOOKUP(A65,'Données projet'!$A$61:$I$81,3,0))</f>
        <v>4</v>
      </c>
      <c r="AQ65" s="15">
        <f>IF(ISNA(VLOOKUP(A65,'Données projet'!$A$61:$I$81,4,0)),0,VLOOKUP(A65,'Données projet'!$A$61:$I$81,4,0))</f>
        <v>66.019999999999982</v>
      </c>
      <c r="AR65" s="16">
        <f>IF(ISNA(VLOOKUP(A65,'Données projet'!$A$61:$I$81,5,0)),0%,VLOOKUP(A65,'Données projet'!$A$61:$I$81,5,0)*VLOOKUP('Données projet'!$B$10,Paramètres!$A$1:$I$89,7,0))</f>
        <v>0.33</v>
      </c>
      <c r="AS65" s="16">
        <f>IF(ISNA(VLOOKUP(A65,'Données projet'!$A$61:$I$81,6,0)),0%,VLOOKUP(A65,'Données projet'!$A$61:$I$81,6,0)*VLOOKUP('Données projet'!$B$10,Paramètres!$A$1:$I$89,7,0))</f>
        <v>0.11000000000000001</v>
      </c>
      <c r="AT65" s="16">
        <f>IF(ISNA(VLOOKUP(A65,'Données projet'!$A$61:$I$81,7,0)),0%,VLOOKUP(A65,'Données projet'!$A$61:$I$81,7,0))</f>
        <v>0.2</v>
      </c>
      <c r="AU65" s="21">
        <f>EXP(-LN(2)/35)*AU64+(1-EXP(-LN(2)/35))/(LN(2)/35)*AQ65*AR65*VLOOKUP('Données projet'!$B$10,Paramètres!$A$1:$I$89,3,0)*0.475*44/12</f>
        <v>30.882676392774783</v>
      </c>
      <c r="AV65" s="21">
        <f>EXP(-LN(2)/25)*AV64+(1-EXP(-LN(2)/25))/(LN(2)/25)*Calculateur!AQ65*Calculateur!AS65*VLOOKUP('Données projet'!$B$10,Paramètres!$A$1:$I$89,3,0)*0.475*44/12</f>
        <v>17.475204641330137</v>
      </c>
      <c r="AW65" s="21">
        <f>EXP(-LN(2)/2)*AW64+(1-EXP(-LN(2)/2))/(LN(2)/2)*AQ65*AT65*VLOOKUP('Données projet'!$B$10,Paramètres!$A$1:$I$89,3,0)*0.475*44/12</f>
        <v>6.8196262270355881</v>
      </c>
      <c r="AX65" s="21">
        <f t="shared" si="6"/>
        <v>55.177507261140505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2.8205128205128176</v>
      </c>
      <c r="BD65" s="12">
        <f>IF('Données projet'!$A$88&gt;35,BD64+BC65-BL64,IF(A65&lt;'Données projet'!$A$88,$BA$205^A65,IF(A65='Données projet'!$A$88,'Données projet'!$B$88,BD64+BC65-BL64)))</f>
        <v>116.53846153846146</v>
      </c>
      <c r="BE65" s="13">
        <f>BD65*VLOOKUP('Données projet'!$B$11,Paramètres!$A$1:$I$89,3,0)*VLOOKUP('Données projet'!$B$11,Paramètres!$A$1:$I$89,5,0)</f>
        <v>101.80799999999994</v>
      </c>
      <c r="BF65" s="13">
        <f t="shared" si="37"/>
        <v>27.392278397914453</v>
      </c>
      <c r="BG65" s="20">
        <f t="shared" si="7"/>
        <v>225.02381820970086</v>
      </c>
      <c r="BH65" s="59">
        <f t="shared" si="8"/>
        <v>518.35715154303421</v>
      </c>
      <c r="BI65" s="59">
        <f ca="1">AVERAGE(OFFSET($BH$3,0,0,'Données projet'!$E$11+1,1))-AVERAGE(OFFSET($H$3,0,0,'Données projet'!$E$11+1,1))</f>
        <v>112.66486935566058</v>
      </c>
      <c r="BJ65" s="59">
        <f t="shared" si="38"/>
        <v>110.84860075828624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13.035822675286935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13.035822675286935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569.67999999999995</v>
      </c>
      <c r="L66" s="12">
        <f>VLOOKUP(A66,'Données projet'!$A$35:$I$55,9,0)</f>
        <v>18.617142857142849</v>
      </c>
      <c r="M66" s="12">
        <f t="array" ref="M66">INDEX(L:L,MIN(IF(ISNUMBER(L66:L262),ROW(L66:L262),"")))</f>
        <v>18.617142857142849</v>
      </c>
      <c r="N66" s="13">
        <f>IF('Données projet'!$A$36&gt;35,N65+M66-V65,IF(A66&lt;'Données projet'!$A$36,$K$205^A66,IF(A66='Données projet'!$A$36,'Données projet'!$B$36,N65+M66-V65)))</f>
        <v>569.68000000000029</v>
      </c>
      <c r="O66" s="13">
        <f>N66*VLOOKUP('Données projet'!$B$9,Paramètres!$A$1:$I$89,3,0)*VLOOKUP('Données projet'!$B$9,Paramètres!$A$1:$I$89,5,0)</f>
        <v>318.45112000000017</v>
      </c>
      <c r="P66" s="13">
        <f t="shared" si="33"/>
        <v>75.030988106995281</v>
      </c>
      <c r="Q66" s="20">
        <f t="shared" si="53"/>
        <v>685.31467161968374</v>
      </c>
      <c r="R66" s="59">
        <f t="shared" si="0"/>
        <v>978.64800495301711</v>
      </c>
      <c r="S66" s="59">
        <f ca="1">AVERAGE(OFFSET($R$3,0,0,'Données projet'!$E$9+1,1))-AVERAGE(OFFSET($H$3,0,0,'Données projet'!$E$9+1,1))</f>
        <v>314.07001555875894</v>
      </c>
      <c r="T66" s="59">
        <f t="shared" si="34"/>
        <v>281.53154885904991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99.599999999999966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100.09460843496048</v>
      </c>
      <c r="AA66" s="21">
        <f>EXP(-LN(2)/25)*AA65+(1-EXP(-LN(2)/25))/(LN(2)/25)*Calculateur!V66*Calculateur!X66*VLOOKUP('Données projet'!$B$9,Paramètres!$A$1:$I$89,3,0)*0.475*44/12</f>
        <v>35.303197131108604</v>
      </c>
      <c r="AB66" s="21">
        <f>EXP(-LN(2)/2)*AB65+(1-EXP(-LN(2)/2))/(LN(2)/2)*V66*Y66*VLOOKUP('Données projet'!$B$9,Paramètres!$A$1:$I$89,3,0)*0.475*44/12</f>
        <v>13.787902572172555</v>
      </c>
      <c r="AC66" s="22">
        <f t="shared" si="3"/>
        <v>149.18570813824164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10.513</v>
      </c>
      <c r="AI66" s="13">
        <f>IF('Données projet'!$A$62&gt;35,AI65+AH66-AQ65,IF(A66&lt;'Données projet'!$A$62,$AF$205^A66,IF(A66='Données projet'!$A$62,'Données projet'!$B$62,AI65+AH66-AQ65)))</f>
        <v>357.73300000000006</v>
      </c>
      <c r="AJ66" s="13">
        <f>AI66*VLOOKUP('Données projet'!$B$10,Paramètres!$A$1:$I$89,3,0)*VLOOKUP('Données projet'!$B$10,Paramètres!$A$1:$I$89,5,0)</f>
        <v>158.11798600000006</v>
      </c>
      <c r="AK66" s="13">
        <f t="shared" si="35"/>
        <v>40.417730014790848</v>
      </c>
      <c r="AL66" s="20">
        <f t="shared" si="4"/>
        <v>345.78303872576083</v>
      </c>
      <c r="AM66" s="59">
        <f t="shared" si="5"/>
        <v>639.11637205909415</v>
      </c>
      <c r="AN66" s="59">
        <f ca="1">AVERAGE(OFFSET($AM$3,0,0,'Données projet'!$E$10+1,1))-AVERAGE(OFFSET($H$3,0,0,'Données projet'!$E$10+1,1))</f>
        <v>218.3918302549892</v>
      </c>
      <c r="AO66" s="59">
        <f t="shared" si="36"/>
        <v>102.61932145411976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30.277085945285112</v>
      </c>
      <c r="AV66" s="21">
        <f>EXP(-LN(2)/25)*AV65+(1-EXP(-LN(2)/25))/(LN(2)/25)*Calculateur!AQ66*Calculateur!AS66*VLOOKUP('Données projet'!$B$10,Paramètres!$A$1:$I$89,3,0)*0.475*44/12</f>
        <v>16.997344251431894</v>
      </c>
      <c r="AW66" s="21">
        <f>EXP(-LN(2)/2)*AW65+(1-EXP(-LN(2)/2))/(LN(2)/2)*AQ66*AT66*VLOOKUP('Données projet'!$B$10,Paramètres!$A$1:$I$89,3,0)*0.475*44/12</f>
        <v>4.8222039502944947</v>
      </c>
      <c r="AX66" s="21">
        <f t="shared" si="6"/>
        <v>52.0966341470115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2.8205128205128176</v>
      </c>
      <c r="BD66" s="12">
        <f>IF('Données projet'!$A$88&gt;35,BD65+BC66-BL65,IF(A66&lt;'Données projet'!$A$88,$BA$205^A66,IF(A66='Données projet'!$A$88,'Données projet'!$B$88,BD65+BC66-BL65)))</f>
        <v>119.35897435897428</v>
      </c>
      <c r="BE66" s="13">
        <f>BD66*VLOOKUP('Données projet'!$B$11,Paramètres!$A$1:$I$89,3,0)*VLOOKUP('Données projet'!$B$11,Paramètres!$A$1:$I$89,5,0)</f>
        <v>104.27199999999995</v>
      </c>
      <c r="BF66" s="13">
        <f t="shared" si="37"/>
        <v>27.977251556977873</v>
      </c>
      <c r="BG66" s="20">
        <f t="shared" si="7"/>
        <v>230.334113128403</v>
      </c>
      <c r="BH66" s="59">
        <f t="shared" si="8"/>
        <v>523.66744646173629</v>
      </c>
      <c r="BI66" s="59">
        <f ca="1">AVERAGE(OFFSET($BH$3,0,0,'Données projet'!$E$11+1,1))-AVERAGE(OFFSET($H$3,0,0,'Données projet'!$E$11+1,1))</f>
        <v>112.66486935566058</v>
      </c>
      <c r="BJ66" s="59">
        <f t="shared" si="38"/>
        <v>110.84860075828624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12.679357418707093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12.679357418707093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16.682857142857149</v>
      </c>
      <c r="N67" s="13">
        <f>IF('Données projet'!$A$36&gt;35,N66+M67-V66,IF(A67&lt;'Données projet'!$A$36,$K$205^A67,IF(A67='Données projet'!$A$36,'Données projet'!$B$36,N66+M67-V66)))</f>
        <v>486.76285714285751</v>
      </c>
      <c r="O67" s="13">
        <f>N67*VLOOKUP('Données projet'!$B$9,Paramètres!$A$1:$I$89,3,0)*VLOOKUP('Données projet'!$B$9,Paramètres!$A$1:$I$89,5,0)</f>
        <v>272.10043714285734</v>
      </c>
      <c r="P67" s="13">
        <f t="shared" si="33"/>
        <v>65.294833817604186</v>
      </c>
      <c r="Q67" s="20">
        <f t="shared" ref="Q67:Q98" si="54">(O67+P67)*0.475*44/12</f>
        <v>587.63009692280377</v>
      </c>
      <c r="R67" s="59">
        <f t="shared" ref="R67:R130" si="55">Q67+(I67+J67)*44/12</f>
        <v>880.96343025613714</v>
      </c>
      <c r="S67" s="59">
        <f ca="1">AVERAGE(OFFSET($R$3,0,0,'Données projet'!$E$9+1,1))-AVERAGE(OFFSET($H$3,0,0,'Données projet'!$E$9+1,1))</f>
        <v>314.07001555875894</v>
      </c>
      <c r="T67" s="59">
        <f t="shared" si="34"/>
        <v>281.53154885904991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98.131814215233689</v>
      </c>
      <c r="AA67" s="21">
        <f>EXP(-LN(2)/25)*AA66+(1-EXP(-LN(2)/25))/(LN(2)/25)*Calculateur!V67*Calculateur!X67*VLOOKUP('Données projet'!$B$9,Paramètres!$A$1:$I$89,3,0)*0.475*44/12</f>
        <v>34.337829349043986</v>
      </c>
      <c r="AB67" s="21">
        <f>EXP(-LN(2)/2)*AB66+(1-EXP(-LN(2)/2))/(LN(2)/2)*V67*Y67*VLOOKUP('Données projet'!$B$9,Paramètres!$A$1:$I$89,3,0)*0.475*44/12</f>
        <v>9.749519407122655</v>
      </c>
      <c r="AC67" s="22">
        <f t="shared" si="3"/>
        <v>142.21916297140032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10.513</v>
      </c>
      <c r="AI67" s="13">
        <f>IF('Données projet'!$A$62&gt;35,AI66+AH67-AQ66,IF(A67&lt;'Données projet'!$A$62,$AF$205^A67,IF(A67='Données projet'!$A$62,'Données projet'!$B$62,AI66+AH67-AQ66)))</f>
        <v>368.24600000000004</v>
      </c>
      <c r="AJ67" s="13">
        <f>AI67*VLOOKUP('Données projet'!$B$10,Paramètres!$A$1:$I$89,3,0)*VLOOKUP('Données projet'!$B$10,Paramètres!$A$1:$I$89,5,0)</f>
        <v>162.76473200000004</v>
      </c>
      <c r="AK67" s="13">
        <f t="shared" si="35"/>
        <v>41.46548529316226</v>
      </c>
      <c r="AL67" s="20">
        <f t="shared" si="4"/>
        <v>355.70096178559101</v>
      </c>
      <c r="AM67" s="59">
        <f t="shared" si="5"/>
        <v>649.03429511892432</v>
      </c>
      <c r="AN67" s="59">
        <f ca="1">AVERAGE(OFFSET($AM$3,0,0,'Données projet'!$E$10+1,1))-AVERAGE(OFFSET($H$3,0,0,'Données projet'!$E$10+1,1))</f>
        <v>218.3918302549892</v>
      </c>
      <c r="AO67" s="59">
        <f t="shared" si="36"/>
        <v>102.61932145411976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29.683370757097013</v>
      </c>
      <c r="AV67" s="21">
        <f>EXP(-LN(2)/25)*AV66+(1-EXP(-LN(2)/25))/(LN(2)/25)*Calculateur!AQ67*Calculateur!AS67*VLOOKUP('Données projet'!$B$10,Paramètres!$A$1:$I$89,3,0)*0.475*44/12</f>
        <v>16.532550979025004</v>
      </c>
      <c r="AW67" s="21">
        <f>EXP(-LN(2)/2)*AW66+(1-EXP(-LN(2)/2))/(LN(2)/2)*AQ67*AT67*VLOOKUP('Données projet'!$B$10,Paramètres!$A$1:$I$89,3,0)*0.475*44/12</f>
        <v>3.4098131135177945</v>
      </c>
      <c r="AX67" s="21">
        <f t="shared" si="6"/>
        <v>49.625734849639805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2.8205128205128176</v>
      </c>
      <c r="BD67" s="12">
        <f>IF('Données projet'!$A$88&gt;35,BD66+BC67-BL66,IF(A67&lt;'Données projet'!$A$88,$BA$205^A67,IF(A67='Données projet'!$A$88,'Données projet'!$B$88,BD66+BC67-BL66)))</f>
        <v>122.1794871794871</v>
      </c>
      <c r="BE67" s="13">
        <f>BD67*VLOOKUP('Données projet'!$B$11,Paramètres!$A$1:$I$89,3,0)*VLOOKUP('Données projet'!$B$11,Paramètres!$A$1:$I$89,5,0)</f>
        <v>106.73599999999995</v>
      </c>
      <c r="BF67" s="13">
        <f t="shared" si="37"/>
        <v>28.560617747062828</v>
      </c>
      <c r="BG67" s="20">
        <f t="shared" si="7"/>
        <v>235.641609242801</v>
      </c>
      <c r="BH67" s="59">
        <f t="shared" si="8"/>
        <v>528.97494257613425</v>
      </c>
      <c r="BI67" s="59">
        <f ca="1">AVERAGE(OFFSET($BH$3,0,0,'Données projet'!$E$11+1,1))-AVERAGE(OFFSET($H$3,0,0,'Données projet'!$E$11+1,1))</f>
        <v>112.66486935566058</v>
      </c>
      <c r="BJ67" s="59">
        <f t="shared" si="38"/>
        <v>110.84860075828624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12.33263972331412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12.33263972331412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16.682857142857149</v>
      </c>
      <c r="N68" s="13">
        <f>IF('Données projet'!$A$36&gt;35,N67+M68-V67,IF(A68&lt;'Données projet'!$A$36,$K$205^A68,IF(A68='Données projet'!$A$36,'Données projet'!$B$36,N67+M68-V67)))</f>
        <v>503.44571428571464</v>
      </c>
      <c r="O68" s="13">
        <f>N68*VLOOKUP('Données projet'!$B$9,Paramètres!$A$1:$I$89,3,0)*VLOOKUP('Données projet'!$B$9,Paramètres!$A$1:$I$89,5,0)</f>
        <v>281.42615428571452</v>
      </c>
      <c r="P68" s="13">
        <f t="shared" si="33"/>
        <v>67.268307105467983</v>
      </c>
      <c r="Q68" s="20">
        <f t="shared" si="54"/>
        <v>607.30952025630938</v>
      </c>
      <c r="R68" s="59">
        <f t="shared" si="55"/>
        <v>900.64285358964275</v>
      </c>
      <c r="S68" s="59">
        <f ca="1">AVERAGE(OFFSET($R$3,0,0,'Données projet'!$E$9+1,1))-AVERAGE(OFFSET($H$3,0,0,'Données projet'!$E$9+1,1))</f>
        <v>314.07001555875894</v>
      </c>
      <c r="T68" s="59">
        <f t="shared" si="34"/>
        <v>281.53154885904991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96.207509192969482</v>
      </c>
      <c r="AA68" s="21">
        <f>EXP(-LN(2)/25)*AA67+(1-EXP(-LN(2)/25))/(LN(2)/25)*Calculateur!V68*Calculateur!X68*VLOOKUP('Données projet'!$B$9,Paramètres!$A$1:$I$89,3,0)*0.475*44/12</f>
        <v>33.398859599746416</v>
      </c>
      <c r="AB68" s="21">
        <f>EXP(-LN(2)/2)*AB67+(1-EXP(-LN(2)/2))/(LN(2)/2)*V68*Y68*VLOOKUP('Données projet'!$B$9,Paramètres!$A$1:$I$89,3,0)*0.475*44/12</f>
        <v>6.8939512860862786</v>
      </c>
      <c r="AC68" s="22">
        <f t="shared" ref="AC68:AC131" si="57">SUM(Z68:AB68)</f>
        <v>136.50032007880219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10.513</v>
      </c>
      <c r="AI68" s="13">
        <f>IF('Données projet'!$A$62&gt;35,AI67+AH68-AQ67,IF(A68&lt;'Données projet'!$A$62,$AF$205^A68,IF(A68='Données projet'!$A$62,'Données projet'!$B$62,AI67+AH68-AQ67)))</f>
        <v>378.75900000000001</v>
      </c>
      <c r="AJ68" s="13">
        <f>AI68*VLOOKUP('Données projet'!$B$10,Paramètres!$A$1:$I$89,3,0)*VLOOKUP('Données projet'!$B$10,Paramètres!$A$1:$I$89,5,0)</f>
        <v>167.41147800000002</v>
      </c>
      <c r="AK68" s="13">
        <f t="shared" si="35"/>
        <v>42.509764070156329</v>
      </c>
      <c r="AL68" s="20">
        <f t="shared" ref="AL68:AL131" si="58">(AJ68+AK68)*0.475*44/12</f>
        <v>365.61282993885561</v>
      </c>
      <c r="AM68" s="59">
        <f t="shared" ref="AM68:AM131" si="59">AL68+(AD68+AE68)*44/12</f>
        <v>658.94616327218887</v>
      </c>
      <c r="AN68" s="59">
        <f ca="1">AVERAGE(OFFSET($AM$3,0,0,'Données projet'!$E$10+1,1))-AVERAGE(OFFSET($H$3,0,0,'Données projet'!$E$10+1,1))</f>
        <v>218.3918302549892</v>
      </c>
      <c r="AO68" s="59">
        <f t="shared" si="36"/>
        <v>102.61932145411976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29.101297961618776</v>
      </c>
      <c r="AV68" s="21">
        <f>EXP(-LN(2)/25)*AV67+(1-EXP(-LN(2)/25))/(LN(2)/25)*Calculateur!AQ68*Calculateur!AS68*VLOOKUP('Données projet'!$B$10,Paramètres!$A$1:$I$89,3,0)*0.475*44/12</f>
        <v>16.080467503094496</v>
      </c>
      <c r="AW68" s="21">
        <f>EXP(-LN(2)/2)*AW67+(1-EXP(-LN(2)/2))/(LN(2)/2)*AQ68*AT68*VLOOKUP('Données projet'!$B$10,Paramètres!$A$1:$I$89,3,0)*0.475*44/12</f>
        <v>2.4111019751472478</v>
      </c>
      <c r="AX68" s="21">
        <f t="shared" ref="AX68:AX131" si="60">SUM(AU68:AW68)</f>
        <v>47.59286743986052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125</v>
      </c>
      <c r="BB68" s="12">
        <f>VLOOKUP(A68,'Données projet'!$A$87:$I$107,9,0)</f>
        <v>2.8205128205128176</v>
      </c>
      <c r="BC68" s="12">
        <f t="array" ref="BC68">INDEX(BB:BB,MIN(IF(ISNUMBER(BB68:BB264),ROW(BB68:BB264),"")))</f>
        <v>2.8205128205128176</v>
      </c>
      <c r="BD68" s="12">
        <f>IF('Données projet'!$A$88&gt;35,BD67+BC68-BL67,IF(A68&lt;'Données projet'!$A$88,$BA$205^A68,IF(A68='Données projet'!$A$88,'Données projet'!$B$88,BD67+BC68-BL67)))</f>
        <v>124.99999999999991</v>
      </c>
      <c r="BE68" s="13">
        <f>BD68*VLOOKUP('Données projet'!$B$11,Paramètres!$A$1:$I$89,3,0)*VLOOKUP('Données projet'!$B$11,Paramètres!$A$1:$I$89,5,0)</f>
        <v>109.19999999999993</v>
      </c>
      <c r="BF68" s="13">
        <f t="shared" si="37"/>
        <v>29.142418334948587</v>
      </c>
      <c r="BG68" s="20">
        <f t="shared" ref="BG68:BG131" si="61">(BE68+BF68)*0.475*44/12</f>
        <v>240.94637860003536</v>
      </c>
      <c r="BH68" s="59">
        <f t="shared" ref="BH68:BH131" si="62">BG68+(AY68+AZ68)*44/12</f>
        <v>534.27971193336862</v>
      </c>
      <c r="BI68" s="59">
        <f ca="1">AVERAGE(OFFSET($BH$3,0,0,'Données projet'!$E$11+1,1))-AVERAGE(OFFSET($H$3,0,0,'Données projet'!$E$11+1,1))</f>
        <v>112.66486935566058</v>
      </c>
      <c r="BJ68" s="59">
        <f t="shared" si="38"/>
        <v>110.84860075828624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9.615384615384615</v>
      </c>
      <c r="BM68" s="16">
        <f>IF(ISNA(VLOOKUP(A68,'Données projet'!$A$87:$I$107,5,0)),0%,VLOOKUP(A68,'Données projet'!$A$87:$I$107,5,0)*VLOOKUP('Données projet'!$B$11,Paramètres!$A$1:$I$89,7,0))</f>
        <v>4.3000000000000003E-2</v>
      </c>
      <c r="BN68" s="16">
        <f>IF(ISNA(VLOOKUP(A68,'Données projet'!$A$87:$I$107,6,0)),0%,VLOOKUP(A68,'Données projet'!$A$87:$I$107,6,0)*VLOOKUP('Données projet'!$B$11,Paramètres!$A$1:$I$89,7,0))</f>
        <v>0.215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0.39929590108730167</v>
      </c>
      <c r="BQ68" s="21">
        <f>EXP(-LN(2)/25)*BQ67+(1-EXP(-LN(2)/25))/(LN(2)/25)*Calculateur!BL68*Calculateur!BN68*VLOOKUP('Données projet'!$B$11,Paramètres!$A$1:$I$89,3,0)*0.475*44/12</f>
        <v>13.984021646440032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14.383317547527334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16.682857142857149</v>
      </c>
      <c r="N69" s="13">
        <f>IF('Données projet'!$A$36&gt;35,N68+M69-V68,IF(A69&lt;'Données projet'!$A$36,$K$205^A69,IF(A69='Données projet'!$A$36,'Données projet'!$B$36,N68+M69-V68)))</f>
        <v>520.12857142857183</v>
      </c>
      <c r="O69" s="13">
        <f>N69*VLOOKUP('Données projet'!$B$9,Paramètres!$A$1:$I$89,3,0)*VLOOKUP('Données projet'!$B$9,Paramètres!$A$1:$I$89,5,0)</f>
        <v>290.75187142857169</v>
      </c>
      <c r="P69" s="13">
        <f t="shared" ref="P69:P132" si="87">EXP(-1.0587+0.8836*LN(O69)+0.284)</f>
        <v>69.23418152913365</v>
      </c>
      <c r="Q69" s="20">
        <f t="shared" si="54"/>
        <v>626.97570890133682</v>
      </c>
      <c r="R69" s="59">
        <f t="shared" si="55"/>
        <v>920.30904223467019</v>
      </c>
      <c r="S69" s="59">
        <f ca="1">AVERAGE(OFFSET($R$3,0,0,'Données projet'!$E$9+1,1))-AVERAGE(OFFSET($H$3,0,0,'Données projet'!$E$9+1,1))</f>
        <v>314.07001555875894</v>
      </c>
      <c r="T69" s="59">
        <f t="shared" ref="T69:T132" si="88">$T$3</f>
        <v>281.53154885904991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94.320938618481705</v>
      </c>
      <c r="AA69" s="21">
        <f>EXP(-LN(2)/25)*AA68+(1-EXP(-LN(2)/25))/(LN(2)/25)*Calculateur!V69*Calculateur!X69*VLOOKUP('Données projet'!$B$9,Paramètres!$A$1:$I$89,3,0)*0.475*44/12</f>
        <v>32.485566027621658</v>
      </c>
      <c r="AB69" s="21">
        <f>EXP(-LN(2)/2)*AB68+(1-EXP(-LN(2)/2))/(LN(2)/2)*V69*Y69*VLOOKUP('Données projet'!$B$9,Paramètres!$A$1:$I$89,3,0)*0.475*44/12</f>
        <v>4.8747597035613284</v>
      </c>
      <c r="AC69" s="22">
        <f t="shared" si="57"/>
        <v>131.6812643496647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10.513</v>
      </c>
      <c r="AI69" s="13">
        <f>IF('Données projet'!$A$62&gt;35,AI68+AH69-AQ68,IF(A69&lt;'Données projet'!$A$62,$AF$205^A69,IF(A69='Données projet'!$A$62,'Données projet'!$B$62,AI68+AH69-AQ68)))</f>
        <v>389.27199999999999</v>
      </c>
      <c r="AJ69" s="13">
        <f>AI69*VLOOKUP('Données projet'!$B$10,Paramètres!$A$1:$I$89,3,0)*VLOOKUP('Données projet'!$B$10,Paramètres!$A$1:$I$89,5,0)</f>
        <v>172.05822400000002</v>
      </c>
      <c r="AK69" s="13">
        <f t="shared" ref="AK69:AK132" si="89">EXP(-1.0587+0.8836*LN(AJ69)+0.284)</f>
        <v>43.550673927257485</v>
      </c>
      <c r="AL69" s="20">
        <f t="shared" si="58"/>
        <v>375.51883055664013</v>
      </c>
      <c r="AM69" s="59">
        <f t="shared" si="59"/>
        <v>668.85216388997344</v>
      </c>
      <c r="AN69" s="59">
        <f ca="1">AVERAGE(OFFSET($AM$3,0,0,'Données projet'!$E$10+1,1))-AVERAGE(OFFSET($H$3,0,0,'Données projet'!$E$10+1,1))</f>
        <v>218.3918302549892</v>
      </c>
      <c r="AO69" s="59">
        <f t="shared" ref="AO69:AO132" si="90">$AO$3</f>
        <v>102.61932145411976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28.530639258630519</v>
      </c>
      <c r="AV69" s="21">
        <f>EXP(-LN(2)/25)*AV68+(1-EXP(-LN(2)/25))/(LN(2)/25)*Calculateur!AQ69*Calculateur!AS69*VLOOKUP('Données projet'!$B$10,Paramètres!$A$1:$I$89,3,0)*0.475*44/12</f>
        <v>15.640746273587343</v>
      </c>
      <c r="AW69" s="21">
        <f>EXP(-LN(2)/2)*AW68+(1-EXP(-LN(2)/2))/(LN(2)/2)*AQ69*AT69*VLOOKUP('Données projet'!$B$10,Paramètres!$A$1:$I$89,3,0)*0.475*44/12</f>
        <v>1.7049065567588977</v>
      </c>
      <c r="AX69" s="21">
        <f t="shared" si="60"/>
        <v>45.876292088976761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2.6923076923076907</v>
      </c>
      <c r="BD69" s="12">
        <f>IF('Données projet'!$A$88&gt;35,BD68+BC69-BL68,IF(A69&lt;'Données projet'!$A$88,$BA$205^A69,IF(A69='Données projet'!$A$88,'Données projet'!$B$88,BD68+BC69-BL68)))</f>
        <v>118.07692307692299</v>
      </c>
      <c r="BE69" s="13">
        <f>BD69*VLOOKUP('Données projet'!$B$11,Paramètres!$A$1:$I$89,3,0)*VLOOKUP('Données projet'!$B$11,Paramètres!$A$1:$I$89,5,0)</f>
        <v>103.15199999999993</v>
      </c>
      <c r="BF69" s="13">
        <f t="shared" ref="BF69:BF132" si="91">EXP(-1.0587+0.8836*LN(BE69)+0.284)</f>
        <v>27.711556440369876</v>
      </c>
      <c r="BG69" s="20">
        <f t="shared" si="61"/>
        <v>227.92069413364405</v>
      </c>
      <c r="BH69" s="59">
        <f t="shared" si="62"/>
        <v>521.25402746697739</v>
      </c>
      <c r="BI69" s="59">
        <f ca="1">AVERAGE(OFFSET($BH$3,0,0,'Données projet'!$E$11+1,1))-AVERAGE(OFFSET($H$3,0,0,'Données projet'!$E$11+1,1))</f>
        <v>112.66486935566058</v>
      </c>
      <c r="BJ69" s="59">
        <f t="shared" ref="BJ69:BJ132" si="92">$BJ$3</f>
        <v>110.84860075828624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0.39146595201343115</v>
      </c>
      <c r="BQ69" s="21">
        <f>EXP(-LN(2)/25)*BQ68+(1-EXP(-LN(2)/25))/(LN(2)/25)*Calculateur!BL69*Calculateur!BN69*VLOOKUP('Données projet'!$B$11,Paramètres!$A$1:$I$89,3,0)*0.475*44/12</f>
        <v>13.601627839130392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13.993093791143824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16.682857142857149</v>
      </c>
      <c r="N70" s="13">
        <f>IF('Données projet'!$A$36&gt;35,N69+M70-V69,IF(A70&lt;'Données projet'!$A$36,$K$205^A70,IF(A70='Données projet'!$A$36,'Données projet'!$B$36,N69+M70-V69)))</f>
        <v>536.81142857142902</v>
      </c>
      <c r="O70" s="13">
        <f>N70*VLOOKUP('Données projet'!$B$9,Paramètres!$A$1:$I$89,3,0)*VLOOKUP('Données projet'!$B$9,Paramètres!$A$1:$I$89,5,0)</f>
        <v>300.07758857142881</v>
      </c>
      <c r="P70" s="13">
        <f t="shared" si="87"/>
        <v>71.19272877566128</v>
      </c>
      <c r="Q70" s="20">
        <f t="shared" si="54"/>
        <v>646.62913604618188</v>
      </c>
      <c r="R70" s="59">
        <f t="shared" si="55"/>
        <v>939.96246937951514</v>
      </c>
      <c r="S70" s="59">
        <f ca="1">AVERAGE(OFFSET($R$3,0,0,'Données projet'!$E$9+1,1))-AVERAGE(OFFSET($H$3,0,0,'Données projet'!$E$9+1,1))</f>
        <v>314.07001555875894</v>
      </c>
      <c r="T70" s="59">
        <f t="shared" si="88"/>
        <v>281.53154885904991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92.471362542265211</v>
      </c>
      <c r="AA70" s="21">
        <f>EXP(-LN(2)/25)*AA69+(1-EXP(-LN(2)/25))/(LN(2)/25)*Calculateur!V70*Calculateur!X70*VLOOKUP('Données projet'!$B$9,Paramètres!$A$1:$I$89,3,0)*0.475*44/12</f>
        <v>31.597246516254675</v>
      </c>
      <c r="AB70" s="21">
        <f>EXP(-LN(2)/2)*AB69+(1-EXP(-LN(2)/2))/(LN(2)/2)*V70*Y70*VLOOKUP('Données projet'!$B$9,Paramètres!$A$1:$I$89,3,0)*0.475*44/12</f>
        <v>3.4469756430431397</v>
      </c>
      <c r="AC70" s="22">
        <f t="shared" si="57"/>
        <v>127.51558470156303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10.513</v>
      </c>
      <c r="AI70" s="13">
        <f>IF('Données projet'!$A$62&gt;35,AI69+AH70-AQ69,IF(A70&lt;'Données projet'!$A$62,$AF$205^A70,IF(A70='Données projet'!$A$62,'Données projet'!$B$62,AI69+AH70-AQ69)))</f>
        <v>399.78499999999997</v>
      </c>
      <c r="AJ70" s="13">
        <f>AI70*VLOOKUP('Données projet'!$B$10,Paramètres!$A$1:$I$89,3,0)*VLOOKUP('Données projet'!$B$10,Paramètres!$A$1:$I$89,5,0)</f>
        <v>176.70497</v>
      </c>
      <c r="AK70" s="13">
        <f t="shared" si="89"/>
        <v>44.588316304288995</v>
      </c>
      <c r="AL70" s="20">
        <f t="shared" si="58"/>
        <v>385.41914031330333</v>
      </c>
      <c r="AM70" s="59">
        <f t="shared" si="59"/>
        <v>678.75247364663664</v>
      </c>
      <c r="AN70" s="59">
        <f ca="1">AVERAGE(OFFSET($AM$3,0,0,'Données projet'!$E$10+1,1))-AVERAGE(OFFSET($H$3,0,0,'Données projet'!$E$10+1,1))</f>
        <v>218.3918302549892</v>
      </c>
      <c r="AO70" s="59">
        <f t="shared" si="90"/>
        <v>102.61932145411976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27.971170824740419</v>
      </c>
      <c r="AV70" s="21">
        <f>EXP(-LN(2)/25)*AV69+(1-EXP(-LN(2)/25))/(LN(2)/25)*Calculateur!AQ70*Calculateur!AS70*VLOOKUP('Données projet'!$B$10,Paramètres!$A$1:$I$89,3,0)*0.475*44/12</f>
        <v>15.213049244224997</v>
      </c>
      <c r="AW70" s="21">
        <f>EXP(-LN(2)/2)*AW69+(1-EXP(-LN(2)/2))/(LN(2)/2)*AQ70*AT70*VLOOKUP('Données projet'!$B$10,Paramètres!$A$1:$I$89,3,0)*0.475*44/12</f>
        <v>1.2055509875736241</v>
      </c>
      <c r="AX70" s="21">
        <f t="shared" si="60"/>
        <v>44.38977105653904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2.6923076923076907</v>
      </c>
      <c r="BD70" s="12">
        <f>IF('Données projet'!$A$88&gt;35,BD69+BC70-BL69,IF(A70&lt;'Données projet'!$A$88,$BA$205^A70,IF(A70='Données projet'!$A$88,'Données projet'!$B$88,BD69+BC70-BL69)))</f>
        <v>120.76923076923069</v>
      </c>
      <c r="BE70" s="13">
        <f>BD70*VLOOKUP('Données projet'!$B$11,Paramètres!$A$1:$I$89,3,0)*VLOOKUP('Données projet'!$B$11,Paramètres!$A$1:$I$89,5,0)</f>
        <v>105.50399999999993</v>
      </c>
      <c r="BF70" s="13">
        <f t="shared" si="91"/>
        <v>28.269132889790804</v>
      </c>
      <c r="BG70" s="20">
        <f t="shared" si="61"/>
        <v>232.98820644971886</v>
      </c>
      <c r="BH70" s="59">
        <f t="shared" si="62"/>
        <v>526.32153978305223</v>
      </c>
      <c r="BI70" s="59">
        <f ca="1">AVERAGE(OFFSET($BH$3,0,0,'Données projet'!$E$11+1,1))-AVERAGE(OFFSET($H$3,0,0,'Données projet'!$E$11+1,1))</f>
        <v>112.66486935566058</v>
      </c>
      <c r="BJ70" s="59">
        <f t="shared" si="92"/>
        <v>110.84860075828624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0.38378954346510186</v>
      </c>
      <c r="BQ70" s="21">
        <f>EXP(-LN(2)/25)*BQ69+(1-EXP(-LN(2)/25))/(LN(2)/25)*Calculateur!BL70*Calculateur!BN70*VLOOKUP('Données projet'!$B$11,Paramètres!$A$1:$I$89,3,0)*0.475*44/12</f>
        <v>13.22969061059085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13.613480154055953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16.682857142857149</v>
      </c>
      <c r="N71" s="13">
        <f>IF('Données projet'!$A$36&gt;35,N70+M71-V70,IF(A71&lt;'Données projet'!$A$36,$K$205^A71,IF(A71='Données projet'!$A$36,'Données projet'!$B$36,N70+M71-V70)))</f>
        <v>553.49428571428621</v>
      </c>
      <c r="O71" s="13">
        <f>N71*VLOOKUP('Données projet'!$B$9,Paramètres!$A$1:$I$89,3,0)*VLOOKUP('Données projet'!$B$9,Paramètres!$A$1:$I$89,5,0)</f>
        <v>309.40330571428598</v>
      </c>
      <c r="P71" s="13">
        <f t="shared" si="87"/>
        <v>73.144202686055834</v>
      </c>
      <c r="Q71" s="20">
        <f t="shared" si="54"/>
        <v>666.27024379726197</v>
      </c>
      <c r="R71" s="59">
        <f t="shared" si="55"/>
        <v>959.60357713059534</v>
      </c>
      <c r="S71" s="59">
        <f ca="1">AVERAGE(OFFSET($R$3,0,0,'Données projet'!$E$9+1,1))-AVERAGE(OFFSET($H$3,0,0,'Données projet'!$E$9+1,1))</f>
        <v>314.07001555875894</v>
      </c>
      <c r="T71" s="59">
        <f t="shared" si="88"/>
        <v>281.53154885904991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90.658055524773317</v>
      </c>
      <c r="AA71" s="21">
        <f>EXP(-LN(2)/25)*AA70+(1-EXP(-LN(2)/25))/(LN(2)/25)*Calculateur!V71*Calculateur!X71*VLOOKUP('Données projet'!$B$9,Paramètres!$A$1:$I$89,3,0)*0.475*44/12</f>
        <v>30.733218148640713</v>
      </c>
      <c r="AB71" s="21">
        <f>EXP(-LN(2)/2)*AB70+(1-EXP(-LN(2)/2))/(LN(2)/2)*V71*Y71*VLOOKUP('Données projet'!$B$9,Paramètres!$A$1:$I$89,3,0)*0.475*44/12</f>
        <v>2.4373798517806646</v>
      </c>
      <c r="AC71" s="22">
        <f t="shared" si="57"/>
        <v>123.8286535251947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10.513</v>
      </c>
      <c r="AI71" s="13">
        <f>IF('Données projet'!$A$62&gt;35,AI70+AH71-AQ70,IF(A71&lt;'Données projet'!$A$62,$AF$205^A71,IF(A71='Données projet'!$A$62,'Données projet'!$B$62,AI70+AH71-AQ70)))</f>
        <v>410.29799999999994</v>
      </c>
      <c r="AJ71" s="13">
        <f>AI71*VLOOKUP('Données projet'!$B$10,Paramètres!$A$1:$I$89,3,0)*VLOOKUP('Données projet'!$B$10,Paramètres!$A$1:$I$89,5,0)</f>
        <v>181.35171600000001</v>
      </c>
      <c r="AK71" s="13">
        <f t="shared" si="89"/>
        <v>45.622787002191821</v>
      </c>
      <c r="AL71" s="20">
        <f t="shared" si="58"/>
        <v>395.31392606215076</v>
      </c>
      <c r="AM71" s="59">
        <f t="shared" si="59"/>
        <v>688.64725939548407</v>
      </c>
      <c r="AN71" s="59">
        <f ca="1">AVERAGE(OFFSET($AM$3,0,0,'Données projet'!$E$10+1,1))-AVERAGE(OFFSET($H$3,0,0,'Données projet'!$E$10+1,1))</f>
        <v>218.3918302549892</v>
      </c>
      <c r="AO71" s="59">
        <f t="shared" si="90"/>
        <v>102.61932145411976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27.422673225596856</v>
      </c>
      <c r="AV71" s="21">
        <f>EXP(-LN(2)/25)*AV70+(1-EXP(-LN(2)/25))/(LN(2)/25)*Calculateur!AQ71*Calculateur!AS71*VLOOKUP('Données projet'!$B$10,Paramètres!$A$1:$I$89,3,0)*0.475*44/12</f>
        <v>14.797047612622174</v>
      </c>
      <c r="AW71" s="21">
        <f>EXP(-LN(2)/2)*AW70+(1-EXP(-LN(2)/2))/(LN(2)/2)*AQ71*AT71*VLOOKUP('Données projet'!$B$10,Paramètres!$A$1:$I$89,3,0)*0.475*44/12</f>
        <v>0.85245327837944895</v>
      </c>
      <c r="AX71" s="21">
        <f t="shared" si="60"/>
        <v>43.072174116598482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2.6923076923076907</v>
      </c>
      <c r="BD71" s="12">
        <f>IF('Données projet'!$A$88&gt;35,BD70+BC71-BL70,IF(A71&lt;'Données projet'!$A$88,$BA$205^A71,IF(A71='Données projet'!$A$88,'Données projet'!$B$88,BD70+BC71-BL70)))</f>
        <v>123.46153846153838</v>
      </c>
      <c r="BE71" s="13">
        <f>BD71*VLOOKUP('Données projet'!$B$11,Paramètres!$A$1:$I$89,3,0)*VLOOKUP('Données projet'!$B$11,Paramètres!$A$1:$I$89,5,0)</f>
        <v>107.85599999999994</v>
      </c>
      <c r="BF71" s="13">
        <f t="shared" si="91"/>
        <v>28.825264230687974</v>
      </c>
      <c r="BG71" s="20">
        <f t="shared" si="61"/>
        <v>238.05320186844804</v>
      </c>
      <c r="BH71" s="59">
        <f t="shared" si="62"/>
        <v>531.38653520178138</v>
      </c>
      <c r="BI71" s="59">
        <f ca="1">AVERAGE(OFFSET($BH$3,0,0,'Données projet'!$E$11+1,1))-AVERAGE(OFFSET($H$3,0,0,'Données projet'!$E$11+1,1))</f>
        <v>112.66486935566058</v>
      </c>
      <c r="BJ71" s="59">
        <f t="shared" si="92"/>
        <v>110.84860075828624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0.37626366460625843</v>
      </c>
      <c r="BQ71" s="21">
        <f>EXP(-LN(2)/25)*BQ70+(1-EXP(-LN(2)/25))/(LN(2)/25)*Calculateur!BL71*Calculateur!BN71*VLOOKUP('Données projet'!$B$11,Paramètres!$A$1:$I$89,3,0)*0.475*44/12</f>
        <v>12.867924025125051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13.244187689731309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16.682857142857149</v>
      </c>
      <c r="N72" s="13">
        <f>IF('Données projet'!$A$36&gt;35,N71+M72-V71,IF(A72&lt;'Données projet'!$A$36,$K$205^A72,IF(A72='Données projet'!$A$36,'Données projet'!$B$36,N71+M72-V71)))</f>
        <v>570.17714285714339</v>
      </c>
      <c r="O72" s="13">
        <f>N72*VLOOKUP('Données projet'!$B$9,Paramètres!$A$1:$I$89,3,0)*VLOOKUP('Données projet'!$B$9,Paramètres!$A$1:$I$89,5,0)</f>
        <v>318.72902285714315</v>
      </c>
      <c r="P72" s="13">
        <f t="shared" si="87"/>
        <v>75.088840929664514</v>
      </c>
      <c r="Q72" s="20">
        <f t="shared" si="54"/>
        <v>685.89944609535667</v>
      </c>
      <c r="R72" s="59">
        <f t="shared" si="55"/>
        <v>979.23277942869004</v>
      </c>
      <c r="S72" s="59">
        <f ca="1">AVERAGE(OFFSET($R$3,0,0,'Données projet'!$E$9+1,1))-AVERAGE(OFFSET($H$3,0,0,'Données projet'!$E$9+1,1))</f>
        <v>314.07001555875894</v>
      </c>
      <c r="T72" s="59">
        <f t="shared" si="88"/>
        <v>281.53154885904991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88.880306351886361</v>
      </c>
      <c r="AA72" s="21">
        <f>EXP(-LN(2)/25)*AA71+(1-EXP(-LN(2)/25))/(LN(2)/25)*Calculateur!V72*Calculateur!X72*VLOOKUP('Données projet'!$B$9,Paramètres!$A$1:$I$89,3,0)*0.475*44/12</f>
        <v>29.892816682176431</v>
      </c>
      <c r="AB72" s="21">
        <f>EXP(-LN(2)/2)*AB71+(1-EXP(-LN(2)/2))/(LN(2)/2)*V72*Y72*VLOOKUP('Données projet'!$B$9,Paramètres!$A$1:$I$89,3,0)*0.475*44/12</f>
        <v>1.7234878215215701</v>
      </c>
      <c r="AC72" s="22">
        <f t="shared" si="57"/>
        <v>120.49661085558436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10.513</v>
      </c>
      <c r="AI72" s="13">
        <f>IF('Données projet'!$A$62&gt;35,AI71+AH72-AQ71,IF(A72&lt;'Données projet'!$A$62,$AF$205^A72,IF(A72='Données projet'!$A$62,'Données projet'!$B$62,AI71+AH72-AQ71)))</f>
        <v>420.81099999999992</v>
      </c>
      <c r="AJ72" s="13">
        <f>AI72*VLOOKUP('Données projet'!$B$10,Paramètres!$A$1:$I$89,3,0)*VLOOKUP('Données projet'!$B$10,Paramètres!$A$1:$I$89,5,0)</f>
        <v>185.99846199999999</v>
      </c>
      <c r="AK72" s="13">
        <f t="shared" si="89"/>
        <v>46.654176632822995</v>
      </c>
      <c r="AL72" s="20">
        <f t="shared" si="58"/>
        <v>405.20334561883334</v>
      </c>
      <c r="AM72" s="59">
        <f t="shared" si="59"/>
        <v>698.53667895216665</v>
      </c>
      <c r="AN72" s="59">
        <f ca="1">AVERAGE(OFFSET($AM$3,0,0,'Données projet'!$E$10+1,1))-AVERAGE(OFFSET($H$3,0,0,'Données projet'!$E$10+1,1))</f>
        <v>218.3918302549892</v>
      </c>
      <c r="AO72" s="59">
        <f t="shared" si="90"/>
        <v>102.61932145411976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26.884931329821995</v>
      </c>
      <c r="AV72" s="21">
        <f>EXP(-LN(2)/25)*AV71+(1-EXP(-LN(2)/25))/(LN(2)/25)*Calculateur!AQ72*Calculateur!AS72*VLOOKUP('Données projet'!$B$10,Paramètres!$A$1:$I$89,3,0)*0.475*44/12</f>
        <v>14.392421567512105</v>
      </c>
      <c r="AW72" s="21">
        <f>EXP(-LN(2)/2)*AW71+(1-EXP(-LN(2)/2))/(LN(2)/2)*AQ72*AT72*VLOOKUP('Données projet'!$B$10,Paramètres!$A$1:$I$89,3,0)*0.475*44/12</f>
        <v>0.60277549378681217</v>
      </c>
      <c r="AX72" s="21">
        <f t="shared" si="60"/>
        <v>41.880128391120913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2.6923076923076907</v>
      </c>
      <c r="BD72" s="12">
        <f>IF('Données projet'!$A$88&gt;35,BD71+BC72-BL71,IF(A72&lt;'Données projet'!$A$88,$BA$205^A72,IF(A72='Données projet'!$A$88,'Données projet'!$B$88,BD71+BC72-BL71)))</f>
        <v>126.15384615384608</v>
      </c>
      <c r="BE72" s="13">
        <f>BD72*VLOOKUP('Données projet'!$B$11,Paramètres!$A$1:$I$89,3,0)*VLOOKUP('Données projet'!$B$11,Paramètres!$A$1:$I$89,5,0)</f>
        <v>110.20799999999994</v>
      </c>
      <c r="BF72" s="13">
        <f t="shared" si="91"/>
        <v>29.379985605489026</v>
      </c>
      <c r="BG72" s="20">
        <f t="shared" si="61"/>
        <v>243.1157415962266</v>
      </c>
      <c r="BH72" s="59">
        <f t="shared" si="62"/>
        <v>536.44907492955986</v>
      </c>
      <c r="BI72" s="59">
        <f ca="1">AVERAGE(OFFSET($BH$3,0,0,'Données projet'!$E$11+1,1))-AVERAGE(OFFSET($H$3,0,0,'Données projet'!$E$11+1,1))</f>
        <v>112.66486935566058</v>
      </c>
      <c r="BJ72" s="59">
        <f t="shared" si="92"/>
        <v>110.84860075828624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0.36888536364150404</v>
      </c>
      <c r="BQ72" s="21">
        <f>EXP(-LN(2)/25)*BQ71+(1-EXP(-LN(2)/25))/(LN(2)/25)*Calculateur!BL72*Calculateur!BN72*VLOOKUP('Données projet'!$B$11,Paramètres!$A$1:$I$89,3,0)*0.475*44/12</f>
        <v>12.516049965963292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12.884935329604795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586.86</v>
      </c>
      <c r="L73" s="12">
        <f>VLOOKUP(A73,'Données projet'!$A$35:$I$55,9,0)</f>
        <v>16.682857142857149</v>
      </c>
      <c r="M73" s="12">
        <f t="array" ref="M73">INDEX(L:L,MIN(IF(ISNUMBER(L73:L269),ROW(L73:L269),"")))</f>
        <v>16.682857142857149</v>
      </c>
      <c r="N73" s="13">
        <f>IF('Données projet'!$A$36&gt;35,N72+M73-V72,IF(A73&lt;'Données projet'!$A$36,$K$205^A73,IF(A73='Données projet'!$A$36,'Données projet'!$B$36,N72+M73-V72)))</f>
        <v>586.86000000000058</v>
      </c>
      <c r="O73" s="13">
        <f>N73*VLOOKUP('Données projet'!$B$9,Paramètres!$A$1:$I$89,3,0)*VLOOKUP('Données projet'!$B$9,Paramètres!$A$1:$I$89,5,0)</f>
        <v>328.05474000000032</v>
      </c>
      <c r="P73" s="13">
        <f t="shared" si="87"/>
        <v>77.026866477102189</v>
      </c>
      <c r="Q73" s="20">
        <f t="shared" si="54"/>
        <v>705.51713128095355</v>
      </c>
      <c r="R73" s="59">
        <f t="shared" si="55"/>
        <v>998.85046461428692</v>
      </c>
      <c r="S73" s="59">
        <f ca="1">AVERAGE(OFFSET($R$3,0,0,'Données projet'!$E$9+1,1))-AVERAGE(OFFSET($H$3,0,0,'Données projet'!$E$9+1,1))</f>
        <v>314.07001555875894</v>
      </c>
      <c r="T73" s="59">
        <f t="shared" si="88"/>
        <v>281.53154885904991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586.86</v>
      </c>
      <c r="W73" s="16">
        <f>IF(ISNA(VLOOKUP(A73,'Données projet'!$A$35:$I$55,5,0)),0%,VLOOKUP(A73,'Données projet'!$A$35:$I$55,5,0)*VLOOKUP('Données projet'!$B$9,Paramètres!$A$1:$I$89,7,0))</f>
        <v>0.33</v>
      </c>
      <c r="X73" s="16">
        <f>IF(ISNA(VLOOKUP(A73,'Données projet'!$A$35:$I$55,6,0)),0%,VLOOKUP(A73,'Données projet'!$A$35:$I$55,6,0)*VLOOKUP('Données projet'!$B$9,Paramètres!$A$1:$I$89,7,0))</f>
        <v>0.11000000000000001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230.74871773837151</v>
      </c>
      <c r="AA73" s="21">
        <f>EXP(-LN(2)/25)*AA72+(1-EXP(-LN(2)/25))/(LN(2)/25)*Calculateur!V73*Calculateur!X73*VLOOKUP('Données projet'!$B$9,Paramètres!$A$1:$I$89,3,0)*0.475*44/12</f>
        <v>76.757345229402674</v>
      </c>
      <c r="AB73" s="21">
        <f>EXP(-LN(2)/2)*AB72+(1-EXP(-LN(2)/2))/(LN(2)/2)*V73*Y73*VLOOKUP('Données projet'!$B$9,Paramètres!$A$1:$I$89,3,0)*0.475*44/12</f>
        <v>75.505524322819824</v>
      </c>
      <c r="AC73" s="22">
        <f t="shared" si="57"/>
        <v>383.01158729059404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10.513</v>
      </c>
      <c r="AI73" s="13">
        <f>IF('Données projet'!$A$62&gt;35,AI72+AH73-AQ72,IF(A73&lt;'Données projet'!$A$62,$AF$205^A73,IF(A73='Données projet'!$A$62,'Données projet'!$B$62,AI72+AH73-AQ72)))</f>
        <v>431.3239999999999</v>
      </c>
      <c r="AJ73" s="13">
        <f>AI73*VLOOKUP('Données projet'!$B$10,Paramètres!$A$1:$I$89,3,0)*VLOOKUP('Données projet'!$B$10,Paramètres!$A$1:$I$89,5,0)</f>
        <v>190.64520799999997</v>
      </c>
      <c r="AK73" s="13">
        <f t="shared" si="89"/>
        <v>47.682571022540429</v>
      </c>
      <c r="AL73" s="20">
        <f t="shared" si="58"/>
        <v>415.08754846425785</v>
      </c>
      <c r="AM73" s="59">
        <f t="shared" si="59"/>
        <v>708.42088179759116</v>
      </c>
      <c r="AN73" s="59">
        <f ca="1">AVERAGE(OFFSET($AM$3,0,0,'Données projet'!$E$10+1,1))-AVERAGE(OFFSET($H$3,0,0,'Données projet'!$E$10+1,1))</f>
        <v>218.3918302549892</v>
      </c>
      <c r="AO73" s="59">
        <f t="shared" si="90"/>
        <v>102.61932145411976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26.357734224633109</v>
      </c>
      <c r="AV73" s="21">
        <f>EXP(-LN(2)/25)*AV72+(1-EXP(-LN(2)/25))/(LN(2)/25)*Calculateur!AQ73*Calculateur!AS73*VLOOKUP('Données projet'!$B$10,Paramètres!$A$1:$I$89,3,0)*0.475*44/12</f>
        <v>13.998860042883932</v>
      </c>
      <c r="AW73" s="21">
        <f>EXP(-LN(2)/2)*AW72+(1-EXP(-LN(2)/2))/(LN(2)/2)*AQ73*AT73*VLOOKUP('Données projet'!$B$10,Paramètres!$A$1:$I$89,3,0)*0.475*44/12</f>
        <v>0.42622663918972453</v>
      </c>
      <c r="AX73" s="21">
        <f t="shared" si="60"/>
        <v>40.78282090670676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128.84615384615384</v>
      </c>
      <c r="BB73" s="12">
        <f>VLOOKUP(A73,'Données projet'!$A$87:$I$107,9,0)</f>
        <v>2.6923076923076907</v>
      </c>
      <c r="BC73" s="12">
        <f t="array" ref="BC73">INDEX(BB:BB,MIN(IF(ISNUMBER(BB73:BB269),ROW(BB73:BB269),"")))</f>
        <v>2.6923076923076907</v>
      </c>
      <c r="BD73" s="12">
        <f>IF('Données projet'!$A$88&gt;35,BD72+BC73-BL72,IF(A73&lt;'Données projet'!$A$88,$BA$205^A73,IF(A73='Données projet'!$A$88,'Données projet'!$B$88,BD72+BC73-BL72)))</f>
        <v>128.84615384615375</v>
      </c>
      <c r="BE73" s="13">
        <f>BD73*VLOOKUP('Données projet'!$B$11,Paramètres!$A$1:$I$89,3,0)*VLOOKUP('Données projet'!$B$11,Paramètres!$A$1:$I$89,5,0)</f>
        <v>112.55999999999993</v>
      </c>
      <c r="BF73" s="13">
        <f t="shared" si="91"/>
        <v>29.933330570949398</v>
      </c>
      <c r="BG73" s="20">
        <f t="shared" si="61"/>
        <v>248.17588407773675</v>
      </c>
      <c r="BH73" s="59">
        <f t="shared" si="62"/>
        <v>541.50921741107004</v>
      </c>
      <c r="BI73" s="59">
        <f ca="1">AVERAGE(OFFSET($BH$3,0,0,'Données projet'!$E$11+1,1))-AVERAGE(OFFSET($H$3,0,0,'Données projet'!$E$11+1,1))</f>
        <v>112.66486935566058</v>
      </c>
      <c r="BJ73" s="59">
        <f t="shared" si="92"/>
        <v>110.84860075828624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8.9743589743589745</v>
      </c>
      <c r="BM73" s="16">
        <f>IF(ISNA(VLOOKUP(A73,'Données projet'!$A$87:$I$107,5,0)),0%,VLOOKUP(A73,'Données projet'!$A$87:$I$107,5,0)*VLOOKUP('Données projet'!$B$11,Paramètres!$A$1:$I$89,7,0))</f>
        <v>4.3000000000000003E-2</v>
      </c>
      <c r="BN73" s="16">
        <f>IF(ISNA(VLOOKUP(A73,'Données projet'!$A$87:$I$107,6,0)),0%,VLOOKUP(A73,'Données projet'!$A$87:$I$107,6,0)*VLOOKUP('Données projet'!$B$11,Paramètres!$A$1:$I$89,7,0))</f>
        <v>0.215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0.73432792100649746</v>
      </c>
      <c r="BQ73" s="21">
        <f>EXP(-LN(2)/25)*BQ72+(1-EXP(-LN(2)/25))/(LN(2)/25)*Calculateur!BL73*Calculateur!BN73*VLOOKUP('Données projet'!$B$11,Paramètres!$A$1:$I$89,3,0)*0.475*44/12</f>
        <v>14.029841952698487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14.764169873704985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5.6843418860808015E-13</v>
      </c>
      <c r="O74" s="13">
        <f>N74*VLOOKUP('Données projet'!$B$9,Paramètres!$A$1:$I$89,3,0)*VLOOKUP('Données projet'!$B$9,Paramètres!$A$1:$I$89,5,0)</f>
        <v>3.177547114319168E-13</v>
      </c>
      <c r="P74" s="13">
        <f t="shared" si="87"/>
        <v>4.1725404435445377E-12</v>
      </c>
      <c r="Q74" s="20">
        <f t="shared" si="54"/>
        <v>7.820597394917325E-12</v>
      </c>
      <c r="R74" s="59">
        <f t="shared" si="55"/>
        <v>293.33333333334116</v>
      </c>
      <c r="S74" s="59">
        <f ca="1">AVERAGE(OFFSET($R$3,0,0,'Données projet'!$E$9+1,1))-AVERAGE(OFFSET($H$3,0,0,'Données projet'!$E$9+1,1))</f>
        <v>314.07001555875894</v>
      </c>
      <c r="T74" s="59">
        <f t="shared" si="88"/>
        <v>281.53154885904991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226.22387612634267</v>
      </c>
      <c r="AA74" s="21">
        <f>EXP(-LN(2)/25)*AA73+(1-EXP(-LN(2)/25))/(LN(2)/25)*Calculateur!V74*Calculateur!X74*VLOOKUP('Données projet'!$B$9,Paramètres!$A$1:$I$89,3,0)*0.475*44/12</f>
        <v>74.658411587611297</v>
      </c>
      <c r="AB74" s="21">
        <f>EXP(-LN(2)/2)*AB73+(1-EXP(-LN(2)/2))/(LN(2)/2)*V74*Y74*VLOOKUP('Données projet'!$B$9,Paramètres!$A$1:$I$89,3,0)*0.475*44/12</f>
        <v>53.390468265711704</v>
      </c>
      <c r="AC74" s="22">
        <f t="shared" si="57"/>
        <v>354.2727559796657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10.513</v>
      </c>
      <c r="AI74" s="13">
        <f>IF('Données projet'!$A$62&gt;35,AI73+AH74-AQ73,IF(A74&lt;'Données projet'!$A$62,$AF$205^A74,IF(A74='Données projet'!$A$62,'Données projet'!$B$62,AI73+AH74-AQ73)))</f>
        <v>441.83699999999988</v>
      </c>
      <c r="AJ74" s="13">
        <f>AI74*VLOOKUP('Données projet'!$B$10,Paramètres!$A$1:$I$89,3,0)*VLOOKUP('Données projet'!$B$10,Paramètres!$A$1:$I$89,5,0)</f>
        <v>195.29195399999998</v>
      </c>
      <c r="AK74" s="13">
        <f t="shared" si="89"/>
        <v>48.708051575331226</v>
      </c>
      <c r="AL74" s="20">
        <f t="shared" si="58"/>
        <v>424.96667637703518</v>
      </c>
      <c r="AM74" s="59">
        <f t="shared" si="59"/>
        <v>718.3000097103685</v>
      </c>
      <c r="AN74" s="59">
        <f ca="1">AVERAGE(OFFSET($AM$3,0,0,'Données projet'!$E$10+1,1))-AVERAGE(OFFSET($H$3,0,0,'Données projet'!$E$10+1,1))</f>
        <v>218.3918302549892</v>
      </c>
      <c r="AO74" s="59">
        <f t="shared" si="90"/>
        <v>102.61932145411976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25.840875133118494</v>
      </c>
      <c r="AV74" s="21">
        <f>EXP(-LN(2)/25)*AV73+(1-EXP(-LN(2)/25))/(LN(2)/25)*Calculateur!AQ74*Calculateur!AS74*VLOOKUP('Données projet'!$B$10,Paramètres!$A$1:$I$89,3,0)*0.475*44/12</f>
        <v>13.616060478843215</v>
      </c>
      <c r="AW74" s="21">
        <f>EXP(-LN(2)/2)*AW73+(1-EXP(-LN(2)/2))/(LN(2)/2)*AQ74*AT74*VLOOKUP('Données projet'!$B$10,Paramètres!$A$1:$I$89,3,0)*0.475*44/12</f>
        <v>0.30138774689340608</v>
      </c>
      <c r="AX74" s="21">
        <f t="shared" si="60"/>
        <v>39.758323358855115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2.1794871794871766</v>
      </c>
      <c r="BD74" s="12">
        <f>IF('Données projet'!$A$88&gt;35,BD73+BC74-BL73,IF(A74&lt;'Données projet'!$A$88,$BA$205^A74,IF(A74='Données projet'!$A$88,'Données projet'!$B$88,BD73+BC74-BL73)))</f>
        <v>122.05128205128196</v>
      </c>
      <c r="BE74" s="13">
        <f>BD74*VLOOKUP('Données projet'!$B$11,Paramètres!$A$1:$I$89,3,0)*VLOOKUP('Données projet'!$B$11,Paramètres!$A$1:$I$89,5,0)</f>
        <v>106.62399999999994</v>
      </c>
      <c r="BF74" s="13">
        <f t="shared" si="91"/>
        <v>28.534135371802059</v>
      </c>
      <c r="BG74" s="20">
        <f t="shared" si="61"/>
        <v>235.40041910588843</v>
      </c>
      <c r="BH74" s="59">
        <f t="shared" si="62"/>
        <v>528.73375243922169</v>
      </c>
      <c r="BI74" s="59">
        <f ca="1">AVERAGE(OFFSET($BH$3,0,0,'Données projet'!$E$11+1,1))-AVERAGE(OFFSET($H$3,0,0,'Données projet'!$E$11+1,1))</f>
        <v>112.66486935566058</v>
      </c>
      <c r="BJ74" s="59">
        <f t="shared" si="92"/>
        <v>110.84860075828624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0.71992819837136579</v>
      </c>
      <c r="BQ74" s="21">
        <f>EXP(-LN(2)/25)*BQ73+(1-EXP(-LN(2)/25))/(LN(2)/25)*Calculateur!BL74*Calculateur!BN74*VLOOKUP('Données projet'!$B$11,Paramètres!$A$1:$I$89,3,0)*0.475*44/12</f>
        <v>13.646195186704624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14.366123385075989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5.6843418860808015E-13</v>
      </c>
      <c r="O75" s="13">
        <f>N75*VLOOKUP('Données projet'!$B$9,Paramètres!$A$1:$I$89,3,0)*VLOOKUP('Données projet'!$B$9,Paramètres!$A$1:$I$89,5,0)</f>
        <v>3.177547114319168E-13</v>
      </c>
      <c r="P75" s="13">
        <f t="shared" si="87"/>
        <v>4.1725404435445377E-12</v>
      </c>
      <c r="Q75" s="20">
        <f t="shared" si="54"/>
        <v>7.820597394917325E-12</v>
      </c>
      <c r="R75" s="59">
        <f t="shared" si="55"/>
        <v>293.33333333334116</v>
      </c>
      <c r="S75" s="59">
        <f ca="1">AVERAGE(OFFSET($R$3,0,0,'Données projet'!$E$9+1,1))-AVERAGE(OFFSET($H$3,0,0,'Données projet'!$E$9+1,1))</f>
        <v>314.07001555875894</v>
      </c>
      <c r="T75" s="59">
        <f t="shared" si="88"/>
        <v>281.53154885904991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221.78776389844484</v>
      </c>
      <c r="AA75" s="21">
        <f>EXP(-LN(2)/25)*AA74+(1-EXP(-LN(2)/25))/(LN(2)/25)*Calculateur!V75*Calculateur!X75*VLOOKUP('Données projet'!$B$9,Paramètres!$A$1:$I$89,3,0)*0.475*44/12</f>
        <v>72.61687339663284</v>
      </c>
      <c r="AB75" s="21">
        <f>EXP(-LN(2)/2)*AB74+(1-EXP(-LN(2)/2))/(LN(2)/2)*V75*Y75*VLOOKUP('Données projet'!$B$9,Paramètres!$A$1:$I$89,3,0)*0.475*44/12</f>
        <v>37.752762161409919</v>
      </c>
      <c r="AC75" s="22">
        <f t="shared" si="57"/>
        <v>332.15739945648761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452.35</v>
      </c>
      <c r="AG75" s="12">
        <f>VLOOKUP(A75,'Données projet'!$A$61:$I$81,9,0)</f>
        <v>10.513</v>
      </c>
      <c r="AH75" s="12">
        <f t="array" ref="AH75">INDEX(AG:AG,MIN(IF(ISNUMBER(AG75:AG271),ROW(AG75:AG271),"")))</f>
        <v>10.513</v>
      </c>
      <c r="AI75" s="13">
        <f>IF('Données projet'!$A$62&gt;35,AI74+AH75-AQ74,IF(A75&lt;'Données projet'!$A$62,$AF$205^A75,IF(A75='Données projet'!$A$62,'Données projet'!$B$62,AI74+AH75-AQ74)))</f>
        <v>452.34999999999985</v>
      </c>
      <c r="AJ75" s="13">
        <f>AI75*VLOOKUP('Données projet'!$B$10,Paramètres!$A$1:$I$89,3,0)*VLOOKUP('Données projet'!$B$10,Paramètres!$A$1:$I$89,5,0)</f>
        <v>199.93869999999995</v>
      </c>
      <c r="AK75" s="13">
        <f t="shared" si="89"/>
        <v>49.730695600406683</v>
      </c>
      <c r="AL75" s="20">
        <f t="shared" si="58"/>
        <v>434.84086400404158</v>
      </c>
      <c r="AM75" s="59">
        <f t="shared" si="59"/>
        <v>728.17419733737484</v>
      </c>
      <c r="AN75" s="59">
        <f ca="1">AVERAGE(OFFSET($AM$3,0,0,'Données projet'!$E$10+1,1))-AVERAGE(OFFSET($H$3,0,0,'Données projet'!$E$10+1,1))</f>
        <v>218.3918302549892</v>
      </c>
      <c r="AO75" s="59">
        <f t="shared" si="90"/>
        <v>102.61932145411976</v>
      </c>
      <c r="AP75" s="15">
        <f>IF(ISNA(VLOOKUP(A75,'Données projet'!$A$61:$I$81,3,0)),0,VLOOKUP(A75,'Données projet'!$A$61:$I$81,3,0))</f>
        <v>5</v>
      </c>
      <c r="AQ75" s="15">
        <f>IF(ISNA(VLOOKUP(A75,'Données projet'!$A$61:$I$81,4,0)),0,VLOOKUP(A75,'Données projet'!$A$61:$I$81,4,0))</f>
        <v>64.210000000000036</v>
      </c>
      <c r="AR75" s="16">
        <f>IF(ISNA(VLOOKUP(A75,'Données projet'!$A$61:$I$81,5,0)),0%,VLOOKUP(A75,'Données projet'!$A$61:$I$81,5,0)*VLOOKUP('Données projet'!$B$10,Paramètres!$A$1:$I$89,7,0))</f>
        <v>0.33</v>
      </c>
      <c r="AS75" s="16">
        <f>IF(ISNA(VLOOKUP(A75,'Données projet'!$A$61:$I$81,6,0)),0%,VLOOKUP(A75,'Données projet'!$A$61:$I$81,6,0)*VLOOKUP('Données projet'!$B$10,Paramètres!$A$1:$I$89,7,0))</f>
        <v>0.11000000000000001</v>
      </c>
      <c r="AT75" s="16">
        <f>IF(ISNA(VLOOKUP(A75,'Données projet'!$A$61:$I$81,7,0)),0%,VLOOKUP(A75,'Données projet'!$A$61:$I$81,7,0))</f>
        <v>0.2</v>
      </c>
      <c r="AU75" s="21">
        <f>EXP(-LN(2)/35)*AU74+(1-EXP(-LN(2)/35))/(LN(2)/35)*AQ75*AR75*VLOOKUP('Données projet'!$B$10,Paramètres!$A$1:$I$89,3,0)*0.475*44/12</f>
        <v>37.758317052450685</v>
      </c>
      <c r="AV75" s="21">
        <f>EXP(-LN(2)/25)*AV74+(1-EXP(-LN(2)/25))/(LN(2)/25)*Calculateur!AQ75*Calculateur!AS75*VLOOKUP('Données projet'!$B$10,Paramètres!$A$1:$I$89,3,0)*0.475*44/12</f>
        <v>17.368810937311714</v>
      </c>
      <c r="AW75" s="21">
        <f>EXP(-LN(2)/2)*AW74+(1-EXP(-LN(2)/2))/(LN(2)/2)*AQ75*AT75*VLOOKUP('Données projet'!$B$10,Paramètres!$A$1:$I$89,3,0)*0.475*44/12</f>
        <v>6.639849526451882</v>
      </c>
      <c r="AX75" s="21">
        <f t="shared" si="60"/>
        <v>61.766977516214283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2.1794871794871766</v>
      </c>
      <c r="BD75" s="12">
        <f>IF('Données projet'!$A$88&gt;35,BD74+BC75-BL74,IF(A75&lt;'Données projet'!$A$88,$BA$205^A75,IF(A75='Données projet'!$A$88,'Données projet'!$B$88,BD74+BC75-BL74)))</f>
        <v>124.23076923076914</v>
      </c>
      <c r="BE75" s="13">
        <f>BD75*VLOOKUP('Données projet'!$B$11,Paramètres!$A$1:$I$89,3,0)*VLOOKUP('Données projet'!$B$11,Paramètres!$A$1:$I$89,5,0)</f>
        <v>108.52799999999993</v>
      </c>
      <c r="BF75" s="13">
        <f t="shared" si="91"/>
        <v>28.983898429855078</v>
      </c>
      <c r="BG75" s="20">
        <f t="shared" si="61"/>
        <v>239.49988976533083</v>
      </c>
      <c r="BH75" s="59">
        <f t="shared" si="62"/>
        <v>532.83322309866412</v>
      </c>
      <c r="BI75" s="59">
        <f ca="1">AVERAGE(OFFSET($BH$3,0,0,'Données projet'!$E$11+1,1))-AVERAGE(OFFSET($H$3,0,0,'Données projet'!$E$11+1,1))</f>
        <v>112.66486935566058</v>
      </c>
      <c r="BJ75" s="59">
        <f t="shared" si="92"/>
        <v>110.84860075828624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0.70581084551414552</v>
      </c>
      <c r="BQ75" s="21">
        <f>EXP(-LN(2)/25)*BQ74+(1-EXP(-LN(2)/25))/(LN(2)/25)*Calculateur!BL75*Calculateur!BN75*VLOOKUP('Données projet'!$B$11,Paramètres!$A$1:$I$89,3,0)*0.475*44/12</f>
        <v>13.273039261701969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13.978850107216115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5.6843418860808015E-13</v>
      </c>
      <c r="O76" s="13">
        <f>N76*VLOOKUP('Données projet'!$B$9,Paramètres!$A$1:$I$89,3,0)*VLOOKUP('Données projet'!$B$9,Paramètres!$A$1:$I$89,5,0)</f>
        <v>3.177547114319168E-13</v>
      </c>
      <c r="P76" s="13">
        <f t="shared" si="87"/>
        <v>4.1725404435445377E-12</v>
      </c>
      <c r="Q76" s="20">
        <f t="shared" si="54"/>
        <v>7.820597394917325E-12</v>
      </c>
      <c r="R76" s="59">
        <f t="shared" si="55"/>
        <v>293.33333333334116</v>
      </c>
      <c r="S76" s="59">
        <f ca="1">AVERAGE(OFFSET($R$3,0,0,'Données projet'!$E$9+1,1))-AVERAGE(OFFSET($H$3,0,0,'Données projet'!$E$9+1,1))</f>
        <v>314.07001555875894</v>
      </c>
      <c r="T76" s="59">
        <f t="shared" si="88"/>
        <v>281.53154885904991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217.4386411255748</v>
      </c>
      <c r="AA76" s="21">
        <f>EXP(-LN(2)/25)*AA75+(1-EXP(-LN(2)/25))/(LN(2)/25)*Calculateur!V76*Calculateur!X76*VLOOKUP('Données projet'!$B$9,Paramètres!$A$1:$I$89,3,0)*0.475*44/12</f>
        <v>70.631161174846511</v>
      </c>
      <c r="AB76" s="21">
        <f>EXP(-LN(2)/2)*AB75+(1-EXP(-LN(2)/2))/(LN(2)/2)*V76*Y76*VLOOKUP('Données projet'!$B$9,Paramètres!$A$1:$I$89,3,0)*0.475*44/12</f>
        <v>26.695234132855855</v>
      </c>
      <c r="AC76" s="22">
        <f t="shared" si="57"/>
        <v>314.76503643327715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8.8608333333333373</v>
      </c>
      <c r="AI76" s="13">
        <f>IF('Données projet'!$A$62&gt;35,AI75+AH76-AQ75,IF(A76&lt;'Données projet'!$A$62,$AF$205^A76,IF(A76='Données projet'!$A$62,'Données projet'!$B$62,AI75+AH76-AQ75)))</f>
        <v>397.00083333333316</v>
      </c>
      <c r="AJ76" s="13">
        <f>AI76*VLOOKUP('Données projet'!$B$10,Paramètres!$A$1:$I$89,3,0)*VLOOKUP('Données projet'!$B$10,Paramètres!$A$1:$I$89,5,0)</f>
        <v>175.47436833333327</v>
      </c>
      <c r="AK76" s="13">
        <f t="shared" si="89"/>
        <v>44.313829189327251</v>
      </c>
      <c r="AL76" s="20">
        <f t="shared" si="58"/>
        <v>382.79777735196711</v>
      </c>
      <c r="AM76" s="59">
        <f t="shared" si="59"/>
        <v>676.13111068530043</v>
      </c>
      <c r="AN76" s="59">
        <f ca="1">AVERAGE(OFFSET($AM$3,0,0,'Données projet'!$E$10+1,1))-AVERAGE(OFFSET($H$3,0,0,'Données projet'!$E$10+1,1))</f>
        <v>218.3918302549892</v>
      </c>
      <c r="AO76" s="59">
        <f t="shared" si="90"/>
        <v>102.61932145411976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37.017899485351478</v>
      </c>
      <c r="AV76" s="21">
        <f>EXP(-LN(2)/25)*AV75+(1-EXP(-LN(2)/25))/(LN(2)/25)*Calculateur!AQ76*Calculateur!AS76*VLOOKUP('Données projet'!$B$10,Paramètres!$A$1:$I$89,3,0)*0.475*44/12</f>
        <v>16.893859888844855</v>
      </c>
      <c r="AW76" s="21">
        <f>EXP(-LN(2)/2)*AW75+(1-EXP(-LN(2)/2))/(LN(2)/2)*AQ76*AT76*VLOOKUP('Données projet'!$B$10,Paramètres!$A$1:$I$89,3,0)*0.475*44/12</f>
        <v>4.6950826262124128</v>
      </c>
      <c r="AX76" s="21">
        <f t="shared" si="60"/>
        <v>58.606842000408747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2.1794871794871766</v>
      </c>
      <c r="BD76" s="12">
        <f>IF('Données projet'!$A$88&gt;35,BD75+BC76-BL75,IF(A76&lt;'Données projet'!$A$88,$BA$205^A76,IF(A76='Données projet'!$A$88,'Données projet'!$B$88,BD75+BC76-BL75)))</f>
        <v>126.41025641025632</v>
      </c>
      <c r="BE76" s="13">
        <f>BD76*VLOOKUP('Données projet'!$B$11,Paramètres!$A$1:$I$89,3,0)*VLOOKUP('Données projet'!$B$11,Paramètres!$A$1:$I$89,5,0)</f>
        <v>110.43199999999995</v>
      </c>
      <c r="BF76" s="13">
        <f t="shared" si="91"/>
        <v>29.432743911799658</v>
      </c>
      <c r="BG76" s="20">
        <f t="shared" si="61"/>
        <v>243.59776231305094</v>
      </c>
      <c r="BH76" s="59">
        <f t="shared" si="62"/>
        <v>536.93109564638428</v>
      </c>
      <c r="BI76" s="59">
        <f ca="1">AVERAGE(OFFSET($BH$3,0,0,'Données projet'!$E$11+1,1))-AVERAGE(OFFSET($H$3,0,0,'Données projet'!$E$11+1,1))</f>
        <v>112.66486935566058</v>
      </c>
      <c r="BJ76" s="59">
        <f t="shared" si="92"/>
        <v>110.84860075828624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0.69197032533572034</v>
      </c>
      <c r="BQ76" s="21">
        <f>EXP(-LN(2)/25)*BQ75+(1-EXP(-LN(2)/25))/(LN(2)/25)*Calculateur!BL76*Calculateur!BN76*VLOOKUP('Données projet'!$B$11,Paramètres!$A$1:$I$89,3,0)*0.475*44/12</f>
        <v>12.910087305091929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13.60205763042765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5.6843418860808015E-13</v>
      </c>
      <c r="O77" s="13">
        <f>N77*VLOOKUP('Données projet'!$B$9,Paramètres!$A$1:$I$89,3,0)*VLOOKUP('Données projet'!$B$9,Paramètres!$A$1:$I$89,5,0)</f>
        <v>3.177547114319168E-13</v>
      </c>
      <c r="P77" s="13">
        <f t="shared" si="87"/>
        <v>4.1725404435445377E-12</v>
      </c>
      <c r="Q77" s="20">
        <f t="shared" si="54"/>
        <v>7.820597394917325E-12</v>
      </c>
      <c r="R77" s="59">
        <f t="shared" si="55"/>
        <v>293.33333333334116</v>
      </c>
      <c r="S77" s="59">
        <f ca="1">AVERAGE(OFFSET($R$3,0,0,'Données projet'!$E$9+1,1))-AVERAGE(OFFSET($H$3,0,0,'Données projet'!$E$9+1,1))</f>
        <v>314.07001555875894</v>
      </c>
      <c r="T77" s="59">
        <f t="shared" si="88"/>
        <v>281.53154885904991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213.17480199757779</v>
      </c>
      <c r="AA77" s="21">
        <f>EXP(-LN(2)/25)*AA76+(1-EXP(-LN(2)/25))/(LN(2)/25)*Calculateur!V77*Calculateur!X77*VLOOKUP('Données projet'!$B$9,Paramètres!$A$1:$I$89,3,0)*0.475*44/12</f>
        <v>68.699748358188998</v>
      </c>
      <c r="AB77" s="21">
        <f>EXP(-LN(2)/2)*AB76+(1-EXP(-LN(2)/2))/(LN(2)/2)*V77*Y77*VLOOKUP('Données projet'!$B$9,Paramètres!$A$1:$I$89,3,0)*0.475*44/12</f>
        <v>18.876381080704963</v>
      </c>
      <c r="AC77" s="22">
        <f t="shared" si="57"/>
        <v>300.75093143647177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8.8608333333333373</v>
      </c>
      <c r="AI77" s="13">
        <f>IF('Données projet'!$A$62&gt;35,AI76+AH77-AQ76,IF(A77&lt;'Données projet'!$A$62,$AF$205^A77,IF(A77='Données projet'!$A$62,'Données projet'!$B$62,AI76+AH77-AQ76)))</f>
        <v>405.86166666666651</v>
      </c>
      <c r="AJ77" s="13">
        <f>AI77*VLOOKUP('Données projet'!$B$10,Paramètres!$A$1:$I$89,3,0)*VLOOKUP('Données projet'!$B$10,Paramètres!$A$1:$I$89,5,0)</f>
        <v>179.39085666666662</v>
      </c>
      <c r="AK77" s="13">
        <f t="shared" si="89"/>
        <v>45.186636271874441</v>
      </c>
      <c r="AL77" s="20">
        <f t="shared" si="58"/>
        <v>391.13913353462567</v>
      </c>
      <c r="AM77" s="59">
        <f t="shared" si="59"/>
        <v>684.47246686795893</v>
      </c>
      <c r="AN77" s="59">
        <f ca="1">AVERAGE(OFFSET($AM$3,0,0,'Données projet'!$E$10+1,1))-AVERAGE(OFFSET($H$3,0,0,'Données projet'!$E$10+1,1))</f>
        <v>218.3918302549892</v>
      </c>
      <c r="AO77" s="59">
        <f t="shared" si="90"/>
        <v>102.61932145411976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36.292001055132964</v>
      </c>
      <c r="AV77" s="21">
        <f>EXP(-LN(2)/25)*AV76+(1-EXP(-LN(2)/25))/(LN(2)/25)*Calculateur!AQ77*Calculateur!AS77*VLOOKUP('Données projet'!$B$10,Paramètres!$A$1:$I$89,3,0)*0.475*44/12</f>
        <v>16.43189640177491</v>
      </c>
      <c r="AW77" s="21">
        <f>EXP(-LN(2)/2)*AW76+(1-EXP(-LN(2)/2))/(LN(2)/2)*AQ77*AT77*VLOOKUP('Données projet'!$B$10,Paramètres!$A$1:$I$89,3,0)*0.475*44/12</f>
        <v>3.3199247632259419</v>
      </c>
      <c r="AX77" s="21">
        <f t="shared" si="60"/>
        <v>56.043822220133819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2.1794871794871766</v>
      </c>
      <c r="BD77" s="12">
        <f>IF('Données projet'!$A$88&gt;35,BD76+BC77-BL76,IF(A77&lt;'Données projet'!$A$88,$BA$205^A77,IF(A77='Données projet'!$A$88,'Données projet'!$B$88,BD76+BC77-BL76)))</f>
        <v>128.58974358974351</v>
      </c>
      <c r="BE77" s="13">
        <f>BD77*VLOOKUP('Données projet'!$B$11,Paramètres!$A$1:$I$89,3,0)*VLOOKUP('Données projet'!$B$11,Paramètres!$A$1:$I$89,5,0)</f>
        <v>112.33599999999994</v>
      </c>
      <c r="BF77" s="13">
        <f t="shared" si="91"/>
        <v>29.880689463445172</v>
      </c>
      <c r="BG77" s="20">
        <f t="shared" si="61"/>
        <v>247.69406748216684</v>
      </c>
      <c r="BH77" s="59">
        <f t="shared" si="62"/>
        <v>541.02740081550019</v>
      </c>
      <c r="BI77" s="59">
        <f ca="1">AVERAGE(OFFSET($BH$3,0,0,'Données projet'!$E$11+1,1))-AVERAGE(OFFSET($H$3,0,0,'Données projet'!$E$11+1,1))</f>
        <v>112.66486935566058</v>
      </c>
      <c r="BJ77" s="59">
        <f t="shared" si="92"/>
        <v>110.84860075828624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0.67840120931611037</v>
      </c>
      <c r="BQ77" s="21">
        <f>EXP(-LN(2)/25)*BQ76+(1-EXP(-LN(2)/25))/(LN(2)/25)*Calculateur!BL77*Calculateur!BN77*VLOOKUP('Données projet'!$B$11,Paramètres!$A$1:$I$89,3,0)*0.475*44/12</f>
        <v>12.557060288822205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13.235461498138315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5.6843418860808015E-13</v>
      </c>
      <c r="O78" s="13">
        <f>N78*VLOOKUP('Données projet'!$B$9,Paramètres!$A$1:$I$89,3,0)*VLOOKUP('Données projet'!$B$9,Paramètres!$A$1:$I$89,5,0)</f>
        <v>3.177547114319168E-13</v>
      </c>
      <c r="P78" s="13">
        <f t="shared" si="87"/>
        <v>4.1725404435445377E-12</v>
      </c>
      <c r="Q78" s="20">
        <f t="shared" si="54"/>
        <v>7.820597394917325E-12</v>
      </c>
      <c r="R78" s="59">
        <f t="shared" si="55"/>
        <v>293.33333333334116</v>
      </c>
      <c r="S78" s="59">
        <f ca="1">AVERAGE(OFFSET($R$3,0,0,'Données projet'!$E$9+1,1))-AVERAGE(OFFSET($H$3,0,0,'Données projet'!$E$9+1,1))</f>
        <v>314.07001555875894</v>
      </c>
      <c r="T78" s="59">
        <f t="shared" si="88"/>
        <v>281.53154885904991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208.99457415419573</v>
      </c>
      <c r="AA78" s="21">
        <f>EXP(-LN(2)/25)*AA77+(1-EXP(-LN(2)/25))/(LN(2)/25)*Calculateur!V78*Calculateur!X78*VLOOKUP('Données projet'!$B$9,Paramètres!$A$1:$I$89,3,0)*0.475*44/12</f>
        <v>66.821150126571567</v>
      </c>
      <c r="AB78" s="21">
        <f>EXP(-LN(2)/2)*AB77+(1-EXP(-LN(2)/2))/(LN(2)/2)*V78*Y78*VLOOKUP('Données projet'!$B$9,Paramètres!$A$1:$I$89,3,0)*0.475*44/12</f>
        <v>13.347617066427931</v>
      </c>
      <c r="AC78" s="22">
        <f t="shared" si="57"/>
        <v>289.16334134719523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8.8608333333333373</v>
      </c>
      <c r="AI78" s="13">
        <f>IF('Données projet'!$A$62&gt;35,AI77+AH78-AQ77,IF(A78&lt;'Données projet'!$A$62,$AF$205^A78,IF(A78='Données projet'!$A$62,'Données projet'!$B$62,AI77+AH78-AQ77)))</f>
        <v>414.72249999999985</v>
      </c>
      <c r="AJ78" s="13">
        <f>AI78*VLOOKUP('Données projet'!$B$10,Paramètres!$A$1:$I$89,3,0)*VLOOKUP('Données projet'!$B$10,Paramètres!$A$1:$I$89,5,0)</f>
        <v>183.30734499999997</v>
      </c>
      <c r="AK78" s="13">
        <f t="shared" si="89"/>
        <v>46.057227952479749</v>
      </c>
      <c r="AL78" s="20">
        <f t="shared" si="58"/>
        <v>399.47663122556878</v>
      </c>
      <c r="AM78" s="59">
        <f t="shared" si="59"/>
        <v>692.80996455890204</v>
      </c>
      <c r="AN78" s="59">
        <f ca="1">AVERAGE(OFFSET($AM$3,0,0,'Données projet'!$E$10+1,1))-AVERAGE(OFFSET($H$3,0,0,'Données projet'!$E$10+1,1))</f>
        <v>218.3918302549892</v>
      </c>
      <c r="AO78" s="59">
        <f t="shared" si="90"/>
        <v>102.61932145411976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35.580337050376706</v>
      </c>
      <c r="AV78" s="21">
        <f>EXP(-LN(2)/25)*AV77+(1-EXP(-LN(2)/25))/(LN(2)/25)*Calculateur!AQ78*Calculateur!AS78*VLOOKUP('Données projet'!$B$10,Paramètres!$A$1:$I$89,3,0)*0.475*44/12</f>
        <v>15.982565330552498</v>
      </c>
      <c r="AW78" s="21">
        <f>EXP(-LN(2)/2)*AW77+(1-EXP(-LN(2)/2))/(LN(2)/2)*AQ78*AT78*VLOOKUP('Données projet'!$B$10,Paramètres!$A$1:$I$89,3,0)*0.475*44/12</f>
        <v>2.3475413131062068</v>
      </c>
      <c r="AX78" s="21">
        <f t="shared" si="60"/>
        <v>53.910443694035408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130.76923076923075</v>
      </c>
      <c r="BB78" s="12">
        <f>VLOOKUP(A78,'Données projet'!$A$87:$I$107,9,0)</f>
        <v>2.1794871794871766</v>
      </c>
      <c r="BC78" s="12">
        <f t="array" ref="BC78">INDEX(BB:BB,MIN(IF(ISNUMBER(BB78:BB274),ROW(BB78:BB274),"")))</f>
        <v>2.1794871794871766</v>
      </c>
      <c r="BD78" s="12">
        <f>IF('Données projet'!$A$88&gt;35,BD77+BC78-BL77,IF(A78&lt;'Données projet'!$A$88,$BA$205^A78,IF(A78='Données projet'!$A$88,'Données projet'!$B$88,BD77+BC78-BL77)))</f>
        <v>130.76923076923069</v>
      </c>
      <c r="BE78" s="13">
        <f>BD78*VLOOKUP('Données projet'!$B$11,Paramètres!$A$1:$I$89,3,0)*VLOOKUP('Données projet'!$B$11,Paramètres!$A$1:$I$89,5,0)</f>
        <v>114.23999999999995</v>
      </c>
      <c r="BF78" s="13">
        <f t="shared" si="91"/>
        <v>30.327752098158388</v>
      </c>
      <c r="BG78" s="20">
        <f t="shared" si="61"/>
        <v>251.78883490429243</v>
      </c>
      <c r="BH78" s="59">
        <f t="shared" si="62"/>
        <v>545.12216823762571</v>
      </c>
      <c r="BI78" s="59">
        <f ca="1">AVERAGE(OFFSET($BH$3,0,0,'Données projet'!$E$11+1,1))-AVERAGE(OFFSET($H$3,0,0,'Données projet'!$E$11+1,1))</f>
        <v>112.66486935566058</v>
      </c>
      <c r="BJ78" s="59">
        <f t="shared" si="92"/>
        <v>110.84860075828624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7.6923076923076916</v>
      </c>
      <c r="BM78" s="16">
        <f>IF(ISNA(VLOOKUP(A78,'Données projet'!$A$87:$I$107,5,0)),0%,VLOOKUP(A78,'Données projet'!$A$87:$I$107,5,0)*VLOOKUP('Données projet'!$B$11,Paramètres!$A$1:$I$89,7,0))</f>
        <v>4.3000000000000003E-2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0.98453489625514257</v>
      </c>
      <c r="BQ78" s="21">
        <f>EXP(-LN(2)/25)*BQ77+(1-EXP(-LN(2)/25))/(LN(2)/25)*Calculateur!BL78*Calculateur!BN78*VLOOKUP('Données projet'!$B$11,Paramètres!$A$1:$I$89,3,0)*0.475*44/12</f>
        <v>13.804581698801481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14.789116595056624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5.6843418860808015E-13</v>
      </c>
      <c r="O79" s="13">
        <f>N79*VLOOKUP('Données projet'!$B$9,Paramètres!$A$1:$I$89,3,0)*VLOOKUP('Données projet'!$B$9,Paramètres!$A$1:$I$89,5,0)</f>
        <v>3.177547114319168E-13</v>
      </c>
      <c r="P79" s="13">
        <f t="shared" si="87"/>
        <v>4.1725404435445377E-12</v>
      </c>
      <c r="Q79" s="20">
        <f t="shared" si="54"/>
        <v>7.820597394917325E-12</v>
      </c>
      <c r="R79" s="59">
        <f t="shared" si="55"/>
        <v>293.33333333334116</v>
      </c>
      <c r="S79" s="59">
        <f ca="1">AVERAGE(OFFSET($R$3,0,0,'Données projet'!$E$9+1,1))-AVERAGE(OFFSET($H$3,0,0,'Données projet'!$E$9+1,1))</f>
        <v>314.07001555875894</v>
      </c>
      <c r="T79" s="59">
        <f t="shared" si="88"/>
        <v>281.53154885904991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204.89631802913516</v>
      </c>
      <c r="AA79" s="21">
        <f>EXP(-LN(2)/25)*AA78+(1-EXP(-LN(2)/25))/(LN(2)/25)*Calculateur!V79*Calculateur!X79*VLOOKUP('Données projet'!$B$9,Paramètres!$A$1:$I$89,3,0)*0.475*44/12</f>
        <v>64.993922262388907</v>
      </c>
      <c r="AB79" s="21">
        <f>EXP(-LN(2)/2)*AB78+(1-EXP(-LN(2)/2))/(LN(2)/2)*V79*Y79*VLOOKUP('Données projet'!$B$9,Paramètres!$A$1:$I$89,3,0)*0.475*44/12</f>
        <v>9.4381905403524833</v>
      </c>
      <c r="AC79" s="22">
        <f t="shared" si="57"/>
        <v>279.32843083187652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8.8608333333333373</v>
      </c>
      <c r="AI79" s="13">
        <f>IF('Données projet'!$A$62&gt;35,AI78+AH79-AQ78,IF(A79&lt;'Données projet'!$A$62,$AF$205^A79,IF(A79='Données projet'!$A$62,'Données projet'!$B$62,AI78+AH79-AQ78)))</f>
        <v>423.5833333333332</v>
      </c>
      <c r="AJ79" s="13">
        <f>AI79*VLOOKUP('Données projet'!$B$10,Paramètres!$A$1:$I$89,3,0)*VLOOKUP('Données projet'!$B$10,Paramètres!$A$1:$I$89,5,0)</f>
        <v>187.22383333333329</v>
      </c>
      <c r="AK79" s="13">
        <f t="shared" si="89"/>
        <v>46.925657016825433</v>
      </c>
      <c r="AL79" s="20">
        <f t="shared" si="58"/>
        <v>407.81036235985977</v>
      </c>
      <c r="AM79" s="59">
        <f t="shared" si="59"/>
        <v>701.14369569319308</v>
      </c>
      <c r="AN79" s="59">
        <f ca="1">AVERAGE(OFFSET($AM$3,0,0,'Données projet'!$E$10+1,1))-AVERAGE(OFFSET($H$3,0,0,'Données projet'!$E$10+1,1))</f>
        <v>218.3918302549892</v>
      </c>
      <c r="AO79" s="59">
        <f t="shared" si="90"/>
        <v>102.61932145411976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34.882628342681535</v>
      </c>
      <c r="AV79" s="21">
        <f>EXP(-LN(2)/25)*AV78+(1-EXP(-LN(2)/25))/(LN(2)/25)*Calculateur!AQ79*Calculateur!AS79*VLOOKUP('Données projet'!$B$10,Paramètres!$A$1:$I$89,3,0)*0.475*44/12</f>
        <v>15.545521241101959</v>
      </c>
      <c r="AW79" s="21">
        <f>EXP(-LN(2)/2)*AW78+(1-EXP(-LN(2)/2))/(LN(2)/2)*AQ79*AT79*VLOOKUP('Données projet'!$B$10,Paramètres!$A$1:$I$89,3,0)*0.475*44/12</f>
        <v>1.6599623816129712</v>
      </c>
      <c r="AX79" s="21">
        <f t="shared" si="60"/>
        <v>52.088111965396465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2.0512820512820582</v>
      </c>
      <c r="BD79" s="12">
        <f>IF('Données projet'!$A$88&gt;35,BD78+BC79-BL78,IF(A79&lt;'Données projet'!$A$88,$BA$205^A79,IF(A79='Données projet'!$A$88,'Données projet'!$B$88,BD78+BC79-BL78)))</f>
        <v>125.12820512820507</v>
      </c>
      <c r="BE79" s="13">
        <f>BD79*VLOOKUP('Données projet'!$B$11,Paramètres!$A$1:$I$89,3,0)*VLOOKUP('Données projet'!$B$11,Paramètres!$A$1:$I$89,5,0)</f>
        <v>109.31199999999997</v>
      </c>
      <c r="BF79" s="13">
        <f t="shared" si="91"/>
        <v>29.168827262472519</v>
      </c>
      <c r="BG79" s="20">
        <f t="shared" si="61"/>
        <v>241.18744081547288</v>
      </c>
      <c r="BH79" s="59">
        <f t="shared" si="62"/>
        <v>534.52077414880614</v>
      </c>
      <c r="BI79" s="59">
        <f ca="1">AVERAGE(OFFSET($BH$3,0,0,'Données projet'!$E$11+1,1))-AVERAGE(OFFSET($H$3,0,0,'Données projet'!$E$11+1,1))</f>
        <v>112.66486935566058</v>
      </c>
      <c r="BJ79" s="59">
        <f t="shared" si="92"/>
        <v>110.84860075828624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0.96522876744657082</v>
      </c>
      <c r="BQ79" s="21">
        <f>EXP(-LN(2)/25)*BQ78+(1-EXP(-LN(2)/25))/(LN(2)/25)*Calculateur!BL79*Calculateur!BN79*VLOOKUP('Données projet'!$B$11,Paramètres!$A$1:$I$89,3,0)*0.475*44/12</f>
        <v>13.427094686296353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14.392323453742923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5.6843418860808015E-13</v>
      </c>
      <c r="O80" s="13">
        <f>N80*VLOOKUP('Données projet'!$B$9,Paramètres!$A$1:$I$89,3,0)*VLOOKUP('Données projet'!$B$9,Paramètres!$A$1:$I$89,5,0)</f>
        <v>3.177547114319168E-13</v>
      </c>
      <c r="P80" s="13">
        <f t="shared" si="87"/>
        <v>4.1725404435445377E-12</v>
      </c>
      <c r="Q80" s="20">
        <f t="shared" si="54"/>
        <v>7.820597394917325E-12</v>
      </c>
      <c r="R80" s="59">
        <f t="shared" si="55"/>
        <v>293.33333333334116</v>
      </c>
      <c r="S80" s="59">
        <f ca="1">AVERAGE(OFFSET($R$3,0,0,'Données projet'!$E$9+1,1))-AVERAGE(OFFSET($H$3,0,0,'Données projet'!$E$9+1,1))</f>
        <v>314.07001555875894</v>
      </c>
      <c r="T80" s="59">
        <f t="shared" si="88"/>
        <v>281.53154885904991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200.87842620699763</v>
      </c>
      <c r="AA80" s="21">
        <f>EXP(-LN(2)/25)*AA79+(1-EXP(-LN(2)/25))/(LN(2)/25)*Calculateur!V80*Calculateur!X80*VLOOKUP('Données projet'!$B$9,Paramètres!$A$1:$I$89,3,0)*0.475*44/12</f>
        <v>63.216660040242054</v>
      </c>
      <c r="AB80" s="21">
        <f>EXP(-LN(2)/2)*AB79+(1-EXP(-LN(2)/2))/(LN(2)/2)*V80*Y80*VLOOKUP('Données projet'!$B$9,Paramètres!$A$1:$I$89,3,0)*0.475*44/12</f>
        <v>6.6738085332139665</v>
      </c>
      <c r="AC80" s="22">
        <f t="shared" si="57"/>
        <v>270.76889478045365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8.8608333333333373</v>
      </c>
      <c r="AI80" s="13">
        <f>IF('Données projet'!$A$62&gt;35,AI79+AH80-AQ79,IF(A80&lt;'Données projet'!$A$62,$AF$205^A80,IF(A80='Données projet'!$A$62,'Données projet'!$B$62,AI79+AH80-AQ79)))</f>
        <v>432.44416666666655</v>
      </c>
      <c r="AJ80" s="13">
        <f>AI80*VLOOKUP('Données projet'!$B$10,Paramètres!$A$1:$I$89,3,0)*VLOOKUP('Données projet'!$B$10,Paramètres!$A$1:$I$89,5,0)</f>
        <v>191.14032166666664</v>
      </c>
      <c r="AK80" s="13">
        <f t="shared" si="89"/>
        <v>47.791973915974431</v>
      </c>
      <c r="AL80" s="20">
        <f t="shared" si="58"/>
        <v>416.14041480643317</v>
      </c>
      <c r="AM80" s="59">
        <f t="shared" si="59"/>
        <v>709.47374813976649</v>
      </c>
      <c r="AN80" s="59">
        <f ca="1">AVERAGE(OFFSET($AM$3,0,0,'Données projet'!$E$10+1,1))-AVERAGE(OFFSET($H$3,0,0,'Données projet'!$E$10+1,1))</f>
        <v>218.3918302549892</v>
      </c>
      <c r="AO80" s="59">
        <f t="shared" si="90"/>
        <v>102.61932145411976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34.198601277183975</v>
      </c>
      <c r="AV80" s="21">
        <f>EXP(-LN(2)/25)*AV79+(1-EXP(-LN(2)/25))/(LN(2)/25)*Calculateur!AQ80*Calculateur!AS80*VLOOKUP('Données projet'!$B$10,Paramètres!$A$1:$I$89,3,0)*0.475*44/12</f>
        <v>15.120428145260593</v>
      </c>
      <c r="AW80" s="21">
        <f>EXP(-LN(2)/2)*AW79+(1-EXP(-LN(2)/2))/(LN(2)/2)*AQ80*AT80*VLOOKUP('Données projet'!$B$10,Paramètres!$A$1:$I$89,3,0)*0.475*44/12</f>
        <v>1.1737706565531036</v>
      </c>
      <c r="AX80" s="21">
        <f t="shared" si="60"/>
        <v>50.492800078997675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2.0512820512820582</v>
      </c>
      <c r="BD80" s="12">
        <f>IF('Données projet'!$A$88&gt;35,BD79+BC80-BL79,IF(A80&lt;'Données projet'!$A$88,$BA$205^A80,IF(A80='Données projet'!$A$88,'Données projet'!$B$88,BD79+BC80-BL79)))</f>
        <v>127.17948717948713</v>
      </c>
      <c r="BE80" s="13">
        <f>BD80*VLOOKUP('Données projet'!$B$11,Paramètres!$A$1:$I$89,3,0)*VLOOKUP('Données projet'!$B$11,Paramètres!$A$1:$I$89,5,0)</f>
        <v>111.10399999999997</v>
      </c>
      <c r="BF80" s="13">
        <f t="shared" si="91"/>
        <v>29.590944212805727</v>
      </c>
      <c r="BG80" s="20">
        <f t="shared" si="61"/>
        <v>245.04369450396993</v>
      </c>
      <c r="BH80" s="59">
        <f t="shared" si="62"/>
        <v>538.37702783730322</v>
      </c>
      <c r="BI80" s="59">
        <f ca="1">AVERAGE(OFFSET($BH$3,0,0,'Données projet'!$E$11+1,1))-AVERAGE(OFFSET($H$3,0,0,'Données projet'!$E$11+1,1))</f>
        <v>112.66486935566058</v>
      </c>
      <c r="BJ80" s="59">
        <f t="shared" si="92"/>
        <v>110.84860075828624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0.94630122004835926</v>
      </c>
      <c r="BQ80" s="21">
        <f>EXP(-LN(2)/25)*BQ79+(1-EXP(-LN(2)/25))/(LN(2)/25)*Calculateur!BL80*Calculateur!BN80*VLOOKUP('Données projet'!$B$11,Paramètres!$A$1:$I$89,3,0)*0.475*44/12</f>
        <v>13.059930075999358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14.006231296047718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5.6843418860808015E-13</v>
      </c>
      <c r="O81" s="13">
        <f>N81*VLOOKUP('Données projet'!$B$9,Paramètres!$A$1:$I$89,3,0)*VLOOKUP('Données projet'!$B$9,Paramètres!$A$1:$I$89,5,0)</f>
        <v>3.177547114319168E-13</v>
      </c>
      <c r="P81" s="13">
        <f t="shared" si="87"/>
        <v>4.1725404435445377E-12</v>
      </c>
      <c r="Q81" s="20">
        <f t="shared" si="54"/>
        <v>7.820597394917325E-12</v>
      </c>
      <c r="R81" s="59">
        <f t="shared" si="55"/>
        <v>293.33333333334116</v>
      </c>
      <c r="S81" s="59">
        <f ca="1">AVERAGE(OFFSET($R$3,0,0,'Données projet'!$E$9+1,1))-AVERAGE(OFFSET($H$3,0,0,'Données projet'!$E$9+1,1))</f>
        <v>314.07001555875894</v>
      </c>
      <c r="T81" s="59">
        <f t="shared" si="88"/>
        <v>281.53154885904991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196.93932279282018</v>
      </c>
      <c r="AA81" s="21">
        <f>EXP(-LN(2)/25)*AA80+(1-EXP(-LN(2)/25))/(LN(2)/25)*Calculateur!V81*Calculateur!X81*VLOOKUP('Données projet'!$B$9,Paramètres!$A$1:$I$89,3,0)*0.475*44/12</f>
        <v>61.487997147021964</v>
      </c>
      <c r="AB81" s="21">
        <f>EXP(-LN(2)/2)*AB80+(1-EXP(-LN(2)/2))/(LN(2)/2)*V81*Y81*VLOOKUP('Données projet'!$B$9,Paramètres!$A$1:$I$89,3,0)*0.475*44/12</f>
        <v>4.7190952701762425</v>
      </c>
      <c r="AC81" s="22">
        <f t="shared" si="57"/>
        <v>263.1464152100184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8.8608333333333373</v>
      </c>
      <c r="AI81" s="13">
        <f>IF('Données projet'!$A$62&gt;35,AI80+AH81-AQ80,IF(A81&lt;'Données projet'!$A$62,$AF$205^A81,IF(A81='Données projet'!$A$62,'Données projet'!$B$62,AI80+AH81-AQ80)))</f>
        <v>441.30499999999989</v>
      </c>
      <c r="AJ81" s="13">
        <f>AI81*VLOOKUP('Données projet'!$B$10,Paramètres!$A$1:$I$89,3,0)*VLOOKUP('Données projet'!$B$10,Paramètres!$A$1:$I$89,5,0)</f>
        <v>195.05680999999998</v>
      </c>
      <c r="AK81" s="13">
        <f t="shared" si="89"/>
        <v>48.656226915312594</v>
      </c>
      <c r="AL81" s="20">
        <f t="shared" si="58"/>
        <v>424.46687262750271</v>
      </c>
      <c r="AM81" s="59">
        <f t="shared" si="59"/>
        <v>717.80020596083602</v>
      </c>
      <c r="AN81" s="59">
        <f ca="1">AVERAGE(OFFSET($AM$3,0,0,'Données projet'!$E$10+1,1))-AVERAGE(OFFSET($H$3,0,0,'Données projet'!$E$10+1,1))</f>
        <v>218.3918302549892</v>
      </c>
      <c r="AO81" s="59">
        <f t="shared" si="90"/>
        <v>102.61932145411976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33.527987565225516</v>
      </c>
      <c r="AV81" s="21">
        <f>EXP(-LN(2)/25)*AV80+(1-EXP(-LN(2)/25))/(LN(2)/25)*Calculateur!AQ81*Calculateur!AS81*VLOOKUP('Données projet'!$B$10,Paramètres!$A$1:$I$89,3,0)*0.475*44/12</f>
        <v>14.706959242479684</v>
      </c>
      <c r="AW81" s="21">
        <f>EXP(-LN(2)/2)*AW80+(1-EXP(-LN(2)/2))/(LN(2)/2)*AQ81*AT81*VLOOKUP('Données projet'!$B$10,Paramètres!$A$1:$I$89,3,0)*0.475*44/12</f>
        <v>0.82998119080648569</v>
      </c>
      <c r="AX81" s="21">
        <f t="shared" si="60"/>
        <v>49.064927998511685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2.0512820512820582</v>
      </c>
      <c r="BD81" s="12">
        <f>IF('Données projet'!$A$88&gt;35,BD80+BC81-BL80,IF(A81&lt;'Données projet'!$A$88,$BA$205^A81,IF(A81='Données projet'!$A$88,'Données projet'!$B$88,BD80+BC81-BL80)))</f>
        <v>129.23076923076917</v>
      </c>
      <c r="BE81" s="13">
        <f>BD81*VLOOKUP('Données projet'!$B$11,Paramètres!$A$1:$I$89,3,0)*VLOOKUP('Données projet'!$B$11,Paramètres!$A$1:$I$89,5,0)</f>
        <v>112.89599999999996</v>
      </c>
      <c r="BF81" s="13">
        <f t="shared" si="91"/>
        <v>30.012269379763534</v>
      </c>
      <c r="BG81" s="20">
        <f t="shared" si="61"/>
        <v>248.89856916975472</v>
      </c>
      <c r="BH81" s="59">
        <f t="shared" si="62"/>
        <v>542.23190250308801</v>
      </c>
      <c r="BI81" s="59">
        <f ca="1">AVERAGE(OFFSET($BH$3,0,0,'Données projet'!$E$11+1,1))-AVERAGE(OFFSET($H$3,0,0,'Données projet'!$E$11+1,1))</f>
        <v>112.66486935566058</v>
      </c>
      <c r="BJ81" s="59">
        <f t="shared" si="92"/>
        <v>110.84860075828624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0.92774483030996269</v>
      </c>
      <c r="BQ81" s="21">
        <f>EXP(-LN(2)/25)*BQ80+(1-EXP(-LN(2)/25))/(LN(2)/25)*Calculateur!BL81*Calculateur!BN81*VLOOKUP('Données projet'!$B$11,Paramètres!$A$1:$I$89,3,0)*0.475*44/12</f>
        <v>12.702805601279282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13.630550431589246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5.6843418860808015E-13</v>
      </c>
      <c r="O82" s="13">
        <f>N82*VLOOKUP('Données projet'!$B$9,Paramètres!$A$1:$I$89,3,0)*VLOOKUP('Données projet'!$B$9,Paramètres!$A$1:$I$89,5,0)</f>
        <v>3.177547114319168E-13</v>
      </c>
      <c r="P82" s="13">
        <f t="shared" si="87"/>
        <v>4.1725404435445377E-12</v>
      </c>
      <c r="Q82" s="20">
        <f t="shared" si="54"/>
        <v>7.820597394917325E-12</v>
      </c>
      <c r="R82" s="59">
        <f t="shared" si="55"/>
        <v>293.33333333334116</v>
      </c>
      <c r="S82" s="59">
        <f ca="1">AVERAGE(OFFSET($R$3,0,0,'Données projet'!$E$9+1,1))-AVERAGE(OFFSET($H$3,0,0,'Données projet'!$E$9+1,1))</f>
        <v>314.07001555875894</v>
      </c>
      <c r="T82" s="59">
        <f t="shared" si="88"/>
        <v>281.53154885904991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193.0774627939789</v>
      </c>
      <c r="AA82" s="21">
        <f>EXP(-LN(2)/25)*AA81+(1-EXP(-LN(2)/25))/(LN(2)/25)*Calculateur!V82*Calculateur!X82*VLOOKUP('Données projet'!$B$9,Paramètres!$A$1:$I$89,3,0)*0.475*44/12</f>
        <v>59.806604631523413</v>
      </c>
      <c r="AB82" s="21">
        <f>EXP(-LN(2)/2)*AB81+(1-EXP(-LN(2)/2))/(LN(2)/2)*V82*Y82*VLOOKUP('Données projet'!$B$9,Paramètres!$A$1:$I$89,3,0)*0.475*44/12</f>
        <v>3.3369042666069841</v>
      </c>
      <c r="AC82" s="22">
        <f t="shared" si="57"/>
        <v>256.22097169210929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8.8608333333333373</v>
      </c>
      <c r="AI82" s="13">
        <f>IF('Données projet'!$A$62&gt;35,AI81+AH82-AQ81,IF(A82&lt;'Données projet'!$A$62,$AF$205^A82,IF(A82='Données projet'!$A$62,'Données projet'!$B$62,AI81+AH82-AQ81)))</f>
        <v>450.16583333333324</v>
      </c>
      <c r="AJ82" s="13">
        <f>AI82*VLOOKUP('Données projet'!$B$10,Paramètres!$A$1:$I$89,3,0)*VLOOKUP('Données projet'!$B$10,Paramètres!$A$1:$I$89,5,0)</f>
        <v>198.9732983333333</v>
      </c>
      <c r="AK82" s="13">
        <f t="shared" si="89"/>
        <v>49.518462231190718</v>
      </c>
      <c r="AL82" s="20">
        <f t="shared" si="58"/>
        <v>432.78981631654597</v>
      </c>
      <c r="AM82" s="59">
        <f t="shared" si="59"/>
        <v>726.12314964987922</v>
      </c>
      <c r="AN82" s="59">
        <f ca="1">AVERAGE(OFFSET($AM$3,0,0,'Données projet'!$E$10+1,1))-AVERAGE(OFFSET($H$3,0,0,'Données projet'!$E$10+1,1))</f>
        <v>218.3918302549892</v>
      </c>
      <c r="AO82" s="59">
        <f t="shared" si="90"/>
        <v>102.61932145411976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32.87052417912458</v>
      </c>
      <c r="AV82" s="21">
        <f>EXP(-LN(2)/25)*AV81+(1-EXP(-LN(2)/25))/(LN(2)/25)*Calculateur!AQ82*Calculateur!AS82*VLOOKUP('Données projet'!$B$10,Paramètres!$A$1:$I$89,3,0)*0.475*44/12</f>
        <v>14.304796668588704</v>
      </c>
      <c r="AW82" s="21">
        <f>EXP(-LN(2)/2)*AW81+(1-EXP(-LN(2)/2))/(LN(2)/2)*AQ82*AT82*VLOOKUP('Données projet'!$B$10,Paramètres!$A$1:$I$89,3,0)*0.475*44/12</f>
        <v>0.58688532827655182</v>
      </c>
      <c r="AX82" s="21">
        <f t="shared" si="60"/>
        <v>47.762206175989832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2.0512820512820582</v>
      </c>
      <c r="BD82" s="12">
        <f>IF('Données projet'!$A$88&gt;35,BD81+BC82-BL81,IF(A82&lt;'Données projet'!$A$88,$BA$205^A82,IF(A82='Données projet'!$A$88,'Données projet'!$B$88,BD81+BC82-BL81)))</f>
        <v>131.28205128205121</v>
      </c>
      <c r="BE82" s="13">
        <f>BD82*VLOOKUP('Données projet'!$B$11,Paramètres!$A$1:$I$89,3,0)*VLOOKUP('Données projet'!$B$11,Paramètres!$A$1:$I$89,5,0)</f>
        <v>114.68799999999995</v>
      </c>
      <c r="BF82" s="13">
        <f t="shared" si="91"/>
        <v>30.432816782482064</v>
      </c>
      <c r="BG82" s="20">
        <f t="shared" si="61"/>
        <v>252.75208922948948</v>
      </c>
      <c r="BH82" s="59">
        <f t="shared" si="62"/>
        <v>546.08542256282283</v>
      </c>
      <c r="BI82" s="59">
        <f ca="1">AVERAGE(OFFSET($BH$3,0,0,'Données projet'!$E$11+1,1))-AVERAGE(OFFSET($H$3,0,0,'Données projet'!$E$11+1,1))</f>
        <v>112.66486935566058</v>
      </c>
      <c r="BJ82" s="59">
        <f t="shared" si="92"/>
        <v>110.84860075828624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0.90955232005605591</v>
      </c>
      <c r="BQ82" s="21">
        <f>EXP(-LN(2)/25)*BQ81+(1-EXP(-LN(2)/25))/(LN(2)/25)*Calculateur!BL82*Calculateur!BN82*VLOOKUP('Données projet'!$B$11,Paramètres!$A$1:$I$89,3,0)*0.475*44/12</f>
        <v>12.355446714100786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13.264999034156842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5.6843418860808015E-13</v>
      </c>
      <c r="O83" s="13">
        <f>N83*VLOOKUP('Données projet'!$B$9,Paramètres!$A$1:$I$89,3,0)*VLOOKUP('Données projet'!$B$9,Paramètres!$A$1:$I$89,5,0)</f>
        <v>3.177547114319168E-13</v>
      </c>
      <c r="P83" s="13">
        <f t="shared" si="87"/>
        <v>4.1725404435445377E-12</v>
      </c>
      <c r="Q83" s="20">
        <f t="shared" si="54"/>
        <v>7.820597394917325E-12</v>
      </c>
      <c r="R83" s="59">
        <f t="shared" si="55"/>
        <v>293.33333333334116</v>
      </c>
      <c r="S83" s="59">
        <f ca="1">AVERAGE(OFFSET($R$3,0,0,'Données projet'!$E$9+1,1))-AVERAGE(OFFSET($H$3,0,0,'Données projet'!$E$9+1,1))</f>
        <v>314.07001555875894</v>
      </c>
      <c r="T83" s="59">
        <f t="shared" si="88"/>
        <v>281.53154885904991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189.29133151421289</v>
      </c>
      <c r="AA83" s="21">
        <f>EXP(-LN(2)/25)*AA82+(1-EXP(-LN(2)/25))/(LN(2)/25)*Calculateur!V83*Calculateur!X83*VLOOKUP('Données projet'!$B$9,Paramètres!$A$1:$I$89,3,0)*0.475*44/12</f>
        <v>58.171189882781761</v>
      </c>
      <c r="AB83" s="21">
        <f>EXP(-LN(2)/2)*AB82+(1-EXP(-LN(2)/2))/(LN(2)/2)*V83*Y83*VLOOKUP('Données projet'!$B$9,Paramètres!$A$1:$I$89,3,0)*0.475*44/12</f>
        <v>2.3595476350881217</v>
      </c>
      <c r="AC83" s="22">
        <f t="shared" si="57"/>
        <v>249.82206903208277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8.8608333333333373</v>
      </c>
      <c r="AI83" s="13">
        <f>IF('Données projet'!$A$62&gt;35,AI82+AH83-AQ82,IF(A83&lt;'Données projet'!$A$62,$AF$205^A83,IF(A83='Données projet'!$A$62,'Données projet'!$B$62,AI82+AH83-AQ82)))</f>
        <v>459.02666666666659</v>
      </c>
      <c r="AJ83" s="13">
        <f>AI83*VLOOKUP('Données projet'!$B$10,Paramètres!$A$1:$I$89,3,0)*VLOOKUP('Données projet'!$B$10,Paramètres!$A$1:$I$89,5,0)</f>
        <v>202.88978666666665</v>
      </c>
      <c r="AK83" s="13">
        <f t="shared" si="89"/>
        <v>50.378724156504141</v>
      </c>
      <c r="AL83" s="20">
        <f t="shared" si="58"/>
        <v>441.10932301702246</v>
      </c>
      <c r="AM83" s="59">
        <f t="shared" si="59"/>
        <v>734.44265635035572</v>
      </c>
      <c r="AN83" s="59">
        <f ca="1">AVERAGE(OFFSET($AM$3,0,0,'Données projet'!$E$10+1,1))-AVERAGE(OFFSET($H$3,0,0,'Données projet'!$E$10+1,1))</f>
        <v>218.3918302549892</v>
      </c>
      <c r="AO83" s="59">
        <f t="shared" si="90"/>
        <v>102.61932145411976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32.225953249012015</v>
      </c>
      <c r="AV83" s="21">
        <f>EXP(-LN(2)/25)*AV82+(1-EXP(-LN(2)/25))/(LN(2)/25)*Calculateur!AQ83*Calculateur!AS83*VLOOKUP('Données projet'!$B$10,Paramètres!$A$1:$I$89,3,0)*0.475*44/12</f>
        <v>13.913631251429583</v>
      </c>
      <c r="AW83" s="21">
        <f>EXP(-LN(2)/2)*AW82+(1-EXP(-LN(2)/2))/(LN(2)/2)*AQ83*AT83*VLOOKUP('Données projet'!$B$10,Paramètres!$A$1:$I$89,3,0)*0.475*44/12</f>
        <v>0.41499059540324285</v>
      </c>
      <c r="AX83" s="21">
        <f t="shared" si="60"/>
        <v>46.554575095844847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133.33333333333334</v>
      </c>
      <c r="BB83" s="12">
        <f>VLOOKUP(A83,'Données projet'!$A$87:$I$107,9,0)</f>
        <v>2.0512820512820582</v>
      </c>
      <c r="BC83" s="12">
        <f t="array" ref="BC83">INDEX(BB:BB,MIN(IF(ISNUMBER(BB83:BB279),ROW(BB83:BB279),"")))</f>
        <v>2.0512820512820582</v>
      </c>
      <c r="BD83" s="12">
        <f>IF('Données projet'!$A$88&gt;35,BD82+BC83-BL82,IF(A83&lt;'Données projet'!$A$88,$BA$205^A83,IF(A83='Données projet'!$A$88,'Données projet'!$B$88,BD82+BC83-BL82)))</f>
        <v>133.33333333333326</v>
      </c>
      <c r="BE83" s="13">
        <f>BD83*VLOOKUP('Données projet'!$B$11,Paramètres!$A$1:$I$89,3,0)*VLOOKUP('Données projet'!$B$11,Paramètres!$A$1:$I$89,5,0)</f>
        <v>116.47999999999995</v>
      </c>
      <c r="BF83" s="13">
        <f t="shared" si="91"/>
        <v>30.852599976867037</v>
      </c>
      <c r="BG83" s="20">
        <f t="shared" si="61"/>
        <v>256.60427829304331</v>
      </c>
      <c r="BH83" s="59">
        <f t="shared" si="62"/>
        <v>549.93761162637657</v>
      </c>
      <c r="BI83" s="59">
        <f ca="1">AVERAGE(OFFSET($BH$3,0,0,'Données projet'!$E$11+1,1))-AVERAGE(OFFSET($H$3,0,0,'Données projet'!$E$11+1,1))</f>
        <v>112.66486935566058</v>
      </c>
      <c r="BJ83" s="59">
        <f t="shared" si="92"/>
        <v>110.84860075828624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7.0512820512820511</v>
      </c>
      <c r="BM83" s="16">
        <f>IF(ISNA(VLOOKUP(A83,'Données projet'!$A$87:$I$107,5,0)),0%,VLOOKUP(A83,'Données projet'!$A$87:$I$107,5,0)*VLOOKUP('Données projet'!$B$11,Paramètres!$A$1:$I$89,7,0))</f>
        <v>4.3000000000000003E-2</v>
      </c>
      <c r="BN83" s="16">
        <f>IF(ISNA(VLOOKUP(A83,'Données projet'!$A$87:$I$107,6,0)),0%,VLOOKUP(A83,'Données projet'!$A$87:$I$107,6,0)*VLOOKUP('Données projet'!$B$11,Paramètres!$A$1:$I$89,7,0))</f>
        <v>0.215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1.1845335479625805</v>
      </c>
      <c r="BQ83" s="21">
        <f>EXP(-LN(2)/25)*BQ82+(1-EXP(-LN(2)/25))/(LN(2)/25)*Calculateur!BL83*Calculateur!BN83*VLOOKUP('Données projet'!$B$11,Paramètres!$A$1:$I$89,3,0)*0.475*44/12</f>
        <v>13.475906684222863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14.660440232185444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5.6843418860808015E-13</v>
      </c>
      <c r="O84" s="13">
        <f>N84*VLOOKUP('Données projet'!$B$9,Paramètres!$A$1:$I$89,3,0)*VLOOKUP('Données projet'!$B$9,Paramètres!$A$1:$I$89,5,0)</f>
        <v>3.177547114319168E-13</v>
      </c>
      <c r="P84" s="13">
        <f t="shared" si="87"/>
        <v>4.1725404435445377E-12</v>
      </c>
      <c r="Q84" s="20">
        <f t="shared" si="54"/>
        <v>7.820597394917325E-12</v>
      </c>
      <c r="R84" s="59">
        <f t="shared" si="55"/>
        <v>293.33333333334116</v>
      </c>
      <c r="S84" s="59">
        <f ca="1">AVERAGE(OFFSET($R$3,0,0,'Données projet'!$E$9+1,1))-AVERAGE(OFFSET($H$3,0,0,'Données projet'!$E$9+1,1))</f>
        <v>314.07001555875894</v>
      </c>
      <c r="T84" s="59">
        <f t="shared" si="88"/>
        <v>281.53154885904991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185.57944395953103</v>
      </c>
      <c r="AA84" s="21">
        <f>EXP(-LN(2)/25)*AA83+(1-EXP(-LN(2)/25))/(LN(2)/25)*Calculateur!V84*Calculateur!X84*VLOOKUP('Données projet'!$B$9,Paramètres!$A$1:$I$89,3,0)*0.475*44/12</f>
        <v>56.580495636347166</v>
      </c>
      <c r="AB84" s="21">
        <f>EXP(-LN(2)/2)*AB83+(1-EXP(-LN(2)/2))/(LN(2)/2)*V84*Y84*VLOOKUP('Données projet'!$B$9,Paramètres!$A$1:$I$89,3,0)*0.475*44/12</f>
        <v>1.6684521333034923</v>
      </c>
      <c r="AC84" s="22">
        <f t="shared" si="57"/>
        <v>243.8283917291817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8.8608333333333373</v>
      </c>
      <c r="AI84" s="13">
        <f>IF('Données projet'!$A$62&gt;35,AI83+AH84-AQ83,IF(A84&lt;'Données projet'!$A$62,$AF$205^A84,IF(A84='Données projet'!$A$62,'Données projet'!$B$62,AI83+AH84-AQ83)))</f>
        <v>467.88749999999993</v>
      </c>
      <c r="AJ84" s="13">
        <f>AI84*VLOOKUP('Données projet'!$B$10,Paramètres!$A$1:$I$89,3,0)*VLOOKUP('Données projet'!$B$10,Paramètres!$A$1:$I$89,5,0)</f>
        <v>206.806275</v>
      </c>
      <c r="AK84" s="13">
        <f t="shared" si="89"/>
        <v>51.237055176302007</v>
      </c>
      <c r="AL84" s="20">
        <f t="shared" si="58"/>
        <v>449.425466723726</v>
      </c>
      <c r="AM84" s="59">
        <f t="shared" si="59"/>
        <v>742.75880005705926</v>
      </c>
      <c r="AN84" s="59">
        <f ca="1">AVERAGE(OFFSET($AM$3,0,0,'Données projet'!$E$10+1,1))-AVERAGE(OFFSET($H$3,0,0,'Données projet'!$E$10+1,1))</f>
        <v>218.3918302549892</v>
      </c>
      <c r="AO84" s="59">
        <f t="shared" si="90"/>
        <v>102.61932145411976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31.594021961689513</v>
      </c>
      <c r="AV84" s="21">
        <f>EXP(-LN(2)/25)*AV83+(1-EXP(-LN(2)/25))/(LN(2)/25)*Calculateur!AQ84*Calculateur!AS84*VLOOKUP('Données projet'!$B$10,Paramètres!$A$1:$I$89,3,0)*0.475*44/12</f>
        <v>13.533162273173174</v>
      </c>
      <c r="AW84" s="21">
        <f>EXP(-LN(2)/2)*AW83+(1-EXP(-LN(2)/2))/(LN(2)/2)*AQ84*AT84*VLOOKUP('Données projet'!$B$10,Paramètres!$A$1:$I$89,3,0)*0.475*44/12</f>
        <v>0.29344266413827591</v>
      </c>
      <c r="AX84" s="21">
        <f t="shared" si="60"/>
        <v>45.420626899000965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1.7948717948717898</v>
      </c>
      <c r="BD84" s="12">
        <f>IF('Données projet'!$A$88&gt;35,BD83+BC84-BL83,IF(A84&lt;'Données projet'!$A$88,$BA$205^A84,IF(A84='Données projet'!$A$88,'Données projet'!$B$88,BD83+BC84-BL83)))</f>
        <v>128.07692307692301</v>
      </c>
      <c r="BE84" s="13">
        <f>BD84*VLOOKUP('Données projet'!$B$11,Paramètres!$A$1:$I$89,3,0)*VLOOKUP('Données projet'!$B$11,Paramètres!$A$1:$I$89,5,0)</f>
        <v>111.88799999999995</v>
      </c>
      <c r="BF84" s="13">
        <f t="shared" si="91"/>
        <v>29.775370562311142</v>
      </c>
      <c r="BG84" s="20">
        <f t="shared" si="61"/>
        <v>246.73037039602514</v>
      </c>
      <c r="BH84" s="59">
        <f t="shared" si="62"/>
        <v>540.06370372935839</v>
      </c>
      <c r="BI84" s="59">
        <f ca="1">AVERAGE(OFFSET($BH$3,0,0,'Données projet'!$E$11+1,1))-AVERAGE(OFFSET($H$3,0,0,'Données projet'!$E$11+1,1))</f>
        <v>112.66486935566058</v>
      </c>
      <c r="BJ84" s="59">
        <f t="shared" si="92"/>
        <v>110.84860075828624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1.1613055675811581</v>
      </c>
      <c r="BQ84" s="21">
        <f>EXP(-LN(2)/25)*BQ83+(1-EXP(-LN(2)/25))/(LN(2)/25)*Calculateur!BL84*Calculateur!BN84*VLOOKUP('Données projet'!$B$11,Paramètres!$A$1:$I$89,3,0)*0.475*44/12</f>
        <v>13.107407307275656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14.268712874856813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5.6843418860808015E-13</v>
      </c>
      <c r="O85" s="13">
        <f>N85*VLOOKUP('Données projet'!$B$9,Paramètres!$A$1:$I$89,3,0)*VLOOKUP('Données projet'!$B$9,Paramètres!$A$1:$I$89,5,0)</f>
        <v>3.177547114319168E-13</v>
      </c>
      <c r="P85" s="13">
        <f t="shared" si="87"/>
        <v>4.1725404435445377E-12</v>
      </c>
      <c r="Q85" s="20">
        <f t="shared" si="54"/>
        <v>7.820597394917325E-12</v>
      </c>
      <c r="R85" s="59">
        <f t="shared" si="55"/>
        <v>293.33333333334116</v>
      </c>
      <c r="S85" s="59">
        <f ca="1">AVERAGE(OFFSET($R$3,0,0,'Données projet'!$E$9+1,1))-AVERAGE(OFFSET($H$3,0,0,'Données projet'!$E$9+1,1))</f>
        <v>314.07001555875894</v>
      </c>
      <c r="T85" s="59">
        <f t="shared" si="88"/>
        <v>281.53154885904991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181.94034425576862</v>
      </c>
      <c r="AA85" s="21">
        <f>EXP(-LN(2)/25)*AA84+(1-EXP(-LN(2)/25))/(LN(2)/25)*Calculateur!V85*Calculateur!X85*VLOOKUP('Données projet'!$B$9,Paramètres!$A$1:$I$89,3,0)*0.475*44/12</f>
        <v>55.033299007732303</v>
      </c>
      <c r="AB85" s="21">
        <f>EXP(-LN(2)/2)*AB84+(1-EXP(-LN(2)/2))/(LN(2)/2)*V85*Y85*VLOOKUP('Données projet'!$B$9,Paramètres!$A$1:$I$89,3,0)*0.475*44/12</f>
        <v>1.1797738175440611</v>
      </c>
      <c r="AC85" s="22">
        <f t="shared" si="57"/>
        <v>238.15341708104498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8.8608333333333373</v>
      </c>
      <c r="AI85" s="13">
        <f>IF('Données projet'!$A$62&gt;35,AI84+AH85-AQ84,IF(A85&lt;'Données projet'!$A$62,$AF$205^A85,IF(A85='Données projet'!$A$62,'Données projet'!$B$62,AI84+AH85-AQ84)))</f>
        <v>476.74833333333328</v>
      </c>
      <c r="AJ85" s="13">
        <f>AI85*VLOOKUP('Données projet'!$B$10,Paramètres!$A$1:$I$89,3,0)*VLOOKUP('Données projet'!$B$10,Paramètres!$A$1:$I$89,5,0)</f>
        <v>210.72276333333332</v>
      </c>
      <c r="AK85" s="13">
        <f t="shared" si="89"/>
        <v>52.093496074390977</v>
      </c>
      <c r="AL85" s="20">
        <f t="shared" si="58"/>
        <v>457.73831846845314</v>
      </c>
      <c r="AM85" s="59">
        <f t="shared" si="59"/>
        <v>751.0716518017864</v>
      </c>
      <c r="AN85" s="59">
        <f ca="1">AVERAGE(OFFSET($AM$3,0,0,'Données projet'!$E$10+1,1))-AVERAGE(OFFSET($H$3,0,0,'Données projet'!$E$10+1,1))</f>
        <v>218.3918302549892</v>
      </c>
      <c r="AO85" s="59">
        <f t="shared" si="90"/>
        <v>102.61932145411976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30.974482461471379</v>
      </c>
      <c r="AV85" s="21">
        <f>EXP(-LN(2)/25)*AV84+(1-EXP(-LN(2)/25))/(LN(2)/25)*Calculateur!AQ85*Calculateur!AS85*VLOOKUP('Données projet'!$B$10,Paramètres!$A$1:$I$89,3,0)*0.475*44/12</f>
        <v>13.16309723913518</v>
      </c>
      <c r="AW85" s="21">
        <f>EXP(-LN(2)/2)*AW84+(1-EXP(-LN(2)/2))/(LN(2)/2)*AQ85*AT85*VLOOKUP('Données projet'!$B$10,Paramètres!$A$1:$I$89,3,0)*0.475*44/12</f>
        <v>0.20749529770162142</v>
      </c>
      <c r="AX85" s="21">
        <f t="shared" si="60"/>
        <v>44.345074998308178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1.7948717948717898</v>
      </c>
      <c r="BD85" s="12">
        <f>IF('Données projet'!$A$88&gt;35,BD84+BC85-BL84,IF(A85&lt;'Données projet'!$A$88,$BA$205^A85,IF(A85='Données projet'!$A$88,'Données projet'!$B$88,BD84+BC85-BL84)))</f>
        <v>129.8717948717948</v>
      </c>
      <c r="BE85" s="13">
        <f>BD85*VLOOKUP('Données projet'!$B$11,Paramètres!$A$1:$I$89,3,0)*VLOOKUP('Données projet'!$B$11,Paramètres!$A$1:$I$89,5,0)</f>
        <v>113.45599999999996</v>
      </c>
      <c r="BF85" s="13">
        <f t="shared" si="91"/>
        <v>30.143773345943128</v>
      </c>
      <c r="BG85" s="20">
        <f t="shared" si="61"/>
        <v>250.10293857751753</v>
      </c>
      <c r="BH85" s="59">
        <f t="shared" si="62"/>
        <v>543.43627191085079</v>
      </c>
      <c r="BI85" s="59">
        <f ca="1">AVERAGE(OFFSET($BH$3,0,0,'Données projet'!$E$11+1,1))-AVERAGE(OFFSET($H$3,0,0,'Données projet'!$E$11+1,1))</f>
        <v>112.66486935566058</v>
      </c>
      <c r="BJ85" s="59">
        <f t="shared" si="92"/>
        <v>110.84860075828624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1.1385330737273465</v>
      </c>
      <c r="BQ85" s="21">
        <f>EXP(-LN(2)/25)*BQ84+(1-EXP(-LN(2)/25))/(LN(2)/25)*Calculateur!BL85*Calculateur!BN85*VLOOKUP('Données projet'!$B$11,Paramètres!$A$1:$I$89,3,0)*0.475*44/12</f>
        <v>12.748984565169611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13.887517638896957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5.6843418860808015E-13</v>
      </c>
      <c r="O86" s="13">
        <f>N86*VLOOKUP('Données projet'!$B$9,Paramètres!$A$1:$I$89,3,0)*VLOOKUP('Données projet'!$B$9,Paramètres!$A$1:$I$89,5,0)</f>
        <v>3.177547114319168E-13</v>
      </c>
      <c r="P86" s="13">
        <f t="shared" si="87"/>
        <v>4.1725404435445377E-12</v>
      </c>
      <c r="Q86" s="20">
        <f t="shared" si="54"/>
        <v>7.820597394917325E-12</v>
      </c>
      <c r="R86" s="59">
        <f t="shared" si="55"/>
        <v>293.33333333334116</v>
      </c>
      <c r="S86" s="59">
        <f ca="1">AVERAGE(OFFSET($R$3,0,0,'Données projet'!$E$9+1,1))-AVERAGE(OFFSET($H$3,0,0,'Données projet'!$E$9+1,1))</f>
        <v>314.07001555875894</v>
      </c>
      <c r="T86" s="59">
        <f t="shared" si="88"/>
        <v>281.53154885904991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178.37260507756537</v>
      </c>
      <c r="AA86" s="21">
        <f>EXP(-LN(2)/25)*AA85+(1-EXP(-LN(2)/25))/(LN(2)/25)*Calculateur!V86*Calculateur!X86*VLOOKUP('Données projet'!$B$9,Paramètres!$A$1:$I$89,3,0)*0.475*44/12</f>
        <v>53.528410552290445</v>
      </c>
      <c r="AB86" s="21">
        <f>EXP(-LN(2)/2)*AB85+(1-EXP(-LN(2)/2))/(LN(2)/2)*V86*Y86*VLOOKUP('Données projet'!$B$9,Paramètres!$A$1:$I$89,3,0)*0.475*44/12</f>
        <v>0.83422606665174626</v>
      </c>
      <c r="AC86" s="22">
        <f t="shared" si="57"/>
        <v>232.73524169650756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8.8608333333333373</v>
      </c>
      <c r="AI86" s="13">
        <f>IF('Données projet'!$A$62&gt;35,AI85+AH86-AQ85,IF(A86&lt;'Données projet'!$A$62,$AF$205^A86,IF(A86='Données projet'!$A$62,'Données projet'!$B$62,AI85+AH86-AQ85)))</f>
        <v>485.60916666666662</v>
      </c>
      <c r="AJ86" s="13">
        <f>AI86*VLOOKUP('Données projet'!$B$10,Paramètres!$A$1:$I$89,3,0)*VLOOKUP('Données projet'!$B$10,Paramètres!$A$1:$I$89,5,0)</f>
        <v>214.63925166666667</v>
      </c>
      <c r="AK86" s="13">
        <f t="shared" si="89"/>
        <v>52.948086031789629</v>
      </c>
      <c r="AL86" s="20">
        <f t="shared" si="58"/>
        <v>466.04794649147794</v>
      </c>
      <c r="AM86" s="59">
        <f t="shared" si="59"/>
        <v>759.38127982481126</v>
      </c>
      <c r="AN86" s="59">
        <f ca="1">AVERAGE(OFFSET($AM$3,0,0,'Données projet'!$E$10+1,1))-AVERAGE(OFFSET($H$3,0,0,'Données projet'!$E$10+1,1))</f>
        <v>218.3918302549892</v>
      </c>
      <c r="AO86" s="59">
        <f t="shared" si="90"/>
        <v>102.61932145411976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30.36709175297074</v>
      </c>
      <c r="AV86" s="21">
        <f>EXP(-LN(2)/25)*AV85+(1-EXP(-LN(2)/25))/(LN(2)/25)*Calculateur!AQ86*Calculateur!AS86*VLOOKUP('Données projet'!$B$10,Paramètres!$A$1:$I$89,3,0)*0.475*44/12</f>
        <v>12.803151652913829</v>
      </c>
      <c r="AW86" s="21">
        <f>EXP(-LN(2)/2)*AW85+(1-EXP(-LN(2)/2))/(LN(2)/2)*AQ86*AT86*VLOOKUP('Données projet'!$B$10,Paramètres!$A$1:$I$89,3,0)*0.475*44/12</f>
        <v>0.14672133206913796</v>
      </c>
      <c r="AX86" s="21">
        <f t="shared" si="60"/>
        <v>43.316964737953711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1.7948717948717898</v>
      </c>
      <c r="BD86" s="12">
        <f>IF('Données projet'!$A$88&gt;35,BD85+BC86-BL85,IF(A86&lt;'Données projet'!$A$88,$BA$205^A86,IF(A86='Données projet'!$A$88,'Données projet'!$B$88,BD85+BC86-BL85)))</f>
        <v>131.6666666666666</v>
      </c>
      <c r="BE86" s="13">
        <f>BD86*VLOOKUP('Données projet'!$B$11,Paramètres!$A$1:$I$89,3,0)*VLOOKUP('Données projet'!$B$11,Paramètres!$A$1:$I$89,5,0)</f>
        <v>115.02399999999996</v>
      </c>
      <c r="BF86" s="13">
        <f t="shared" si="91"/>
        <v>30.511583941282172</v>
      </c>
      <c r="BG86" s="20">
        <f t="shared" si="61"/>
        <v>253.47447536439972</v>
      </c>
      <c r="BH86" s="59">
        <f t="shared" si="62"/>
        <v>546.80780869773298</v>
      </c>
      <c r="BI86" s="59">
        <f ca="1">AVERAGE(OFFSET($BH$3,0,0,'Données projet'!$E$11+1,1))-AVERAGE(OFFSET($H$3,0,0,'Données projet'!$E$11+1,1))</f>
        <v>112.66486935566058</v>
      </c>
      <c r="BJ86" s="59">
        <f t="shared" si="92"/>
        <v>110.84860075828624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1.1162071345881583</v>
      </c>
      <c r="BQ86" s="21">
        <f>EXP(-LN(2)/25)*BQ85+(1-EXP(-LN(2)/25))/(LN(2)/25)*Calculateur!BL86*Calculateur!BN86*VLOOKUP('Données projet'!$B$11,Paramètres!$A$1:$I$89,3,0)*0.475*44/12</f>
        <v>12.400362911795087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13.516570046383245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5.6843418860808015E-13</v>
      </c>
      <c r="O87" s="13">
        <f>N87*VLOOKUP('Données projet'!$B$9,Paramètres!$A$1:$I$89,3,0)*VLOOKUP('Données projet'!$B$9,Paramètres!$A$1:$I$89,5,0)</f>
        <v>3.177547114319168E-13</v>
      </c>
      <c r="P87" s="13">
        <f t="shared" si="87"/>
        <v>4.1725404435445377E-12</v>
      </c>
      <c r="Q87" s="20">
        <f t="shared" si="54"/>
        <v>7.820597394917325E-12</v>
      </c>
      <c r="R87" s="59">
        <f t="shared" si="55"/>
        <v>293.33333333334116</v>
      </c>
      <c r="S87" s="59">
        <f ca="1">AVERAGE(OFFSET($R$3,0,0,'Données projet'!$E$9+1,1))-AVERAGE(OFFSET($H$3,0,0,'Données projet'!$E$9+1,1))</f>
        <v>314.07001555875894</v>
      </c>
      <c r="T87" s="59">
        <f t="shared" si="88"/>
        <v>281.53154885904991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174.87482708854066</v>
      </c>
      <c r="AA87" s="21">
        <f>EXP(-LN(2)/25)*AA86+(1-EXP(-LN(2)/25))/(LN(2)/25)*Calculateur!V87*Calculateur!X87*VLOOKUP('Données projet'!$B$9,Paramètres!$A$1:$I$89,3,0)*0.475*44/12</f>
        <v>52.064673350801293</v>
      </c>
      <c r="AB87" s="21">
        <f>EXP(-LN(2)/2)*AB86+(1-EXP(-LN(2)/2))/(LN(2)/2)*V87*Y87*VLOOKUP('Données projet'!$B$9,Paramètres!$A$1:$I$89,3,0)*0.475*44/12</f>
        <v>0.58988690877203054</v>
      </c>
      <c r="AC87" s="22">
        <f t="shared" si="57"/>
        <v>227.52938734811397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494.47</v>
      </c>
      <c r="AG87" s="12">
        <f>VLOOKUP(A87,'Données projet'!$A$61:$I$81,9,0)</f>
        <v>8.8608333333333373</v>
      </c>
      <c r="AH87" s="12">
        <f t="array" ref="AH87">INDEX(AG:AG,MIN(IF(ISNUMBER(AG87:AG283),ROW(AG87:AG283),"")))</f>
        <v>8.8608333333333373</v>
      </c>
      <c r="AI87" s="13">
        <f>IF('Données projet'!$A$62&gt;35,AI86+AH87-AQ86,IF(A87&lt;'Données projet'!$A$62,$AF$205^A87,IF(A87='Données projet'!$A$62,'Données projet'!$B$62,AI86+AH87-AQ86)))</f>
        <v>494.46999999999997</v>
      </c>
      <c r="AJ87" s="13">
        <f>AI87*VLOOKUP('Données projet'!$B$10,Paramètres!$A$1:$I$89,3,0)*VLOOKUP('Données projet'!$B$10,Paramètres!$A$1:$I$89,5,0)</f>
        <v>218.55574000000001</v>
      </c>
      <c r="AK87" s="13">
        <f t="shared" si="89"/>
        <v>53.800862717793635</v>
      </c>
      <c r="AL87" s="20">
        <f t="shared" si="58"/>
        <v>474.35441640015728</v>
      </c>
      <c r="AM87" s="59">
        <f t="shared" si="59"/>
        <v>767.68774973349059</v>
      </c>
      <c r="AN87" s="59">
        <f ca="1">AVERAGE(OFFSET($AM$3,0,0,'Données projet'!$E$10+1,1))-AVERAGE(OFFSET($H$3,0,0,'Données projet'!$E$10+1,1))</f>
        <v>218.3918302549892</v>
      </c>
      <c r="AO87" s="59">
        <f t="shared" si="90"/>
        <v>102.61932145411976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70.220000000000027</v>
      </c>
      <c r="AR87" s="16">
        <f>IF(ISNA(VLOOKUP(A87,'Données projet'!$A$61:$I$81,5,0)),0%,VLOOKUP(A87,'Données projet'!$A$61:$I$81,5,0)*VLOOKUP('Données projet'!$B$10,Paramètres!$A$1:$I$89,7,0))</f>
        <v>0.33</v>
      </c>
      <c r="AS87" s="16">
        <f>IF(ISNA(VLOOKUP(A87,'Données projet'!$A$61:$I$81,6,0)),0%,VLOOKUP(A87,'Données projet'!$A$61:$I$81,6,0)*VLOOKUP('Données projet'!$B$10,Paramètres!$A$1:$I$89,7,0))</f>
        <v>0.11000000000000001</v>
      </c>
      <c r="AT87" s="16">
        <f>IF(ISNA(VLOOKUP(A87,'Données projet'!$A$61:$I$81,7,0)),0%,VLOOKUP(A87,'Données projet'!$A$61:$I$81,7,0))</f>
        <v>0.2</v>
      </c>
      <c r="AU87" s="21">
        <f>EXP(-LN(2)/35)*AU86+(1-EXP(-LN(2)/35))/(LN(2)/35)*AQ87*AR87*VLOOKUP('Données projet'!$B$10,Paramètres!$A$1:$I$89,3,0)*0.475*44/12</f>
        <v>43.358668400844337</v>
      </c>
      <c r="AV87" s="21">
        <f>EXP(-LN(2)/25)*AV86+(1-EXP(-LN(2)/25))/(LN(2)/25)*Calculateur!AQ87*Calculateur!AS87*VLOOKUP('Données projet'!$B$10,Paramètres!$A$1:$I$89,3,0)*0.475*44/12</f>
        <v>16.96423525613497</v>
      </c>
      <c r="AW87" s="21">
        <f>EXP(-LN(2)/2)*AW86+(1-EXP(-LN(2)/2))/(LN(2)/2)*AQ87*AT87*VLOOKUP('Données projet'!$B$10,Paramètres!$A$1:$I$89,3,0)*0.475*44/12</f>
        <v>7.1320207596668803</v>
      </c>
      <c r="AX87" s="21">
        <f t="shared" si="60"/>
        <v>67.454924416646193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1.7948717948717898</v>
      </c>
      <c r="BD87" s="12">
        <f>IF('Données projet'!$A$88&gt;35,BD86+BC87-BL86,IF(A87&lt;'Données projet'!$A$88,$BA$205^A87,IF(A87='Données projet'!$A$88,'Données projet'!$B$88,BD86+BC87-BL86)))</f>
        <v>133.4615384615384</v>
      </c>
      <c r="BE87" s="13">
        <f>BD87*VLOOKUP('Données projet'!$B$11,Paramètres!$A$1:$I$89,3,0)*VLOOKUP('Données projet'!$B$11,Paramètres!$A$1:$I$89,5,0)</f>
        <v>116.59199999999996</v>
      </c>
      <c r="BF87" s="13">
        <f t="shared" si="91"/>
        <v>30.87881135407634</v>
      </c>
      <c r="BG87" s="20">
        <f t="shared" si="61"/>
        <v>256.84499644168284</v>
      </c>
      <c r="BH87" s="59">
        <f t="shared" si="62"/>
        <v>550.17832977501621</v>
      </c>
      <c r="BI87" s="59">
        <f ca="1">AVERAGE(OFFSET($BH$3,0,0,'Données projet'!$E$11+1,1))-AVERAGE(OFFSET($H$3,0,0,'Données projet'!$E$11+1,1))</f>
        <v>112.66486935566058</v>
      </c>
      <c r="BJ87" s="59">
        <f t="shared" si="92"/>
        <v>110.84860075828624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1.0943189934980113</v>
      </c>
      <c r="BQ87" s="21">
        <f>EXP(-LN(2)/25)*BQ86+(1-EXP(-LN(2)/25))/(LN(2)/25)*Calculateur!BL87*Calculateur!BN87*VLOOKUP('Données projet'!$B$11,Paramètres!$A$1:$I$89,3,0)*0.475*44/12</f>
        <v>12.061274335865306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13.155593329363317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5.6843418860808015E-13</v>
      </c>
      <c r="O88" s="13">
        <f>N88*VLOOKUP('Données projet'!$B$9,Paramètres!$A$1:$I$89,3,0)*VLOOKUP('Données projet'!$B$9,Paramètres!$A$1:$I$89,5,0)</f>
        <v>3.177547114319168E-13</v>
      </c>
      <c r="P88" s="13">
        <f t="shared" si="87"/>
        <v>4.1725404435445377E-12</v>
      </c>
      <c r="Q88" s="20">
        <f t="shared" si="54"/>
        <v>7.820597394917325E-12</v>
      </c>
      <c r="R88" s="59">
        <f t="shared" si="55"/>
        <v>293.33333333334116</v>
      </c>
      <c r="S88" s="59">
        <f ca="1">AVERAGE(OFFSET($R$3,0,0,'Données projet'!$E$9+1,1))-AVERAGE(OFFSET($H$3,0,0,'Données projet'!$E$9+1,1))</f>
        <v>314.07001555875894</v>
      </c>
      <c r="T88" s="59">
        <f t="shared" si="88"/>
        <v>281.53154885904991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171.4456383924468</v>
      </c>
      <c r="AA88" s="21">
        <f>EXP(-LN(2)/25)*AA87+(1-EXP(-LN(2)/25))/(LN(2)/25)*Calculateur!V88*Calculateur!X88*VLOOKUP('Données projet'!$B$9,Paramètres!$A$1:$I$89,3,0)*0.475*44/12</f>
        <v>50.640962120061452</v>
      </c>
      <c r="AB88" s="21">
        <f>EXP(-LN(2)/2)*AB87+(1-EXP(-LN(2)/2))/(LN(2)/2)*V88*Y88*VLOOKUP('Données projet'!$B$9,Paramètres!$A$1:$I$89,3,0)*0.475*44/12</f>
        <v>0.41711303332587313</v>
      </c>
      <c r="AC88" s="22">
        <f t="shared" si="57"/>
        <v>222.50371354583413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7.1416666666666657</v>
      </c>
      <c r="AI88" s="13">
        <f>IF('Données projet'!$A$62&gt;35,AI87+AH88-AQ87,IF(A88&lt;'Données projet'!$A$62,$AF$205^A88,IF(A88='Données projet'!$A$62,'Données projet'!$B$62,AI87+AH88-AQ87)))</f>
        <v>431.39166666666659</v>
      </c>
      <c r="AJ88" s="13">
        <f>AI88*VLOOKUP('Données projet'!$B$10,Paramètres!$A$1:$I$89,3,0)*VLOOKUP('Données projet'!$B$10,Paramètres!$A$1:$I$89,5,0)</f>
        <v>190.67511666666664</v>
      </c>
      <c r="AK88" s="13">
        <f t="shared" si="89"/>
        <v>47.689180734978663</v>
      </c>
      <c r="AL88" s="20">
        <f t="shared" si="58"/>
        <v>415.15115130786558</v>
      </c>
      <c r="AM88" s="59">
        <f t="shared" si="59"/>
        <v>708.48448464119883</v>
      </c>
      <c r="AN88" s="59">
        <f ca="1">AVERAGE(OFFSET($AM$3,0,0,'Données projet'!$E$10+1,1))-AVERAGE(OFFSET($H$3,0,0,'Données projet'!$E$10+1,1))</f>
        <v>218.3918302549892</v>
      </c>
      <c r="AO88" s="59">
        <f t="shared" si="90"/>
        <v>102.61932145411976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42.508431359680159</v>
      </c>
      <c r="AV88" s="21">
        <f>EXP(-LN(2)/25)*AV87+(1-EXP(-LN(2)/25))/(LN(2)/25)*Calculateur!AQ88*Calculateur!AS88*VLOOKUP('Données projet'!$B$10,Paramètres!$A$1:$I$89,3,0)*0.475*44/12</f>
        <v>16.500347350945599</v>
      </c>
      <c r="AW88" s="21">
        <f>EXP(-LN(2)/2)*AW87+(1-EXP(-LN(2)/2))/(LN(2)/2)*AQ88*AT88*VLOOKUP('Données projet'!$B$10,Paramètres!$A$1:$I$89,3,0)*0.475*44/12</f>
        <v>5.0431002427236837</v>
      </c>
      <c r="AX88" s="21">
        <f t="shared" si="60"/>
        <v>64.051878953349444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135.25641025641025</v>
      </c>
      <c r="BB88" s="12">
        <f>VLOOKUP(A88,'Données projet'!$A$87:$I$107,9,0)</f>
        <v>1.7948717948717898</v>
      </c>
      <c r="BC88" s="12">
        <f t="array" ref="BC88">INDEX(BB:BB,MIN(IF(ISNUMBER(BB88:BB284),ROW(BB88:BB284),"")))</f>
        <v>1.7948717948717898</v>
      </c>
      <c r="BD88" s="12">
        <f>IF('Données projet'!$A$88&gt;35,BD87+BC88-BL87,IF(A88&lt;'Données projet'!$A$88,$BA$205^A88,IF(A88='Données projet'!$A$88,'Données projet'!$B$88,BD87+BC88-BL87)))</f>
        <v>135.25641025641019</v>
      </c>
      <c r="BE88" s="13">
        <f>BD88*VLOOKUP('Données projet'!$B$11,Paramètres!$A$1:$I$89,3,0)*VLOOKUP('Données projet'!$B$11,Paramètres!$A$1:$I$89,5,0)</f>
        <v>118.15999999999995</v>
      </c>
      <c r="BF88" s="13">
        <f t="shared" si="91"/>
        <v>31.245464333923785</v>
      </c>
      <c r="BG88" s="20">
        <f t="shared" si="61"/>
        <v>260.21451704825046</v>
      </c>
      <c r="BH88" s="59">
        <f t="shared" si="62"/>
        <v>553.54785038158377</v>
      </c>
      <c r="BI88" s="59">
        <f ca="1">AVERAGE(OFFSET($BH$3,0,0,'Données projet'!$E$11+1,1))-AVERAGE(OFFSET($H$3,0,0,'Données projet'!$E$11+1,1))</f>
        <v>112.66486935566058</v>
      </c>
      <c r="BJ88" s="59">
        <f t="shared" si="92"/>
        <v>110.84860075828624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6.4102564102564097</v>
      </c>
      <c r="BM88" s="16">
        <f>IF(ISNA(VLOOKUP(A88,'Données projet'!$A$87:$I$107,5,0)),0%,VLOOKUP(A88,'Données projet'!$A$87:$I$107,5,0)*VLOOKUP('Données projet'!$B$11,Paramètres!$A$1:$I$89,7,0))</f>
        <v>4.3000000000000003E-2</v>
      </c>
      <c r="BN88" s="16">
        <f>IF(ISNA(VLOOKUP(A88,'Données projet'!$A$87:$I$107,6,0)),0%,VLOOKUP(A88,'Données projet'!$A$87:$I$107,6,0)*VLOOKUP('Données projet'!$B$11,Paramètres!$A$1:$I$89,7,0))</f>
        <v>0.215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1.3390573328957287</v>
      </c>
      <c r="BQ88" s="21">
        <f>EXP(-LN(2)/25)*BQ87+(1-EXP(-LN(2)/25))/(LN(2)/25)*Calculateur!BL88*Calculateur!BN88*VLOOKUP('Données projet'!$B$11,Paramètres!$A$1:$I$89,3,0)*0.475*44/12</f>
        <v>13.057203891479734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14.396261224375463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5.6843418860808015E-13</v>
      </c>
      <c r="O89" s="13">
        <f>N89*VLOOKUP('Données projet'!$B$9,Paramètres!$A$1:$I$89,3,0)*VLOOKUP('Données projet'!$B$9,Paramètres!$A$1:$I$89,5,0)</f>
        <v>3.177547114319168E-13</v>
      </c>
      <c r="P89" s="13">
        <f t="shared" si="87"/>
        <v>4.1725404435445377E-12</v>
      </c>
      <c r="Q89" s="20">
        <f t="shared" si="54"/>
        <v>7.820597394917325E-12</v>
      </c>
      <c r="R89" s="59">
        <f t="shared" si="55"/>
        <v>293.33333333334116</v>
      </c>
      <c r="S89" s="59">
        <f ca="1">AVERAGE(OFFSET($R$3,0,0,'Données projet'!$E$9+1,1))-AVERAGE(OFFSET($H$3,0,0,'Données projet'!$E$9+1,1))</f>
        <v>314.07001555875894</v>
      </c>
      <c r="T89" s="59">
        <f t="shared" si="88"/>
        <v>281.53154885904991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168.08369399508476</v>
      </c>
      <c r="AA89" s="21">
        <f>EXP(-LN(2)/25)*AA88+(1-EXP(-LN(2)/25))/(LN(2)/25)*Calculateur!V89*Calculateur!X89*VLOOKUP('Données projet'!$B$9,Paramètres!$A$1:$I$89,3,0)*0.475*44/12</f>
        <v>49.256182347795914</v>
      </c>
      <c r="AB89" s="21">
        <f>EXP(-LN(2)/2)*AB88+(1-EXP(-LN(2)/2))/(LN(2)/2)*V89*Y89*VLOOKUP('Données projet'!$B$9,Paramètres!$A$1:$I$89,3,0)*0.475*44/12</f>
        <v>0.29494345438601527</v>
      </c>
      <c r="AC89" s="22">
        <f t="shared" si="57"/>
        <v>217.63481979726669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7.1416666666666657</v>
      </c>
      <c r="AI89" s="13">
        <f>IF('Données projet'!$A$62&gt;35,AI88+AH89-AQ88,IF(A89&lt;'Données projet'!$A$62,$AF$205^A89,IF(A89='Données projet'!$A$62,'Données projet'!$B$62,AI88+AH89-AQ88)))</f>
        <v>438.53333333333325</v>
      </c>
      <c r="AJ89" s="13">
        <f>AI89*VLOOKUP('Données projet'!$B$10,Paramètres!$A$1:$I$89,3,0)*VLOOKUP('Données projet'!$B$10,Paramètres!$A$1:$I$89,5,0)</f>
        <v>193.83173333333332</v>
      </c>
      <c r="AK89" s="13">
        <f t="shared" si="89"/>
        <v>48.386107763249008</v>
      </c>
      <c r="AL89" s="20">
        <f t="shared" si="58"/>
        <v>421.86273990988087</v>
      </c>
      <c r="AM89" s="59">
        <f t="shared" si="59"/>
        <v>715.19607324321419</v>
      </c>
      <c r="AN89" s="59">
        <f ca="1">AVERAGE(OFFSET($AM$3,0,0,'Données projet'!$E$10+1,1))-AVERAGE(OFFSET($H$3,0,0,'Données projet'!$E$10+1,1))</f>
        <v>218.3918302549892</v>
      </c>
      <c r="AO89" s="59">
        <f t="shared" si="90"/>
        <v>102.61932145411976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41.674866948299822</v>
      </c>
      <c r="AV89" s="21">
        <f>EXP(-LN(2)/25)*AV88+(1-EXP(-LN(2)/25))/(LN(2)/25)*Calculateur!AQ89*Calculateur!AS89*VLOOKUP('Données projet'!$B$10,Paramètres!$A$1:$I$89,3,0)*0.475*44/12</f>
        <v>16.049144484918436</v>
      </c>
      <c r="AW89" s="21">
        <f>EXP(-LN(2)/2)*AW88+(1-EXP(-LN(2)/2))/(LN(2)/2)*AQ89*AT89*VLOOKUP('Données projet'!$B$10,Paramètres!$A$1:$I$89,3,0)*0.475*44/12</f>
        <v>3.5660103798334406</v>
      </c>
      <c r="AX89" s="21">
        <f t="shared" si="60"/>
        <v>61.290021813051702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1.7948717948717956</v>
      </c>
      <c r="BD89" s="12">
        <f>IF('Données projet'!$A$88&gt;35,BD88+BC89-BL88,IF(A89&lt;'Données projet'!$A$88,$BA$205^A89,IF(A89='Données projet'!$A$88,'Données projet'!$B$88,BD88+BC89-BL88)))</f>
        <v>130.64102564102558</v>
      </c>
      <c r="BE89" s="13">
        <f>BD89*VLOOKUP('Données projet'!$B$11,Paramètres!$A$1:$I$89,3,0)*VLOOKUP('Données projet'!$B$11,Paramètres!$A$1:$I$89,5,0)</f>
        <v>114.12799999999996</v>
      </c>
      <c r="BF89" s="13">
        <f t="shared" si="91"/>
        <v>30.301478439970456</v>
      </c>
      <c r="BG89" s="20">
        <f t="shared" si="61"/>
        <v>251.54800828294844</v>
      </c>
      <c r="BH89" s="59">
        <f t="shared" si="62"/>
        <v>544.88134161628182</v>
      </c>
      <c r="BI89" s="59">
        <f ca="1">AVERAGE(OFFSET($BH$3,0,0,'Données projet'!$E$11+1,1))-AVERAGE(OFFSET($H$3,0,0,'Données projet'!$E$11+1,1))</f>
        <v>112.66486935566058</v>
      </c>
      <c r="BJ89" s="59">
        <f t="shared" si="92"/>
        <v>110.84860075828624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1.3127992353419697</v>
      </c>
      <c r="BQ89" s="21">
        <f>EXP(-LN(2)/25)*BQ88+(1-EXP(-LN(2)/25))/(LN(2)/25)*Calculateur!BL89*Calculateur!BN89*VLOOKUP('Données projet'!$B$11,Paramètres!$A$1:$I$89,3,0)*0.475*44/12</f>
        <v>12.70015396441871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14.01295319976068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5.6843418860808015E-13</v>
      </c>
      <c r="O90" s="13">
        <f>N90*VLOOKUP('Données projet'!$B$9,Paramètres!$A$1:$I$89,3,0)*VLOOKUP('Données projet'!$B$9,Paramètres!$A$1:$I$89,5,0)</f>
        <v>3.177547114319168E-13</v>
      </c>
      <c r="P90" s="13">
        <f t="shared" si="87"/>
        <v>4.1725404435445377E-12</v>
      </c>
      <c r="Q90" s="20">
        <f t="shared" si="54"/>
        <v>7.820597394917325E-12</v>
      </c>
      <c r="R90" s="59">
        <f t="shared" si="55"/>
        <v>293.33333333334116</v>
      </c>
      <c r="S90" s="59">
        <f ca="1">AVERAGE(OFFSET($R$3,0,0,'Données projet'!$E$9+1,1))-AVERAGE(OFFSET($H$3,0,0,'Données projet'!$E$9+1,1))</f>
        <v>314.07001555875894</v>
      </c>
      <c r="T90" s="59">
        <f t="shared" si="88"/>
        <v>281.53154885904991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164.78767527677138</v>
      </c>
      <c r="AA90" s="21">
        <f>EXP(-LN(2)/25)*AA89+(1-EXP(-LN(2)/25))/(LN(2)/25)*Calculateur!V90*Calculateur!X90*VLOOKUP('Données projet'!$B$9,Paramètres!$A$1:$I$89,3,0)*0.475*44/12</f>
        <v>47.909269451225384</v>
      </c>
      <c r="AB90" s="21">
        <f>EXP(-LN(2)/2)*AB89+(1-EXP(-LN(2)/2))/(LN(2)/2)*V90*Y90*VLOOKUP('Données projet'!$B$9,Paramètres!$A$1:$I$89,3,0)*0.475*44/12</f>
        <v>0.20855651666293656</v>
      </c>
      <c r="AC90" s="22">
        <f t="shared" si="57"/>
        <v>212.90550124465969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7.1416666666666657</v>
      </c>
      <c r="AI90" s="13">
        <f>IF('Données projet'!$A$62&gt;35,AI89+AH90-AQ89,IF(A90&lt;'Données projet'!$A$62,$AF$205^A90,IF(A90='Données projet'!$A$62,'Données projet'!$B$62,AI89+AH90-AQ89)))</f>
        <v>445.6749999999999</v>
      </c>
      <c r="AJ90" s="13">
        <f>AI90*VLOOKUP('Données projet'!$B$10,Paramètres!$A$1:$I$89,3,0)*VLOOKUP('Données projet'!$B$10,Paramètres!$A$1:$I$89,5,0)</f>
        <v>196.98835</v>
      </c>
      <c r="AK90" s="13">
        <f t="shared" si="89"/>
        <v>49.08171487644772</v>
      </c>
      <c r="AL90" s="20">
        <f t="shared" si="58"/>
        <v>428.57202965981304</v>
      </c>
      <c r="AM90" s="59">
        <f t="shared" si="59"/>
        <v>721.90536299314635</v>
      </c>
      <c r="AN90" s="59">
        <f ca="1">AVERAGE(OFFSET($AM$3,0,0,'Données projet'!$E$10+1,1))-AVERAGE(OFFSET($H$3,0,0,'Données projet'!$E$10+1,1))</f>
        <v>218.3918302549892</v>
      </c>
      <c r="AO90" s="59">
        <f t="shared" si="90"/>
        <v>102.61932145411976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40.857648226602571</v>
      </c>
      <c r="AV90" s="21">
        <f>EXP(-LN(2)/25)*AV89+(1-EXP(-LN(2)/25))/(LN(2)/25)*Calculateur!AQ90*Calculateur!AS90*VLOOKUP('Données projet'!$B$10,Paramètres!$A$1:$I$89,3,0)*0.475*44/12</f>
        <v>15.610279784990514</v>
      </c>
      <c r="AW90" s="21">
        <f>EXP(-LN(2)/2)*AW89+(1-EXP(-LN(2)/2))/(LN(2)/2)*AQ90*AT90*VLOOKUP('Données projet'!$B$10,Paramètres!$A$1:$I$89,3,0)*0.475*44/12</f>
        <v>2.5215501213618419</v>
      </c>
      <c r="AX90" s="21">
        <f t="shared" si="60"/>
        <v>58.989478132954929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1.7948717948717956</v>
      </c>
      <c r="BD90" s="12">
        <f>IF('Données projet'!$A$88&gt;35,BD89+BC90-BL89,IF(A90&lt;'Données projet'!$A$88,$BA$205^A90,IF(A90='Données projet'!$A$88,'Données projet'!$B$88,BD89+BC90-BL89)))</f>
        <v>132.43589743589737</v>
      </c>
      <c r="BE90" s="13">
        <f>BD90*VLOOKUP('Données projet'!$B$11,Paramètres!$A$1:$I$89,3,0)*VLOOKUP('Données projet'!$B$11,Paramètres!$A$1:$I$89,5,0)</f>
        <v>115.69599999999996</v>
      </c>
      <c r="BF90" s="13">
        <f t="shared" si="91"/>
        <v>30.669038012373807</v>
      </c>
      <c r="BG90" s="20">
        <f t="shared" si="61"/>
        <v>254.91910787155098</v>
      </c>
      <c r="BH90" s="59">
        <f t="shared" si="62"/>
        <v>548.25244120488424</v>
      </c>
      <c r="BI90" s="59">
        <f ca="1">AVERAGE(OFFSET($BH$3,0,0,'Données projet'!$E$11+1,1))-AVERAGE(OFFSET($H$3,0,0,'Données projet'!$E$11+1,1))</f>
        <v>112.66486935566058</v>
      </c>
      <c r="BJ90" s="59">
        <f t="shared" si="92"/>
        <v>110.84860075828624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1.2870560430653819</v>
      </c>
      <c r="BQ90" s="21">
        <f>EXP(-LN(2)/25)*BQ89+(1-EXP(-LN(2)/25))/(LN(2)/25)*Calculateur!BL90*Calculateur!BN90*VLOOKUP('Données projet'!$B$11,Paramètres!$A$1:$I$89,3,0)*0.475*44/12</f>
        <v>12.35286758638961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13.639923629454993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5.6843418860808015E-13</v>
      </c>
      <c r="O91" s="13">
        <f>N91*VLOOKUP('Données projet'!$B$9,Paramètres!$A$1:$I$89,3,0)*VLOOKUP('Données projet'!$B$9,Paramètres!$A$1:$I$89,5,0)</f>
        <v>3.177547114319168E-13</v>
      </c>
      <c r="P91" s="13">
        <f t="shared" si="87"/>
        <v>4.1725404435445377E-12</v>
      </c>
      <c r="Q91" s="20">
        <f t="shared" si="54"/>
        <v>7.820597394917325E-12</v>
      </c>
      <c r="R91" s="59">
        <f t="shared" si="55"/>
        <v>293.33333333334116</v>
      </c>
      <c r="S91" s="59">
        <f ca="1">AVERAGE(OFFSET($R$3,0,0,'Données projet'!$E$9+1,1))-AVERAGE(OFFSET($H$3,0,0,'Données projet'!$E$9+1,1))</f>
        <v>314.07001555875894</v>
      </c>
      <c r="T91" s="59">
        <f t="shared" si="88"/>
        <v>281.53154885904991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161.55628947515123</v>
      </c>
      <c r="AA91" s="21">
        <f>EXP(-LN(2)/25)*AA90+(1-EXP(-LN(2)/25))/(LN(2)/25)*Calculateur!V91*Calculateur!X91*VLOOKUP('Données projet'!$B$9,Paramètres!$A$1:$I$89,3,0)*0.475*44/12</f>
        <v>46.599187958642645</v>
      </c>
      <c r="AB91" s="21">
        <f>EXP(-LN(2)/2)*AB90+(1-EXP(-LN(2)/2))/(LN(2)/2)*V91*Y91*VLOOKUP('Données projet'!$B$9,Paramètres!$A$1:$I$89,3,0)*0.475*44/12</f>
        <v>0.14747172719300763</v>
      </c>
      <c r="AC91" s="22">
        <f t="shared" si="57"/>
        <v>208.30294916098688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7.1416666666666657</v>
      </c>
      <c r="AI91" s="13">
        <f>IF('Données projet'!$A$62&gt;35,AI90+AH91-AQ90,IF(A91&lt;'Données projet'!$A$62,$AF$205^A91,IF(A91='Données projet'!$A$62,'Données projet'!$B$62,AI90+AH91-AQ90)))</f>
        <v>452.81666666666655</v>
      </c>
      <c r="AJ91" s="13">
        <f>AI91*VLOOKUP('Données projet'!$B$10,Paramètres!$A$1:$I$89,3,0)*VLOOKUP('Données projet'!$B$10,Paramètres!$A$1:$I$89,5,0)</f>
        <v>200.14496666666662</v>
      </c>
      <c r="AK91" s="13">
        <f t="shared" si="89"/>
        <v>49.776025667380793</v>
      </c>
      <c r="AL91" s="20">
        <f t="shared" si="58"/>
        <v>435.27906164846587</v>
      </c>
      <c r="AM91" s="59">
        <f t="shared" si="59"/>
        <v>728.61239498179918</v>
      </c>
      <c r="AN91" s="59">
        <f ca="1">AVERAGE(OFFSET($AM$3,0,0,'Données projet'!$E$10+1,1))-AVERAGE(OFFSET($H$3,0,0,'Données projet'!$E$10+1,1))</f>
        <v>218.3918302549892</v>
      </c>
      <c r="AO91" s="59">
        <f t="shared" si="90"/>
        <v>102.61932145411976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40.056454665583594</v>
      </c>
      <c r="AV91" s="21">
        <f>EXP(-LN(2)/25)*AV90+(1-EXP(-LN(2)/25))/(LN(2)/25)*Calculateur!AQ91*Calculateur!AS91*VLOOKUP('Données projet'!$B$10,Paramètres!$A$1:$I$89,3,0)*0.475*44/12</f>
        <v>15.183415863361011</v>
      </c>
      <c r="AW91" s="21">
        <f>EXP(-LN(2)/2)*AW90+(1-EXP(-LN(2)/2))/(LN(2)/2)*AQ91*AT91*VLOOKUP('Données projet'!$B$10,Paramètres!$A$1:$I$89,3,0)*0.475*44/12</f>
        <v>1.7830051899167203</v>
      </c>
      <c r="AX91" s="21">
        <f t="shared" si="60"/>
        <v>57.022875718861329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1.7948717948717956</v>
      </c>
      <c r="BD91" s="12">
        <f>IF('Données projet'!$A$88&gt;35,BD90+BC91-BL90,IF(A91&lt;'Données projet'!$A$88,$BA$205^A91,IF(A91='Données projet'!$A$88,'Données projet'!$B$88,BD90+BC91-BL90)))</f>
        <v>134.23076923076917</v>
      </c>
      <c r="BE91" s="13">
        <f>BD91*VLOOKUP('Données projet'!$B$11,Paramètres!$A$1:$I$89,3,0)*VLOOKUP('Données projet'!$B$11,Paramètres!$A$1:$I$89,5,0)</f>
        <v>117.26399999999995</v>
      </c>
      <c r="BF91" s="13">
        <f t="shared" si="91"/>
        <v>31.03601818279456</v>
      </c>
      <c r="BG91" s="20">
        <f t="shared" si="61"/>
        <v>258.28919833503375</v>
      </c>
      <c r="BH91" s="59">
        <f t="shared" si="62"/>
        <v>551.62253166836706</v>
      </c>
      <c r="BI91" s="59">
        <f ca="1">AVERAGE(OFFSET($BH$3,0,0,'Données projet'!$E$11+1,1))-AVERAGE(OFFSET($H$3,0,0,'Données projet'!$E$11+1,1))</f>
        <v>112.66486935566058</v>
      </c>
      <c r="BJ91" s="59">
        <f t="shared" si="92"/>
        <v>110.84860075828624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1.2618176590875412</v>
      </c>
      <c r="BQ91" s="21">
        <f>EXP(-LN(2)/25)*BQ90+(1-EXP(-LN(2)/25))/(LN(2)/25)*Calculateur!BL91*Calculateur!BN91*VLOOKUP('Données projet'!$B$11,Paramètres!$A$1:$I$89,3,0)*0.475*44/12</f>
        <v>12.015077772630713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13.276895431718254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5.6843418860808015E-13</v>
      </c>
      <c r="O92" s="13">
        <f>N92*VLOOKUP('Données projet'!$B$9,Paramètres!$A$1:$I$89,3,0)*VLOOKUP('Données projet'!$B$9,Paramètres!$A$1:$I$89,5,0)</f>
        <v>3.177547114319168E-13</v>
      </c>
      <c r="P92" s="13">
        <f t="shared" si="87"/>
        <v>4.1725404435445377E-12</v>
      </c>
      <c r="Q92" s="20">
        <f t="shared" si="54"/>
        <v>7.820597394917325E-12</v>
      </c>
      <c r="R92" s="59">
        <f t="shared" si="55"/>
        <v>293.33333333334116</v>
      </c>
      <c r="S92" s="59">
        <f ca="1">AVERAGE(OFFSET($R$3,0,0,'Données projet'!$E$9+1,1))-AVERAGE(OFFSET($H$3,0,0,'Données projet'!$E$9+1,1))</f>
        <v>314.07001555875894</v>
      </c>
      <c r="T92" s="59">
        <f t="shared" si="88"/>
        <v>281.53154885904991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158.38826917815013</v>
      </c>
      <c r="AA92" s="21">
        <f>EXP(-LN(2)/25)*AA91+(1-EXP(-LN(2)/25))/(LN(2)/25)*Calculateur!V92*Calculateur!X92*VLOOKUP('Données projet'!$B$9,Paramètres!$A$1:$I$89,3,0)*0.475*44/12</f>
        <v>45.324930713368772</v>
      </c>
      <c r="AB92" s="21">
        <f>EXP(-LN(2)/2)*AB91+(1-EXP(-LN(2)/2))/(LN(2)/2)*V92*Y92*VLOOKUP('Données projet'!$B$9,Paramètres!$A$1:$I$89,3,0)*0.475*44/12</f>
        <v>0.10427825833146828</v>
      </c>
      <c r="AC92" s="22">
        <f t="shared" si="57"/>
        <v>203.81747814985039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7.1416666666666657</v>
      </c>
      <c r="AI92" s="13">
        <f>IF('Données projet'!$A$62&gt;35,AI91+AH92-AQ91,IF(A92&lt;'Données projet'!$A$62,$AF$205^A92,IF(A92='Données projet'!$A$62,'Données projet'!$B$62,AI91+AH92-AQ91)))</f>
        <v>459.9583333333332</v>
      </c>
      <c r="AJ92" s="13">
        <f>AI92*VLOOKUP('Données projet'!$B$10,Paramètres!$A$1:$I$89,3,0)*VLOOKUP('Données projet'!$B$10,Paramètres!$A$1:$I$89,5,0)</f>
        <v>203.3015833333333</v>
      </c>
      <c r="AK92" s="13">
        <f t="shared" si="89"/>
        <v>50.469062941971906</v>
      </c>
      <c r="AL92" s="20">
        <f t="shared" si="58"/>
        <v>441.98387559615657</v>
      </c>
      <c r="AM92" s="59">
        <f t="shared" si="59"/>
        <v>735.31720892948988</v>
      </c>
      <c r="AN92" s="59">
        <f ca="1">AVERAGE(OFFSET($AM$3,0,0,'Données projet'!$E$10+1,1))-AVERAGE(OFFSET($H$3,0,0,'Données projet'!$E$10+1,1))</f>
        <v>218.3918302549892</v>
      </c>
      <c r="AO92" s="59">
        <f t="shared" si="90"/>
        <v>102.61932145411976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39.27097202161638</v>
      </c>
      <c r="AV92" s="21">
        <f>EXP(-LN(2)/25)*AV91+(1-EXP(-LN(2)/25))/(LN(2)/25)*Calculateur!AQ92*Calculateur!AS92*VLOOKUP('Données projet'!$B$10,Paramètres!$A$1:$I$89,3,0)*0.475*44/12</f>
        <v>14.768224558116266</v>
      </c>
      <c r="AW92" s="21">
        <f>EXP(-LN(2)/2)*AW91+(1-EXP(-LN(2)/2))/(LN(2)/2)*AQ92*AT92*VLOOKUP('Données projet'!$B$10,Paramètres!$A$1:$I$89,3,0)*0.475*44/12</f>
        <v>1.2607750606809209</v>
      </c>
      <c r="AX92" s="21">
        <f t="shared" si="60"/>
        <v>55.299971640413567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1.7948717948717956</v>
      </c>
      <c r="BD92" s="12">
        <f>IF('Données projet'!$A$88&gt;35,BD91+BC92-BL91,IF(A92&lt;'Données projet'!$A$88,$BA$205^A92,IF(A92='Données projet'!$A$88,'Données projet'!$B$88,BD91+BC92-BL91)))</f>
        <v>136.02564102564097</v>
      </c>
      <c r="BE92" s="13">
        <f>BD92*VLOOKUP('Données projet'!$B$11,Paramètres!$A$1:$I$89,3,0)*VLOOKUP('Données projet'!$B$11,Paramètres!$A$1:$I$89,5,0)</f>
        <v>118.83199999999997</v>
      </c>
      <c r="BF92" s="13">
        <f t="shared" si="91"/>
        <v>31.402427594327239</v>
      </c>
      <c r="BG92" s="20">
        <f t="shared" si="61"/>
        <v>261.65829472678655</v>
      </c>
      <c r="BH92" s="59">
        <f t="shared" si="62"/>
        <v>554.99162806011987</v>
      </c>
      <c r="BI92" s="59">
        <f ca="1">AVERAGE(OFFSET($BH$3,0,0,'Données projet'!$E$11+1,1))-AVERAGE(OFFSET($H$3,0,0,'Données projet'!$E$11+1,1))</f>
        <v>112.66486935566058</v>
      </c>
      <c r="BJ92" s="59">
        <f t="shared" si="92"/>
        <v>110.84860075828624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1.2370741844256117</v>
      </c>
      <c r="BQ92" s="21">
        <f>EXP(-LN(2)/25)*BQ91+(1-EXP(-LN(2)/25))/(LN(2)/25)*Calculateur!BL92*Calculateur!BN92*VLOOKUP('Données projet'!$B$11,Paramètres!$A$1:$I$89,3,0)*0.475*44/12</f>
        <v>11.686524839092646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12.923599023518259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5.6843418860808015E-13</v>
      </c>
      <c r="O93" s="13">
        <f>N93*VLOOKUP('Données projet'!$B$9,Paramètres!$A$1:$I$89,3,0)*VLOOKUP('Données projet'!$B$9,Paramètres!$A$1:$I$89,5,0)</f>
        <v>3.177547114319168E-13</v>
      </c>
      <c r="P93" s="13">
        <f t="shared" si="87"/>
        <v>4.1725404435445377E-12</v>
      </c>
      <c r="Q93" s="20">
        <f t="shared" si="54"/>
        <v>7.820597394917325E-12</v>
      </c>
      <c r="R93" s="59">
        <f t="shared" si="55"/>
        <v>293.33333333334116</v>
      </c>
      <c r="S93" s="59">
        <f ca="1">AVERAGE(OFFSET($R$3,0,0,'Données projet'!$E$9+1,1))-AVERAGE(OFFSET($H$3,0,0,'Données projet'!$E$9+1,1))</f>
        <v>314.07001555875894</v>
      </c>
      <c r="T93" s="59">
        <f t="shared" si="88"/>
        <v>281.53154885904991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155.28237182687161</v>
      </c>
      <c r="AA93" s="21">
        <f>EXP(-LN(2)/25)*AA92+(1-EXP(-LN(2)/25))/(LN(2)/25)*Calculateur!V93*Calculateur!X93*VLOOKUP('Données projet'!$B$9,Paramètres!$A$1:$I$89,3,0)*0.475*44/12</f>
        <v>44.085518099477191</v>
      </c>
      <c r="AB93" s="21">
        <f>EXP(-LN(2)/2)*AB92+(1-EXP(-LN(2)/2))/(LN(2)/2)*V93*Y93*VLOOKUP('Données projet'!$B$9,Paramètres!$A$1:$I$89,3,0)*0.475*44/12</f>
        <v>7.3735863596503817E-2</v>
      </c>
      <c r="AC93" s="22">
        <f t="shared" si="57"/>
        <v>199.44162578994531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7.1416666666666657</v>
      </c>
      <c r="AI93" s="13">
        <f>IF('Données projet'!$A$62&gt;35,AI92+AH93-AQ92,IF(A93&lt;'Données projet'!$A$62,$AF$205^A93,IF(A93='Données projet'!$A$62,'Données projet'!$B$62,AI92+AH93-AQ92)))</f>
        <v>467.09999999999985</v>
      </c>
      <c r="AJ93" s="13">
        <f>AI93*VLOOKUP('Données projet'!$B$10,Paramètres!$A$1:$I$89,3,0)*VLOOKUP('Données projet'!$B$10,Paramètres!$A$1:$I$89,5,0)</f>
        <v>206.45819999999995</v>
      </c>
      <c r="AK93" s="13">
        <f t="shared" si="89"/>
        <v>51.160848757309559</v>
      </c>
      <c r="AL93" s="20">
        <f t="shared" si="58"/>
        <v>448.68650991898068</v>
      </c>
      <c r="AM93" s="59">
        <f t="shared" si="59"/>
        <v>742.01984325231399</v>
      </c>
      <c r="AN93" s="59">
        <f ca="1">AVERAGE(OFFSET($AM$3,0,0,'Données projet'!$E$10+1,1))-AVERAGE(OFFSET($H$3,0,0,'Données projet'!$E$10+1,1))</f>
        <v>218.3918302549892</v>
      </c>
      <c r="AO93" s="59">
        <f t="shared" si="90"/>
        <v>102.61932145411976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38.50089221320026</v>
      </c>
      <c r="AV93" s="21">
        <f>EXP(-LN(2)/25)*AV92+(1-EXP(-LN(2)/25))/(LN(2)/25)*Calculateur!AQ93*Calculateur!AS93*VLOOKUP('Données projet'!$B$10,Paramètres!$A$1:$I$89,3,0)*0.475*44/12</f>
        <v>14.364386680947401</v>
      </c>
      <c r="AW93" s="21">
        <f>EXP(-LN(2)/2)*AW92+(1-EXP(-LN(2)/2))/(LN(2)/2)*AQ93*AT93*VLOOKUP('Données projet'!$B$10,Paramètres!$A$1:$I$89,3,0)*0.475*44/12</f>
        <v>0.89150259495836015</v>
      </c>
      <c r="AX93" s="21">
        <f t="shared" si="60"/>
        <v>53.756781489106025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137.82051282051282</v>
      </c>
      <c r="BB93" s="12">
        <f>VLOOKUP(A93,'Données projet'!$A$87:$I$107,9,0)</f>
        <v>1.7948717948717956</v>
      </c>
      <c r="BC93" s="12">
        <f t="array" ref="BC93">INDEX(BB:BB,MIN(IF(ISNUMBER(BB93:BB289),ROW(BB93:BB289),"")))</f>
        <v>1.7948717948717956</v>
      </c>
      <c r="BD93" s="12">
        <f>IF('Données projet'!$A$88&gt;35,BD92+BC93-BL92,IF(A93&lt;'Données projet'!$A$88,$BA$205^A93,IF(A93='Données projet'!$A$88,'Données projet'!$B$88,BD92+BC93-BL92)))</f>
        <v>137.82051282051276</v>
      </c>
      <c r="BE93" s="13">
        <f>BD93*VLOOKUP('Données projet'!$B$11,Paramètres!$A$1:$I$89,3,0)*VLOOKUP('Données projet'!$B$11,Paramètres!$A$1:$I$89,5,0)</f>
        <v>120.39999999999996</v>
      </c>
      <c r="BF93" s="13">
        <f t="shared" si="91"/>
        <v>31.768274648862857</v>
      </c>
      <c r="BG93" s="20">
        <f t="shared" si="61"/>
        <v>265.02641168010274</v>
      </c>
      <c r="BH93" s="59">
        <f t="shared" si="62"/>
        <v>558.35974501343605</v>
      </c>
      <c r="BI93" s="59">
        <f ca="1">AVERAGE(OFFSET($BH$3,0,0,'Données projet'!$E$11+1,1))-AVERAGE(OFFSET($H$3,0,0,'Données projet'!$E$11+1,1))</f>
        <v>112.66486935566058</v>
      </c>
      <c r="BJ93" s="59">
        <f t="shared" si="92"/>
        <v>110.84860075828624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6.4102564102564097</v>
      </c>
      <c r="BM93" s="16">
        <f>IF(ISNA(VLOOKUP(A93,'Données projet'!$A$87:$I$107,5,0)),0%,VLOOKUP(A93,'Données projet'!$A$87:$I$107,5,0)*VLOOKUP('Données projet'!$B$11,Paramètres!$A$1:$I$89,7,0))</f>
        <v>4.3000000000000003E-2</v>
      </c>
      <c r="BN93" s="16">
        <f>IF(ISNA(VLOOKUP(A93,'Données projet'!$A$87:$I$107,6,0)),0%,VLOOKUP(A93,'Données projet'!$A$87:$I$107,6,0)*VLOOKUP('Données projet'!$B$11,Paramètres!$A$1:$I$89,7,0))</f>
        <v>0.215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1.4790131816013075</v>
      </c>
      <c r="BQ93" s="21">
        <f>EXP(-LN(2)/25)*BQ92+(1-EXP(-LN(2)/25))/(LN(2)/25)*Calculateur!BL93*Calculateur!BN93*VLOOKUP('Données projet'!$B$11,Paramètres!$A$1:$I$89,3,0)*0.475*44/12</f>
        <v>12.692701939403541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14.171715121004848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5.6843418860808015E-13</v>
      </c>
      <c r="O94" s="13">
        <f>N94*VLOOKUP('Données projet'!$B$9,Paramètres!$A$1:$I$89,3,0)*VLOOKUP('Données projet'!$B$9,Paramètres!$A$1:$I$89,5,0)</f>
        <v>3.177547114319168E-13</v>
      </c>
      <c r="P94" s="13">
        <f t="shared" si="87"/>
        <v>4.1725404435445377E-12</v>
      </c>
      <c r="Q94" s="20">
        <f t="shared" si="54"/>
        <v>7.820597394917325E-12</v>
      </c>
      <c r="R94" s="59">
        <f t="shared" si="55"/>
        <v>293.33333333334116</v>
      </c>
      <c r="S94" s="59">
        <f ca="1">AVERAGE(OFFSET($R$3,0,0,'Données projet'!$E$9+1,1))-AVERAGE(OFFSET($H$3,0,0,'Données projet'!$E$9+1,1))</f>
        <v>314.07001555875894</v>
      </c>
      <c r="T94" s="59">
        <f t="shared" si="88"/>
        <v>281.53154885904991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152.23737922824134</v>
      </c>
      <c r="AA94" s="21">
        <f>EXP(-LN(2)/25)*AA93+(1-EXP(-LN(2)/25))/(LN(2)/25)*Calculateur!V94*Calculateur!X94*VLOOKUP('Données projet'!$B$9,Paramètres!$A$1:$I$89,3,0)*0.475*44/12</f>
        <v>42.879997288690348</v>
      </c>
      <c r="AB94" s="21">
        <f>EXP(-LN(2)/2)*AB93+(1-EXP(-LN(2)/2))/(LN(2)/2)*V94*Y94*VLOOKUP('Données projet'!$B$9,Paramètres!$A$1:$I$89,3,0)*0.475*44/12</f>
        <v>5.2139129165734141E-2</v>
      </c>
      <c r="AC94" s="22">
        <f t="shared" si="57"/>
        <v>195.16951564609744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7.1416666666666657</v>
      </c>
      <c r="AI94" s="13">
        <f>IF('Données projet'!$A$62&gt;35,AI93+AH94-AQ93,IF(A94&lt;'Données projet'!$A$62,$AF$205^A94,IF(A94='Données projet'!$A$62,'Données projet'!$B$62,AI93+AH94-AQ93)))</f>
        <v>474.2416666666665</v>
      </c>
      <c r="AJ94" s="13">
        <f>AI94*VLOOKUP('Données projet'!$B$10,Paramètres!$A$1:$I$89,3,0)*VLOOKUP('Données projet'!$B$10,Paramètres!$A$1:$I$89,5,0)</f>
        <v>209.61481666666663</v>
      </c>
      <c r="AK94" s="13">
        <f t="shared" si="89"/>
        <v>51.851404457301207</v>
      </c>
      <c r="AL94" s="20">
        <f t="shared" si="58"/>
        <v>455.38700179091057</v>
      </c>
      <c r="AM94" s="59">
        <f t="shared" si="59"/>
        <v>748.72033512424389</v>
      </c>
      <c r="AN94" s="59">
        <f ca="1">AVERAGE(OFFSET($AM$3,0,0,'Données projet'!$E$10+1,1))-AVERAGE(OFFSET($H$3,0,0,'Données projet'!$E$10+1,1))</f>
        <v>218.3918302549892</v>
      </c>
      <c r="AO94" s="59">
        <f t="shared" si="90"/>
        <v>102.61932145411976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37.745913200124875</v>
      </c>
      <c r="AV94" s="21">
        <f>EXP(-LN(2)/25)*AV93+(1-EXP(-LN(2)/25))/(LN(2)/25)*Calculateur!AQ94*Calculateur!AS94*VLOOKUP('Données projet'!$B$10,Paramètres!$A$1:$I$89,3,0)*0.475*44/12</f>
        <v>13.971591771766629</v>
      </c>
      <c r="AW94" s="21">
        <f>EXP(-LN(2)/2)*AW93+(1-EXP(-LN(2)/2))/(LN(2)/2)*AQ94*AT94*VLOOKUP('Données projet'!$B$10,Paramètres!$A$1:$I$89,3,0)*0.475*44/12</f>
        <v>0.63038753034046047</v>
      </c>
      <c r="AX94" s="21">
        <f t="shared" si="60"/>
        <v>52.347892502231964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1.7948717948717956</v>
      </c>
      <c r="BD94" s="12">
        <f>IF('Données projet'!$A$88&gt;35,BD93+BC94-BL93,IF(A94&lt;'Données projet'!$A$88,$BA$205^A94,IF(A94='Données projet'!$A$88,'Données projet'!$B$88,BD93+BC94-BL93)))</f>
        <v>133.20512820512815</v>
      </c>
      <c r="BE94" s="13">
        <f>BD94*VLOOKUP('Données projet'!$B$11,Paramètres!$A$1:$I$89,3,0)*VLOOKUP('Données projet'!$B$11,Paramètres!$A$1:$I$89,5,0)</f>
        <v>116.36799999999995</v>
      </c>
      <c r="BF94" s="13">
        <f t="shared" si="91"/>
        <v>30.826385665835112</v>
      </c>
      <c r="BG94" s="20">
        <f t="shared" si="61"/>
        <v>256.36355503466274</v>
      </c>
      <c r="BH94" s="59">
        <f t="shared" si="62"/>
        <v>549.69688836799605</v>
      </c>
      <c r="BI94" s="59">
        <f ca="1">AVERAGE(OFFSET($BH$3,0,0,'Données projet'!$E$11+1,1))-AVERAGE(OFFSET($H$3,0,0,'Données projet'!$E$11+1,1))</f>
        <v>112.66486935566058</v>
      </c>
      <c r="BJ94" s="59">
        <f t="shared" si="92"/>
        <v>110.84860075828624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1.4500106352190707</v>
      </c>
      <c r="BQ94" s="21">
        <f>EXP(-LN(2)/25)*BQ93+(1-EXP(-LN(2)/25))/(LN(2)/25)*Calculateur!BL94*Calculateur!BN94*VLOOKUP('Données projet'!$B$11,Paramètres!$A$1:$I$89,3,0)*0.475*44/12</f>
        <v>12.345619337390366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13.795629972609436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5.6843418860808015E-13</v>
      </c>
      <c r="O95" s="13">
        <f>N95*VLOOKUP('Données projet'!$B$9,Paramètres!$A$1:$I$89,3,0)*VLOOKUP('Données projet'!$B$9,Paramètres!$A$1:$I$89,5,0)</f>
        <v>3.177547114319168E-13</v>
      </c>
      <c r="P95" s="13">
        <f t="shared" si="87"/>
        <v>4.1725404435445377E-12</v>
      </c>
      <c r="Q95" s="20">
        <f t="shared" si="54"/>
        <v>7.820597394917325E-12</v>
      </c>
      <c r="R95" s="59">
        <f t="shared" si="55"/>
        <v>293.33333333334116</v>
      </c>
      <c r="S95" s="59">
        <f ca="1">AVERAGE(OFFSET($R$3,0,0,'Données projet'!$E$9+1,1))-AVERAGE(OFFSET($H$3,0,0,'Données projet'!$E$9+1,1))</f>
        <v>314.07001555875894</v>
      </c>
      <c r="T95" s="59">
        <f t="shared" si="88"/>
        <v>281.53154885904991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149.25209707720813</v>
      </c>
      <c r="AA95" s="21">
        <f>EXP(-LN(2)/25)*AA94+(1-EXP(-LN(2)/25))/(LN(2)/25)*Calculateur!V95*Calculateur!X95*VLOOKUP('Données projet'!$B$9,Paramètres!$A$1:$I$89,3,0)*0.475*44/12</f>
        <v>41.707441507870058</v>
      </c>
      <c r="AB95" s="21">
        <f>EXP(-LN(2)/2)*AB94+(1-EXP(-LN(2)/2))/(LN(2)/2)*V95*Y95*VLOOKUP('Données projet'!$B$9,Paramètres!$A$1:$I$89,3,0)*0.475*44/12</f>
        <v>3.6867931798251909E-2</v>
      </c>
      <c r="AC95" s="22">
        <f t="shared" si="57"/>
        <v>190.99640651687642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7.1416666666666657</v>
      </c>
      <c r="AI95" s="13">
        <f>IF('Données projet'!$A$62&gt;35,AI94+AH95-AQ94,IF(A95&lt;'Données projet'!$A$62,$AF$205^A95,IF(A95='Données projet'!$A$62,'Données projet'!$B$62,AI94+AH95-AQ94)))</f>
        <v>481.38333333333316</v>
      </c>
      <c r="AJ95" s="13">
        <f>AI95*VLOOKUP('Données projet'!$B$10,Paramètres!$A$1:$I$89,3,0)*VLOOKUP('Données projet'!$B$10,Paramètres!$A$1:$I$89,5,0)</f>
        <v>212.77143333333328</v>
      </c>
      <c r="AK95" s="13">
        <f t="shared" si="89"/>
        <v>52.54075070611897</v>
      </c>
      <c r="AL95" s="20">
        <f t="shared" si="58"/>
        <v>462.08538720204592</v>
      </c>
      <c r="AM95" s="59">
        <f t="shared" si="59"/>
        <v>755.41872053537918</v>
      </c>
      <c r="AN95" s="59">
        <f ca="1">AVERAGE(OFFSET($AM$3,0,0,'Données projet'!$E$10+1,1))-AVERAGE(OFFSET($H$3,0,0,'Données projet'!$E$10+1,1))</f>
        <v>218.3918302549892</v>
      </c>
      <c r="AO95" s="59">
        <f t="shared" si="90"/>
        <v>102.61932145411976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37.005738865004169</v>
      </c>
      <c r="AV95" s="21">
        <f>EXP(-LN(2)/25)*AV94+(1-EXP(-LN(2)/25))/(LN(2)/25)*Calculateur!AQ95*Calculateur!AS95*VLOOKUP('Données projet'!$B$10,Paramètres!$A$1:$I$89,3,0)*0.475*44/12</f>
        <v>13.589537860033593</v>
      </c>
      <c r="AW95" s="21">
        <f>EXP(-LN(2)/2)*AW94+(1-EXP(-LN(2)/2))/(LN(2)/2)*AQ95*AT95*VLOOKUP('Données projet'!$B$10,Paramètres!$A$1:$I$89,3,0)*0.475*44/12</f>
        <v>0.44575129747918008</v>
      </c>
      <c r="AX95" s="21">
        <f t="shared" si="60"/>
        <v>51.04102802251694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1.7948717948717956</v>
      </c>
      <c r="BD95" s="12">
        <f>IF('Données projet'!$A$88&gt;35,BD94+BC95-BL94,IF(A95&lt;'Données projet'!$A$88,$BA$205^A95,IF(A95='Données projet'!$A$88,'Données projet'!$B$88,BD94+BC95-BL94)))</f>
        <v>134.99999999999994</v>
      </c>
      <c r="BE95" s="13">
        <f>BD95*VLOOKUP('Données projet'!$B$11,Paramètres!$A$1:$I$89,3,0)*VLOOKUP('Données projet'!$B$11,Paramètres!$A$1:$I$89,5,0)</f>
        <v>117.93599999999998</v>
      </c>
      <c r="BF95" s="13">
        <f t="shared" si="91"/>
        <v>31.1931201812605</v>
      </c>
      <c r="BG95" s="20">
        <f t="shared" si="61"/>
        <v>259.73321764902863</v>
      </c>
      <c r="BH95" s="59">
        <f t="shared" si="62"/>
        <v>553.06655098236195</v>
      </c>
      <c r="BI95" s="59">
        <f ca="1">AVERAGE(OFFSET($BH$3,0,0,'Données projet'!$E$11+1,1))-AVERAGE(OFFSET($H$3,0,0,'Données projet'!$E$11+1,1))</f>
        <v>112.66486935566058</v>
      </c>
      <c r="BJ95" s="59">
        <f t="shared" si="92"/>
        <v>110.84860075828624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1.421576811081583</v>
      </c>
      <c r="BQ95" s="21">
        <f>EXP(-LN(2)/25)*BQ94+(1-EXP(-LN(2)/25))/(LN(2)/25)*Calculateur!BL95*Calculateur!BN95*VLOOKUP('Données projet'!$B$11,Paramètres!$A$1:$I$89,3,0)*0.475*44/12</f>
        <v>12.008027727381521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13.429604538463103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5.6843418860808015E-13</v>
      </c>
      <c r="O96" s="13">
        <f>N96*VLOOKUP('Données projet'!$B$9,Paramètres!$A$1:$I$89,3,0)*VLOOKUP('Données projet'!$B$9,Paramètres!$A$1:$I$89,5,0)</f>
        <v>3.177547114319168E-13</v>
      </c>
      <c r="P96" s="13">
        <f t="shared" si="87"/>
        <v>4.1725404435445377E-12</v>
      </c>
      <c r="Q96" s="20">
        <f t="shared" si="54"/>
        <v>7.820597394917325E-12</v>
      </c>
      <c r="R96" s="59">
        <f t="shared" si="55"/>
        <v>293.33333333334116</v>
      </c>
      <c r="S96" s="59">
        <f ca="1">AVERAGE(OFFSET($R$3,0,0,'Données projet'!$E$9+1,1))-AVERAGE(OFFSET($H$3,0,0,'Données projet'!$E$9+1,1))</f>
        <v>314.07001555875894</v>
      </c>
      <c r="T96" s="59">
        <f t="shared" si="88"/>
        <v>281.53154885904991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146.32535448831436</v>
      </c>
      <c r="AA96" s="21">
        <f>EXP(-LN(2)/25)*AA95+(1-EXP(-LN(2)/25))/(LN(2)/25)*Calculateur!V96*Calculateur!X96*VLOOKUP('Données projet'!$B$9,Paramètres!$A$1:$I$89,3,0)*0.475*44/12</f>
        <v>40.566949326538328</v>
      </c>
      <c r="AB96" s="21">
        <f>EXP(-LN(2)/2)*AB95+(1-EXP(-LN(2)/2))/(LN(2)/2)*V96*Y96*VLOOKUP('Données projet'!$B$9,Paramètres!$A$1:$I$89,3,0)*0.475*44/12</f>
        <v>2.6069564582867071E-2</v>
      </c>
      <c r="AC96" s="22">
        <f t="shared" si="57"/>
        <v>186.91837337943554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7.1416666666666657</v>
      </c>
      <c r="AI96" s="13">
        <f>IF('Données projet'!$A$62&gt;35,AI95+AH96-AQ95,IF(A96&lt;'Données projet'!$A$62,$AF$205^A96,IF(A96='Données projet'!$A$62,'Données projet'!$B$62,AI95+AH96-AQ95)))</f>
        <v>488.52499999999981</v>
      </c>
      <c r="AJ96" s="13">
        <f>AI96*VLOOKUP('Données projet'!$B$10,Paramètres!$A$1:$I$89,3,0)*VLOOKUP('Données projet'!$B$10,Paramètres!$A$1:$I$89,5,0)</f>
        <v>215.92804999999993</v>
      </c>
      <c r="AK96" s="13">
        <f t="shared" si="89"/>
        <v>53.228907519603638</v>
      </c>
      <c r="AL96" s="20">
        <f t="shared" si="58"/>
        <v>468.7817010133096</v>
      </c>
      <c r="AM96" s="59">
        <f t="shared" si="59"/>
        <v>762.11503434664291</v>
      </c>
      <c r="AN96" s="59">
        <f ca="1">AVERAGE(OFFSET($AM$3,0,0,'Données projet'!$E$10+1,1))-AVERAGE(OFFSET($H$3,0,0,'Données projet'!$E$10+1,1))</f>
        <v>218.3918302549892</v>
      </c>
      <c r="AO96" s="59">
        <f t="shared" si="90"/>
        <v>102.61932145411976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36.280078897133414</v>
      </c>
      <c r="AV96" s="21">
        <f>EXP(-LN(2)/25)*AV95+(1-EXP(-LN(2)/25))/(LN(2)/25)*Calculateur!AQ96*Calculateur!AS96*VLOOKUP('Données projet'!$B$10,Paramètres!$A$1:$I$89,3,0)*0.475*44/12</f>
        <v>13.217931232608237</v>
      </c>
      <c r="AW96" s="21">
        <f>EXP(-LN(2)/2)*AW95+(1-EXP(-LN(2)/2))/(LN(2)/2)*AQ96*AT96*VLOOKUP('Données projet'!$B$10,Paramètres!$A$1:$I$89,3,0)*0.475*44/12</f>
        <v>0.31519376517023023</v>
      </c>
      <c r="AX96" s="21">
        <f t="shared" si="60"/>
        <v>49.813203894911879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1.7948717948717956</v>
      </c>
      <c r="BD96" s="12">
        <f>IF('Données projet'!$A$88&gt;35,BD95+BC96-BL95,IF(A96&lt;'Données projet'!$A$88,$BA$205^A96,IF(A96='Données projet'!$A$88,'Données projet'!$B$88,BD95+BC96-BL95)))</f>
        <v>136.79487179487174</v>
      </c>
      <c r="BE96" s="13">
        <f>BD96*VLOOKUP('Données projet'!$B$11,Paramètres!$A$1:$I$89,3,0)*VLOOKUP('Données projet'!$B$11,Paramètres!$A$1:$I$89,5,0)</f>
        <v>119.50399999999996</v>
      </c>
      <c r="BF96" s="13">
        <f t="shared" si="91"/>
        <v>31.55928756756072</v>
      </c>
      <c r="BG96" s="20">
        <f t="shared" si="61"/>
        <v>263.10189251350153</v>
      </c>
      <c r="BH96" s="59">
        <f t="shared" si="62"/>
        <v>556.43522584683478</v>
      </c>
      <c r="BI96" s="59">
        <f ca="1">AVERAGE(OFFSET($BH$3,0,0,'Données projet'!$E$11+1,1))-AVERAGE(OFFSET($H$3,0,0,'Données projet'!$E$11+1,1))</f>
        <v>112.66486935566058</v>
      </c>
      <c r="BJ96" s="59">
        <f t="shared" si="92"/>
        <v>110.84860075828624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1.3937005568925112</v>
      </c>
      <c r="BQ96" s="21">
        <f>EXP(-LN(2)/25)*BQ95+(1-EXP(-LN(2)/25))/(LN(2)/25)*Calculateur!BL96*Calculateur!BN96*VLOOKUP('Données projet'!$B$11,Paramètres!$A$1:$I$89,3,0)*0.475*44/12</f>
        <v>11.67966757770154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13.073368134594052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5.6843418860808015E-13</v>
      </c>
      <c r="O97" s="13">
        <f>N97*VLOOKUP('Données projet'!$B$9,Paramètres!$A$1:$I$89,3,0)*VLOOKUP('Données projet'!$B$9,Paramètres!$A$1:$I$89,5,0)</f>
        <v>3.177547114319168E-13</v>
      </c>
      <c r="P97" s="13">
        <f t="shared" si="87"/>
        <v>4.1725404435445377E-12</v>
      </c>
      <c r="Q97" s="20">
        <f t="shared" si="54"/>
        <v>7.820597394917325E-12</v>
      </c>
      <c r="R97" s="59">
        <f t="shared" si="55"/>
        <v>293.33333333334116</v>
      </c>
      <c r="S97" s="59">
        <f ca="1">AVERAGE(OFFSET($R$3,0,0,'Données projet'!$E$9+1,1))-AVERAGE(OFFSET($H$3,0,0,'Données projet'!$E$9+1,1))</f>
        <v>314.07001555875894</v>
      </c>
      <c r="T97" s="59">
        <f t="shared" si="88"/>
        <v>281.53154885904991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143.45600353645207</v>
      </c>
      <c r="AA97" s="21">
        <f>EXP(-LN(2)/25)*AA96+(1-EXP(-LN(2)/25))/(LN(2)/25)*Calculateur!V97*Calculateur!X97*VLOOKUP('Données projet'!$B$9,Paramètres!$A$1:$I$89,3,0)*0.475*44/12</f>
        <v>39.45764396388099</v>
      </c>
      <c r="AB97" s="21">
        <f>EXP(-LN(2)/2)*AB96+(1-EXP(-LN(2)/2))/(LN(2)/2)*V97*Y97*VLOOKUP('Données projet'!$B$9,Paramètres!$A$1:$I$89,3,0)*0.475*44/12</f>
        <v>1.8433965899125954E-2</v>
      </c>
      <c r="AC97" s="22">
        <f t="shared" si="57"/>
        <v>182.93208146623221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7.1416666666666657</v>
      </c>
      <c r="AI97" s="13">
        <f>IF('Données projet'!$A$62&gt;35,AI96+AH97-AQ96,IF(A97&lt;'Données projet'!$A$62,$AF$205^A97,IF(A97='Données projet'!$A$62,'Données projet'!$B$62,AI96+AH97-AQ96)))</f>
        <v>495.66666666666646</v>
      </c>
      <c r="AJ97" s="13">
        <f>AI97*VLOOKUP('Données projet'!$B$10,Paramètres!$A$1:$I$89,3,0)*VLOOKUP('Données projet'!$B$10,Paramètres!$A$1:$I$89,5,0)</f>
        <v>219.08466666666661</v>
      </c>
      <c r="AK97" s="13">
        <f t="shared" si="89"/>
        <v>53.915894294780621</v>
      </c>
      <c r="AL97" s="20">
        <f t="shared" si="58"/>
        <v>475.47597700785383</v>
      </c>
      <c r="AM97" s="59">
        <f t="shared" si="59"/>
        <v>768.80931034118714</v>
      </c>
      <c r="AN97" s="59">
        <f ca="1">AVERAGE(OFFSET($AM$3,0,0,'Données projet'!$E$10+1,1))-AVERAGE(OFFSET($H$3,0,0,'Données projet'!$E$10+1,1))</f>
        <v>218.3918302549892</v>
      </c>
      <c r="AO97" s="59">
        <f t="shared" si="90"/>
        <v>102.61932145411976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35.568648678623731</v>
      </c>
      <c r="AV97" s="21">
        <f>EXP(-LN(2)/25)*AV96+(1-EXP(-LN(2)/25))/(LN(2)/25)*Calculateur!AQ97*Calculateur!AS97*VLOOKUP('Données projet'!$B$10,Paramètres!$A$1:$I$89,3,0)*0.475*44/12</f>
        <v>12.856486207951772</v>
      </c>
      <c r="AW97" s="21">
        <f>EXP(-LN(2)/2)*AW96+(1-EXP(-LN(2)/2))/(LN(2)/2)*AQ97*AT97*VLOOKUP('Données projet'!$B$10,Paramètres!$A$1:$I$89,3,0)*0.475*44/12</f>
        <v>0.22287564873959004</v>
      </c>
      <c r="AX97" s="21">
        <f t="shared" si="60"/>
        <v>48.648010535315095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1.7948717948717956</v>
      </c>
      <c r="BD97" s="12">
        <f>IF('Données projet'!$A$88&gt;35,BD96+BC97-BL96,IF(A97&lt;'Données projet'!$A$88,$BA$205^A97,IF(A97='Données projet'!$A$88,'Données projet'!$B$88,BD96+BC97-BL96)))</f>
        <v>138.58974358974353</v>
      </c>
      <c r="BE97" s="13">
        <f>BD97*VLOOKUP('Données projet'!$B$11,Paramètres!$A$1:$I$89,3,0)*VLOOKUP('Données projet'!$B$11,Paramètres!$A$1:$I$89,5,0)</f>
        <v>121.07199999999996</v>
      </c>
      <c r="BF97" s="13">
        <f t="shared" si="91"/>
        <v>31.924896126279531</v>
      </c>
      <c r="BG97" s="20">
        <f t="shared" si="61"/>
        <v>266.46959408660342</v>
      </c>
      <c r="BH97" s="59">
        <f t="shared" si="62"/>
        <v>559.80292741993674</v>
      </c>
      <c r="BI97" s="59">
        <f ca="1">AVERAGE(OFFSET($BH$3,0,0,'Données projet'!$E$11+1,1))-AVERAGE(OFFSET($H$3,0,0,'Données projet'!$E$11+1,1))</f>
        <v>112.66486935566058</v>
      </c>
      <c r="BJ97" s="59">
        <f t="shared" si="92"/>
        <v>110.84860075828624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1.366370939045251</v>
      </c>
      <c r="BQ97" s="21">
        <f>EXP(-LN(2)/25)*BQ96+(1-EXP(-LN(2)/25))/(LN(2)/25)*Calculateur!BL97*Calculateur!BN97*VLOOKUP('Données projet'!$B$11,Paramètres!$A$1:$I$89,3,0)*0.475*44/12</f>
        <v>11.360286453582267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12.726657392627517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5.6843418860808015E-13</v>
      </c>
      <c r="O98" s="13">
        <f>N98*VLOOKUP('Données projet'!$B$9,Paramètres!$A$1:$I$89,3,0)*VLOOKUP('Données projet'!$B$9,Paramètres!$A$1:$I$89,5,0)</f>
        <v>3.177547114319168E-13</v>
      </c>
      <c r="P98" s="13">
        <f t="shared" si="87"/>
        <v>4.1725404435445377E-12</v>
      </c>
      <c r="Q98" s="20">
        <f t="shared" si="54"/>
        <v>7.820597394917325E-12</v>
      </c>
      <c r="R98" s="59">
        <f t="shared" si="55"/>
        <v>293.33333333334116</v>
      </c>
      <c r="S98" s="59">
        <f ca="1">AVERAGE(OFFSET($R$3,0,0,'Données projet'!$E$9+1,1))-AVERAGE(OFFSET($H$3,0,0,'Données projet'!$E$9+1,1))</f>
        <v>314.07001555875894</v>
      </c>
      <c r="T98" s="59">
        <f t="shared" si="88"/>
        <v>281.53154885904991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140.64291880662455</v>
      </c>
      <c r="AA98" s="21">
        <f>EXP(-LN(2)/25)*AA97+(1-EXP(-LN(2)/25))/(LN(2)/25)*Calculateur!V98*Calculateur!X98*VLOOKUP('Données projet'!$B$9,Paramètres!$A$1:$I$89,3,0)*0.475*44/12</f>
        <v>38.378672614701351</v>
      </c>
      <c r="AB98" s="21">
        <f>EXP(-LN(2)/2)*AB97+(1-EXP(-LN(2)/2))/(LN(2)/2)*V98*Y98*VLOOKUP('Données projet'!$B$9,Paramètres!$A$1:$I$89,3,0)*0.475*44/12</f>
        <v>1.3034782291433535E-2</v>
      </c>
      <c r="AC98" s="22">
        <f t="shared" si="57"/>
        <v>179.03462620361734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7.1416666666666657</v>
      </c>
      <c r="AI98" s="13">
        <f>IF('Données projet'!$A$62&gt;35,AI97+AH98-AQ97,IF(A98&lt;'Données projet'!$A$62,$AF$205^A98,IF(A98='Données projet'!$A$62,'Données projet'!$B$62,AI97+AH98-AQ97)))</f>
        <v>502.80833333333311</v>
      </c>
      <c r="AJ98" s="13">
        <f>AI98*VLOOKUP('Données projet'!$B$10,Paramètres!$A$1:$I$89,3,0)*VLOOKUP('Données projet'!$B$10,Paramètres!$A$1:$I$89,5,0)</f>
        <v>222.24128333333329</v>
      </c>
      <c r="AK98" s="13">
        <f t="shared" si="89"/>
        <v>54.601729837626664</v>
      </c>
      <c r="AL98" s="20">
        <f t="shared" si="58"/>
        <v>482.16824793942186</v>
      </c>
      <c r="AM98" s="59">
        <f t="shared" si="59"/>
        <v>775.50158127275517</v>
      </c>
      <c r="AN98" s="59">
        <f ca="1">AVERAGE(OFFSET($AM$3,0,0,'Données projet'!$E$10+1,1))-AVERAGE(OFFSET($H$3,0,0,'Données projet'!$E$10+1,1))</f>
        <v>218.3918302549892</v>
      </c>
      <c r="AO98" s="59">
        <f t="shared" si="90"/>
        <v>102.61932145411976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34.871169172769434</v>
      </c>
      <c r="AV98" s="21">
        <f>EXP(-LN(2)/25)*AV97+(1-EXP(-LN(2)/25))/(LN(2)/25)*Calculateur!AQ98*Calculateur!AS98*VLOOKUP('Données projet'!$B$10,Paramètres!$A$1:$I$89,3,0)*0.475*44/12</f>
        <v>12.504924916502105</v>
      </c>
      <c r="AW98" s="21">
        <f>EXP(-LN(2)/2)*AW97+(1-EXP(-LN(2)/2))/(LN(2)/2)*AQ98*AT98*VLOOKUP('Données projet'!$B$10,Paramètres!$A$1:$I$89,3,0)*0.475*44/12</f>
        <v>0.15759688258511512</v>
      </c>
      <c r="AX98" s="21">
        <f t="shared" si="60"/>
        <v>47.533690971856657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140.38461538461539</v>
      </c>
      <c r="BB98" s="12">
        <f>VLOOKUP(A98,'Données projet'!$A$87:$I$107,9,0)</f>
        <v>1.7948717948717956</v>
      </c>
      <c r="BC98" s="12">
        <f t="array" ref="BC98">INDEX(BB:BB,MIN(IF(ISNUMBER(BB98:BB294),ROW(BB98:BB294),"")))</f>
        <v>1.7948717948717956</v>
      </c>
      <c r="BD98" s="12">
        <f>IF('Données projet'!$A$88&gt;35,BD97+BC98-BL97,IF(A98&lt;'Données projet'!$A$88,$BA$205^A98,IF(A98='Données projet'!$A$88,'Données projet'!$B$88,BD97+BC98-BL97)))</f>
        <v>140.38461538461533</v>
      </c>
      <c r="BE98" s="13">
        <f>BD98*VLOOKUP('Données projet'!$B$11,Paramètres!$A$1:$I$89,3,0)*VLOOKUP('Données projet'!$B$11,Paramètres!$A$1:$I$89,5,0)</f>
        <v>122.63999999999997</v>
      </c>
      <c r="BF98" s="13">
        <f t="shared" si="91"/>
        <v>32.289953931572668</v>
      </c>
      <c r="BG98" s="20">
        <f t="shared" si="61"/>
        <v>269.83633643082231</v>
      </c>
      <c r="BH98" s="59">
        <f t="shared" si="62"/>
        <v>563.16966976415563</v>
      </c>
      <c r="BI98" s="59">
        <f ca="1">AVERAGE(OFFSET($BH$3,0,0,'Données projet'!$E$11+1,1))-AVERAGE(OFFSET($H$3,0,0,'Données projet'!$E$11+1,1))</f>
        <v>112.66486935566058</v>
      </c>
      <c r="BJ98" s="59">
        <f t="shared" si="92"/>
        <v>110.84860075828624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7.0512820512820511</v>
      </c>
      <c r="BM98" s="16">
        <f>IF(ISNA(VLOOKUP(A98,'Données projet'!$A$87:$I$107,5,0)),0%,VLOOKUP(A98,'Données projet'!$A$87:$I$107,5,0)*VLOOKUP('Données projet'!$B$11,Paramètres!$A$1:$I$89,7,0))</f>
        <v>4.3000000000000003E-2</v>
      </c>
      <c r="BN98" s="16">
        <f>IF(ISNA(VLOOKUP(A98,'Données projet'!$A$87:$I$107,6,0)),0%,VLOOKUP(A98,'Données projet'!$A$87:$I$107,6,0)*VLOOKUP('Données projet'!$B$11,Paramètres!$A$1:$I$89,7,0))</f>
        <v>0.215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1.6323942324652425</v>
      </c>
      <c r="BQ98" s="21">
        <f>EXP(-LN(2)/25)*BQ97+(1-EXP(-LN(2)/25))/(LN(2)/25)*Calculateur!BL98*Calculateur!BN98*VLOOKUP('Données projet'!$B$11,Paramètres!$A$1:$I$89,3,0)*0.475*44/12</f>
        <v>12.507959133361426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14.14035336582667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5.6843418860808015E-13</v>
      </c>
      <c r="O99" s="13">
        <f>N99*VLOOKUP('Données projet'!$B$9,Paramètres!$A$1:$I$89,3,0)*VLOOKUP('Données projet'!$B$9,Paramètres!$A$1:$I$89,5,0)</f>
        <v>3.177547114319168E-13</v>
      </c>
      <c r="P99" s="13">
        <f t="shared" si="87"/>
        <v>4.1725404435445377E-12</v>
      </c>
      <c r="Q99" s="20">
        <f t="shared" ref="Q99:Q130" si="107">(O99+P99)*0.475*44/12</f>
        <v>7.820597394917325E-12</v>
      </c>
      <c r="R99" s="59">
        <f t="shared" si="55"/>
        <v>293.33333333334116</v>
      </c>
      <c r="S99" s="59">
        <f ca="1">AVERAGE(OFFSET($R$3,0,0,'Données projet'!$E$9+1,1))-AVERAGE(OFFSET($H$3,0,0,'Données projet'!$E$9+1,1))</f>
        <v>314.07001555875894</v>
      </c>
      <c r="T99" s="59">
        <f t="shared" si="88"/>
        <v>281.53154885904991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137.88499695253668</v>
      </c>
      <c r="AA99" s="21">
        <f>EXP(-LN(2)/25)*AA98+(1-EXP(-LN(2)/25))/(LN(2)/25)*Calculateur!V99*Calculateur!X99*VLOOKUP('Données projet'!$B$9,Paramètres!$A$1:$I$89,3,0)*0.475*44/12</f>
        <v>37.329205793805663</v>
      </c>
      <c r="AB99" s="21">
        <f>EXP(-LN(2)/2)*AB98+(1-EXP(-LN(2)/2))/(LN(2)/2)*V99*Y99*VLOOKUP('Données projet'!$B$9,Paramètres!$A$1:$I$89,3,0)*0.475*44/12</f>
        <v>9.2169829495629772E-3</v>
      </c>
      <c r="AC99" s="22">
        <f t="shared" si="57"/>
        <v>175.22341972929192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>
        <f>VLOOKUP(A99,'Données projet'!$A$61:$I$81,2,0)</f>
        <v>509.95</v>
      </c>
      <c r="AG99" s="12">
        <f>VLOOKUP(A99,'Données projet'!$A$61:$I$81,9,0)</f>
        <v>7.1416666666666657</v>
      </c>
      <c r="AH99" s="12">
        <f t="array" ref="AH99">INDEX(AG:AG,MIN(IF(ISNUMBER(AG99:AG295),ROW(AG99:AG295),"")))</f>
        <v>7.1416666666666657</v>
      </c>
      <c r="AI99" s="13">
        <f>IF('Données projet'!$A$62&gt;35,AI98+AH99-AQ98,IF(A99&lt;'Données projet'!$A$62,$AF$205^A99,IF(A99='Données projet'!$A$62,'Données projet'!$B$62,AI98+AH99-AQ98)))</f>
        <v>509.94999999999976</v>
      </c>
      <c r="AJ99" s="13">
        <f>AI99*VLOOKUP('Données projet'!$B$10,Paramètres!$A$1:$I$89,3,0)*VLOOKUP('Données projet'!$B$10,Paramètres!$A$1:$I$89,5,0)</f>
        <v>225.39789999999991</v>
      </c>
      <c r="AK99" s="13">
        <f t="shared" si="89"/>
        <v>55.286432389213168</v>
      </c>
      <c r="AL99" s="20">
        <f t="shared" si="58"/>
        <v>488.8585455778794</v>
      </c>
      <c r="AM99" s="59">
        <f t="shared" si="59"/>
        <v>782.19187891121271</v>
      </c>
      <c r="AN99" s="59">
        <f ca="1">AVERAGE(OFFSET($AM$3,0,0,'Données projet'!$E$10+1,1))-AVERAGE(OFFSET($H$3,0,0,'Données projet'!$E$10+1,1))</f>
        <v>218.3918302549892</v>
      </c>
      <c r="AO99" s="59">
        <f t="shared" si="90"/>
        <v>102.61932145411976</v>
      </c>
      <c r="AP99" s="15">
        <f>IF(ISNA(VLOOKUP(A99,'Données projet'!$A$61:$I$81,3,0)),0,VLOOKUP(A99,'Données projet'!$A$61:$I$81,3,0))</f>
        <v>7</v>
      </c>
      <c r="AQ99" s="15">
        <f>IF(ISNA(VLOOKUP(A99,'Données projet'!$A$61:$I$81,4,0)),0,VLOOKUP(A99,'Données projet'!$A$61:$I$81,4,0))</f>
        <v>74.37</v>
      </c>
      <c r="AR99" s="16">
        <f>IF(ISNA(VLOOKUP(A99,'Données projet'!$A$61:$I$81,5,0)),0%,VLOOKUP(A99,'Données projet'!$A$61:$I$81,5,0)*VLOOKUP('Données projet'!$B$10,Paramètres!$A$1:$I$89,7,0))</f>
        <v>0.33</v>
      </c>
      <c r="AS99" s="16">
        <f>IF(ISNA(VLOOKUP(A99,'Données projet'!$A$61:$I$81,6,0)),0%,VLOOKUP(A99,'Données projet'!$A$61:$I$81,6,0)*VLOOKUP('Données projet'!$B$10,Paramètres!$A$1:$I$89,7,0))</f>
        <v>0.11000000000000001</v>
      </c>
      <c r="AT99" s="16">
        <f>IF(ISNA(VLOOKUP(A99,'Données projet'!$A$61:$I$81,7,0)),0%,VLOOKUP(A99,'Données projet'!$A$61:$I$81,7,0))</f>
        <v>0.2</v>
      </c>
      <c r="AU99" s="21">
        <f>EXP(-LN(2)/35)*AU98+(1-EXP(-LN(2)/35))/(LN(2)/35)*AQ99*AR99*VLOOKUP('Données projet'!$B$10,Paramètres!$A$1:$I$89,3,0)*0.475*44/12</f>
        <v>48.577418279258943</v>
      </c>
      <c r="AV99" s="21">
        <f>EXP(-LN(2)/25)*AV98+(1-EXP(-LN(2)/25))/(LN(2)/25)*Calculateur!AQ99*Calculateur!AS99*VLOOKUP('Données projet'!$B$10,Paramètres!$A$1:$I$89,3,0)*0.475*44/12</f>
        <v>16.940774536721158</v>
      </c>
      <c r="AW99" s="21">
        <f>EXP(-LN(2)/2)*AW98+(1-EXP(-LN(2)/2))/(LN(2)/2)*AQ99*AT99*VLOOKUP('Données projet'!$B$10,Paramètres!$A$1:$I$89,3,0)*0.475*44/12</f>
        <v>7.5550816758564192</v>
      </c>
      <c r="AX99" s="21">
        <f t="shared" si="60"/>
        <v>73.073274491836514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1.9230769230769227</v>
      </c>
      <c r="BD99" s="12">
        <f>IF('Données projet'!$A$88&gt;35,BD98+BC99-BL98,IF(A99&lt;'Données projet'!$A$88,$BA$205^A99,IF(A99='Données projet'!$A$88,'Données projet'!$B$88,BD98+BC99-BL98)))</f>
        <v>135.25641025641022</v>
      </c>
      <c r="BE99" s="13">
        <f>BD99*VLOOKUP('Données projet'!$B$11,Paramètres!$A$1:$I$89,3,0)*VLOOKUP('Données projet'!$B$11,Paramètres!$A$1:$I$89,5,0)</f>
        <v>118.16</v>
      </c>
      <c r="BF99" s="13">
        <f t="shared" si="91"/>
        <v>31.245464333923813</v>
      </c>
      <c r="BG99" s="20">
        <f t="shared" si="61"/>
        <v>260.21451704825063</v>
      </c>
      <c r="BH99" s="59">
        <f t="shared" si="62"/>
        <v>553.54785038158388</v>
      </c>
      <c r="BI99" s="59">
        <f ca="1">AVERAGE(OFFSET($BH$3,0,0,'Données projet'!$E$11+1,1))-AVERAGE(OFFSET($H$3,0,0,'Données projet'!$E$11+1,1))</f>
        <v>112.66486935566058</v>
      </c>
      <c r="BJ99" s="59">
        <f t="shared" si="92"/>
        <v>110.84860075828624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1.6003839772287674</v>
      </c>
      <c r="BQ99" s="21">
        <f>EXP(-LN(2)/25)*BQ98+(1-EXP(-LN(2)/25))/(LN(2)/25)*Calculateur!BL99*Calculateur!BN99*VLOOKUP('Données projet'!$B$11,Paramètres!$A$1:$I$89,3,0)*0.475*44/12</f>
        <v>12.165928333094675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13.766312310323443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5.6843418860808015E-13</v>
      </c>
      <c r="O100" s="13">
        <f>N100*VLOOKUP('Données projet'!$B$9,Paramètres!$A$1:$I$89,3,0)*VLOOKUP('Données projet'!$B$9,Paramètres!$A$1:$I$89,5,0)</f>
        <v>3.177547114319168E-13</v>
      </c>
      <c r="P100" s="13">
        <f t="shared" si="87"/>
        <v>4.1725404435445377E-12</v>
      </c>
      <c r="Q100" s="20">
        <f t="shared" si="107"/>
        <v>7.820597394917325E-12</v>
      </c>
      <c r="R100" s="59">
        <f t="shared" si="55"/>
        <v>293.33333333334116</v>
      </c>
      <c r="S100" s="59">
        <f ca="1">AVERAGE(OFFSET($R$3,0,0,'Données projet'!$E$9+1,1))-AVERAGE(OFFSET($H$3,0,0,'Données projet'!$E$9+1,1))</f>
        <v>314.07001555875894</v>
      </c>
      <c r="T100" s="59">
        <f t="shared" si="88"/>
        <v>281.53154885904991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135.18115626384125</v>
      </c>
      <c r="AA100" s="21">
        <f>EXP(-LN(2)/25)*AA99+(1-EXP(-LN(2)/25))/(LN(2)/25)*Calculateur!V100*Calculateur!X100*VLOOKUP('Données projet'!$B$9,Paramètres!$A$1:$I$89,3,0)*0.475*44/12</f>
        <v>36.308436698316434</v>
      </c>
      <c r="AB100" s="21">
        <f>EXP(-LN(2)/2)*AB99+(1-EXP(-LN(2)/2))/(LN(2)/2)*V100*Y100*VLOOKUP('Données projet'!$B$9,Paramètres!$A$1:$I$89,3,0)*0.475*44/12</f>
        <v>6.5173911457167676E-3</v>
      </c>
      <c r="AC100" s="22">
        <f t="shared" si="57"/>
        <v>171.49611035330338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5.6049999999999995</v>
      </c>
      <c r="AI100" s="13">
        <f>IF('Données projet'!$A$62&gt;35,AI99+AH100-AQ99,IF(A100&lt;'Données projet'!$A$62,$AF$205^A100,IF(A100='Données projet'!$A$62,'Données projet'!$B$62,AI99+AH100-AQ99)))</f>
        <v>441.18499999999972</v>
      </c>
      <c r="AJ100" s="13">
        <f>AI100*VLOOKUP('Données projet'!$B$10,Paramètres!$A$1:$I$89,3,0)*VLOOKUP('Données projet'!$B$10,Paramètres!$A$1:$I$89,5,0)</f>
        <v>195.00376999999992</v>
      </c>
      <c r="AK100" s="13">
        <f t="shared" si="89"/>
        <v>48.644536137488537</v>
      </c>
      <c r="AL100" s="20">
        <f t="shared" si="58"/>
        <v>424.35413318945899</v>
      </c>
      <c r="AM100" s="59">
        <f t="shared" si="59"/>
        <v>717.68746652279231</v>
      </c>
      <c r="AN100" s="59">
        <f ca="1">AVERAGE(OFFSET($AM$3,0,0,'Données projet'!$E$10+1,1))-AVERAGE(OFFSET($H$3,0,0,'Données projet'!$E$10+1,1))</f>
        <v>218.3918302549892</v>
      </c>
      <c r="AO100" s="59">
        <f t="shared" si="90"/>
        <v>102.61932145411976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47.624844736102176</v>
      </c>
      <c r="AV100" s="21">
        <f>EXP(-LN(2)/25)*AV99+(1-EXP(-LN(2)/25))/(LN(2)/25)*Calculateur!AQ100*Calculateur!AS100*VLOOKUP('Données projet'!$B$10,Paramètres!$A$1:$I$89,3,0)*0.475*44/12</f>
        <v>16.477528166137905</v>
      </c>
      <c r="AW100" s="21">
        <f>EXP(-LN(2)/2)*AW99+(1-EXP(-LN(2)/2))/(LN(2)/2)*AQ100*AT100*VLOOKUP('Données projet'!$B$10,Paramètres!$A$1:$I$89,3,0)*0.475*44/12</f>
        <v>5.3422494854162998</v>
      </c>
      <c r="AX100" s="21">
        <f t="shared" si="60"/>
        <v>69.444622387656381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1.9230769230769227</v>
      </c>
      <c r="BD100" s="12">
        <f>IF('Données projet'!$A$88&gt;35,BD99+BC100-BL99,IF(A100&lt;'Données projet'!$A$88,$BA$205^A100,IF(A100='Données projet'!$A$88,'Données projet'!$B$88,BD99+BC100-BL99)))</f>
        <v>137.17948717948715</v>
      </c>
      <c r="BE100" s="13">
        <f>BD100*VLOOKUP('Données projet'!$B$11,Paramètres!$A$1:$I$89,3,0)*VLOOKUP('Données projet'!$B$11,Paramètres!$A$1:$I$89,5,0)</f>
        <v>119.84</v>
      </c>
      <c r="BF100" s="13">
        <f t="shared" si="91"/>
        <v>31.637679024355371</v>
      </c>
      <c r="BG100" s="20">
        <f t="shared" si="61"/>
        <v>263.82362430075233</v>
      </c>
      <c r="BH100" s="59">
        <f t="shared" si="62"/>
        <v>557.15695763408564</v>
      </c>
      <c r="BI100" s="59">
        <f ca="1">AVERAGE(OFFSET($BH$3,0,0,'Données projet'!$E$11+1,1))-AVERAGE(OFFSET($H$3,0,0,'Données projet'!$E$11+1,1))</f>
        <v>112.66486935566058</v>
      </c>
      <c r="BJ100" s="59">
        <f t="shared" si="92"/>
        <v>110.84860075828624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1.5690014235731518</v>
      </c>
      <c r="BQ100" s="21">
        <f>EXP(-LN(2)/25)*BQ99+(1-EXP(-LN(2)/25))/(LN(2)/25)*Calculateur!BL100*Calculateur!BN100*VLOOKUP('Données projet'!$B$11,Paramètres!$A$1:$I$89,3,0)*0.475*44/12</f>
        <v>11.833250383047835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13.402251806620987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5.6843418860808015E-13</v>
      </c>
      <c r="O101" s="13">
        <f>N101*VLOOKUP('Données projet'!$B$9,Paramètres!$A$1:$I$89,3,0)*VLOOKUP('Données projet'!$B$9,Paramètres!$A$1:$I$89,5,0)</f>
        <v>3.177547114319168E-13</v>
      </c>
      <c r="P101" s="13">
        <f t="shared" si="87"/>
        <v>4.1725404435445377E-12</v>
      </c>
      <c r="Q101" s="20">
        <f t="shared" si="107"/>
        <v>7.820597394917325E-12</v>
      </c>
      <c r="R101" s="59">
        <f t="shared" si="55"/>
        <v>293.33333333334116</v>
      </c>
      <c r="S101" s="59">
        <f ca="1">AVERAGE(OFFSET($R$3,0,0,'Données projet'!$E$9+1,1))-AVERAGE(OFFSET($H$3,0,0,'Données projet'!$E$9+1,1))</f>
        <v>314.07001555875894</v>
      </c>
      <c r="T101" s="59">
        <f t="shared" si="88"/>
        <v>281.53154885904991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132.53033624187114</v>
      </c>
      <c r="AA101" s="21">
        <f>EXP(-LN(2)/25)*AA100+(1-EXP(-LN(2)/25))/(LN(2)/25)*Calculateur!V101*Calculateur!X101*VLOOKUP('Données projet'!$B$9,Paramètres!$A$1:$I$89,3,0)*0.475*44/12</f>
        <v>35.31558058742327</v>
      </c>
      <c r="AB101" s="21">
        <f>EXP(-LN(2)/2)*AB100+(1-EXP(-LN(2)/2))/(LN(2)/2)*V101*Y101*VLOOKUP('Données projet'!$B$9,Paramètres!$A$1:$I$89,3,0)*0.475*44/12</f>
        <v>4.6084914747814886E-3</v>
      </c>
      <c r="AC101" s="22">
        <f t="shared" si="57"/>
        <v>167.85052532076921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5.6049999999999995</v>
      </c>
      <c r="AI101" s="13">
        <f>IF('Données projet'!$A$62&gt;35,AI100+AH101-AQ100,IF(A101&lt;'Données projet'!$A$62,$AF$205^A101,IF(A101='Données projet'!$A$62,'Données projet'!$B$62,AI100+AH101-AQ100)))</f>
        <v>446.78999999999974</v>
      </c>
      <c r="AJ101" s="13">
        <f>AI101*VLOOKUP('Données projet'!$B$10,Paramètres!$A$1:$I$89,3,0)*VLOOKUP('Données projet'!$B$10,Paramètres!$A$1:$I$89,5,0)</f>
        <v>197.48117999999991</v>
      </c>
      <c r="AK101" s="13">
        <f t="shared" si="89"/>
        <v>49.190199665271763</v>
      </c>
      <c r="AL101" s="20">
        <f t="shared" si="58"/>
        <v>429.61931958368149</v>
      </c>
      <c r="AM101" s="59">
        <f t="shared" si="59"/>
        <v>722.9526529170148</v>
      </c>
      <c r="AN101" s="59">
        <f ca="1">AVERAGE(OFFSET($AM$3,0,0,'Données projet'!$E$10+1,1))-AVERAGE(OFFSET($H$3,0,0,'Données projet'!$E$10+1,1))</f>
        <v>218.3918302549892</v>
      </c>
      <c r="AO101" s="59">
        <f t="shared" si="90"/>
        <v>102.61932145411976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46.690950579114222</v>
      </c>
      <c r="AV101" s="21">
        <f>EXP(-LN(2)/25)*AV100+(1-EXP(-LN(2)/25))/(LN(2)/25)*Calculateur!AQ101*Calculateur!AS101*VLOOKUP('Données projet'!$B$10,Paramètres!$A$1:$I$89,3,0)*0.475*44/12</f>
        <v>16.026949291919319</v>
      </c>
      <c r="AW101" s="21">
        <f>EXP(-LN(2)/2)*AW100+(1-EXP(-LN(2)/2))/(LN(2)/2)*AQ101*AT101*VLOOKUP('Données projet'!$B$10,Paramètres!$A$1:$I$89,3,0)*0.475*44/12</f>
        <v>3.77754083792821</v>
      </c>
      <c r="AX101" s="21">
        <f t="shared" si="60"/>
        <v>66.495440708961752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1.9230769230769227</v>
      </c>
      <c r="BD101" s="12">
        <f>IF('Données projet'!$A$88&gt;35,BD100+BC101-BL100,IF(A101&lt;'Données projet'!$A$88,$BA$205^A101,IF(A101='Données projet'!$A$88,'Données projet'!$B$88,BD100+BC101-BL100)))</f>
        <v>139.10256410256409</v>
      </c>
      <c r="BE101" s="13">
        <f>BD101*VLOOKUP('Données projet'!$B$11,Paramètres!$A$1:$I$89,3,0)*VLOOKUP('Données projet'!$B$11,Paramètres!$A$1:$I$89,5,0)</f>
        <v>121.52000000000001</v>
      </c>
      <c r="BF101" s="13">
        <f t="shared" si="91"/>
        <v>32.029254208126645</v>
      </c>
      <c r="BG101" s="20">
        <f t="shared" si="61"/>
        <v>267.43161774582057</v>
      </c>
      <c r="BH101" s="59">
        <f t="shared" si="62"/>
        <v>560.76495107915389</v>
      </c>
      <c r="BI101" s="59">
        <f ca="1">AVERAGE(OFFSET($BH$3,0,0,'Données projet'!$E$11+1,1))-AVERAGE(OFFSET($H$3,0,0,'Données projet'!$E$11+1,1))</f>
        <v>112.66486935566058</v>
      </c>
      <c r="BJ101" s="59">
        <f t="shared" si="92"/>
        <v>110.84860075828624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1.538234262653255</v>
      </c>
      <c r="BQ101" s="21">
        <f>EXP(-LN(2)/25)*BQ100+(1-EXP(-LN(2)/25))/(LN(2)/25)*Calculateur!BL101*Calculateur!BN101*VLOOKUP('Données projet'!$B$11,Paramètres!$A$1:$I$89,3,0)*0.475*44/12</f>
        <v>11.509669529039799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13.047903791693054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5.6843418860808015E-13</v>
      </c>
      <c r="O102" s="13">
        <f>N102*VLOOKUP('Données projet'!$B$9,Paramètres!$A$1:$I$89,3,0)*VLOOKUP('Données projet'!$B$9,Paramètres!$A$1:$I$89,5,0)</f>
        <v>3.177547114319168E-13</v>
      </c>
      <c r="P102" s="13">
        <f t="shared" si="87"/>
        <v>4.1725404435445377E-12</v>
      </c>
      <c r="Q102" s="20">
        <f t="shared" si="107"/>
        <v>7.820597394917325E-12</v>
      </c>
      <c r="R102" s="59">
        <f t="shared" si="55"/>
        <v>293.33333333334116</v>
      </c>
      <c r="S102" s="59">
        <f ca="1">AVERAGE(OFFSET($R$3,0,0,'Données projet'!$E$9+1,1))-AVERAGE(OFFSET($H$3,0,0,'Données projet'!$E$9+1,1))</f>
        <v>314.07001555875894</v>
      </c>
      <c r="T102" s="59">
        <f t="shared" si="88"/>
        <v>281.53154885904991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129.93149718369131</v>
      </c>
      <c r="AA102" s="21">
        <f>EXP(-LN(2)/25)*AA101+(1-EXP(-LN(2)/25))/(LN(2)/25)*Calculateur!V102*Calculateur!X102*VLOOKUP('Données projet'!$B$9,Paramètres!$A$1:$I$89,3,0)*0.475*44/12</f>
        <v>34.349874179094513</v>
      </c>
      <c r="AB102" s="21">
        <f>EXP(-LN(2)/2)*AB101+(1-EXP(-LN(2)/2))/(LN(2)/2)*V102*Y102*VLOOKUP('Données projet'!$B$9,Paramètres!$A$1:$I$89,3,0)*0.475*44/12</f>
        <v>3.2586955728583838E-3</v>
      </c>
      <c r="AC102" s="22">
        <f t="shared" si="57"/>
        <v>164.28463005835869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5.6049999999999995</v>
      </c>
      <c r="AI102" s="13">
        <f>IF('Données projet'!$A$62&gt;35,AI101+AH102-AQ101,IF(A102&lt;'Données projet'!$A$62,$AF$205^A102,IF(A102='Données projet'!$A$62,'Données projet'!$B$62,AI101+AH102-AQ101)))</f>
        <v>452.39499999999975</v>
      </c>
      <c r="AJ102" s="13">
        <f>AI102*VLOOKUP('Données projet'!$B$10,Paramètres!$A$1:$I$89,3,0)*VLOOKUP('Données projet'!$B$10,Paramètres!$A$1:$I$89,5,0)</f>
        <v>199.9585899999999</v>
      </c>
      <c r="AK102" s="13">
        <f t="shared" si="89"/>
        <v>49.735066951064894</v>
      </c>
      <c r="AL102" s="20">
        <f t="shared" si="58"/>
        <v>434.88311918977115</v>
      </c>
      <c r="AM102" s="59">
        <f t="shared" si="59"/>
        <v>728.21645252310441</v>
      </c>
      <c r="AN102" s="59">
        <f ca="1">AVERAGE(OFFSET($AM$3,0,0,'Données projet'!$E$10+1,1))-AVERAGE(OFFSET($H$3,0,0,'Données projet'!$E$10+1,1))</f>
        <v>218.3918302549892</v>
      </c>
      <c r="AO102" s="59">
        <f t="shared" si="90"/>
        <v>102.61932145411976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45.775369516925608</v>
      </c>
      <c r="AV102" s="21">
        <f>EXP(-LN(2)/25)*AV101+(1-EXP(-LN(2)/25))/(LN(2)/25)*Calculateur!AQ102*Calculateur!AS102*VLOOKUP('Données projet'!$B$10,Paramètres!$A$1:$I$89,3,0)*0.475*44/12</f>
        <v>15.588691520711151</v>
      </c>
      <c r="AW102" s="21">
        <f>EXP(-LN(2)/2)*AW101+(1-EXP(-LN(2)/2))/(LN(2)/2)*AQ102*AT102*VLOOKUP('Données projet'!$B$10,Paramètres!$A$1:$I$89,3,0)*0.475*44/12</f>
        <v>2.6711247427081504</v>
      </c>
      <c r="AX102" s="21">
        <f t="shared" si="60"/>
        <v>64.035185780344904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1.9230769230769227</v>
      </c>
      <c r="BD102" s="12">
        <f>IF('Données projet'!$A$88&gt;35,BD101+BC102-BL101,IF(A102&lt;'Données projet'!$A$88,$BA$205^A102,IF(A102='Données projet'!$A$88,'Données projet'!$B$88,BD101+BC102-BL101)))</f>
        <v>141.02564102564102</v>
      </c>
      <c r="BE102" s="13">
        <f>BD102*VLOOKUP('Données projet'!$B$11,Paramètres!$A$1:$I$89,3,0)*VLOOKUP('Données projet'!$B$11,Paramètres!$A$1:$I$89,5,0)</f>
        <v>123.2</v>
      </c>
      <c r="BF102" s="13">
        <f t="shared" si="91"/>
        <v>32.420199748143155</v>
      </c>
      <c r="BG102" s="20">
        <f t="shared" si="61"/>
        <v>271.0385145613493</v>
      </c>
      <c r="BH102" s="59">
        <f t="shared" si="62"/>
        <v>564.37184789468256</v>
      </c>
      <c r="BI102" s="59">
        <f ca="1">AVERAGE(OFFSET($BH$3,0,0,'Données projet'!$E$11+1,1))-AVERAGE(OFFSET($H$3,0,0,'Données projet'!$E$11+1,1))</f>
        <v>112.66486935566058</v>
      </c>
      <c r="BJ102" s="59">
        <f t="shared" si="92"/>
        <v>110.84860075828624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1.5080704269928824</v>
      </c>
      <c r="BQ102" s="21">
        <f>EXP(-LN(2)/25)*BQ101+(1-EXP(-LN(2)/25))/(LN(2)/25)*Calculateur!BL102*Calculateur!BN102*VLOOKUP('Données projet'!$B$11,Paramètres!$A$1:$I$89,3,0)*0.475*44/12</f>
        <v>11.194937010500992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12.703007437493874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5.6843418860808015E-13</v>
      </c>
      <c r="O103" s="13">
        <f>N103*VLOOKUP('Données projet'!$B$9,Paramètres!$A$1:$I$89,3,0)*VLOOKUP('Données projet'!$B$9,Paramètres!$A$1:$I$89,5,0)</f>
        <v>3.177547114319168E-13</v>
      </c>
      <c r="P103" s="13">
        <f t="shared" si="87"/>
        <v>4.1725404435445377E-12</v>
      </c>
      <c r="Q103" s="20">
        <f t="shared" si="107"/>
        <v>7.820597394917325E-12</v>
      </c>
      <c r="R103" s="59">
        <f t="shared" si="55"/>
        <v>293.33333333334116</v>
      </c>
      <c r="S103" s="59">
        <f ca="1">AVERAGE(OFFSET($R$3,0,0,'Données projet'!$E$9+1,1))-AVERAGE(OFFSET($H$3,0,0,'Données projet'!$E$9+1,1))</f>
        <v>314.07001555875894</v>
      </c>
      <c r="T103" s="59">
        <f t="shared" si="88"/>
        <v>281.53154885904991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127.38361977430708</v>
      </c>
      <c r="AA103" s="21">
        <f>EXP(-LN(2)/25)*AA102+(1-EXP(-LN(2)/25))/(LN(2)/25)*Calculateur!V103*Calculateur!X103*VLOOKUP('Données projet'!$B$9,Paramètres!$A$1:$I$89,3,0)*0.475*44/12</f>
        <v>33.410575063285798</v>
      </c>
      <c r="AB103" s="21">
        <f>EXP(-LN(2)/2)*AB102+(1-EXP(-LN(2)/2))/(LN(2)/2)*V103*Y103*VLOOKUP('Données projet'!$B$9,Paramètres!$A$1:$I$89,3,0)*0.475*44/12</f>
        <v>2.3042457373907443E-3</v>
      </c>
      <c r="AC103" s="22">
        <f t="shared" si="57"/>
        <v>160.79649908333025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5.6049999999999995</v>
      </c>
      <c r="AI103" s="13">
        <f>IF('Données projet'!$A$62&gt;35,AI102+AH103-AQ102,IF(A103&lt;'Données projet'!$A$62,$AF$205^A103,IF(A103='Données projet'!$A$62,'Données projet'!$B$62,AI102+AH103-AQ102)))</f>
        <v>457.99999999999977</v>
      </c>
      <c r="AJ103" s="13">
        <f>AI103*VLOOKUP('Données projet'!$B$10,Paramètres!$A$1:$I$89,3,0)*VLOOKUP('Données projet'!$B$10,Paramètres!$A$1:$I$89,5,0)</f>
        <v>202.43599999999992</v>
      </c>
      <c r="AK103" s="13">
        <f t="shared" si="89"/>
        <v>50.279149000929792</v>
      </c>
      <c r="AL103" s="20">
        <f t="shared" si="58"/>
        <v>440.14555117661922</v>
      </c>
      <c r="AM103" s="59">
        <f t="shared" si="59"/>
        <v>733.47888450995254</v>
      </c>
      <c r="AN103" s="59">
        <f ca="1">AVERAGE(OFFSET($AM$3,0,0,'Données projet'!$E$10+1,1))-AVERAGE(OFFSET($H$3,0,0,'Données projet'!$E$10+1,1))</f>
        <v>218.3918302549892</v>
      </c>
      <c r="AO103" s="59">
        <f t="shared" si="90"/>
        <v>102.61932145411976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44.87774244091721</v>
      </c>
      <c r="AV103" s="21">
        <f>EXP(-LN(2)/25)*AV102+(1-EXP(-LN(2)/25))/(LN(2)/25)*Calculateur!AQ103*Calculateur!AS103*VLOOKUP('Données projet'!$B$10,Paramètres!$A$1:$I$89,3,0)*0.475*44/12</f>
        <v>15.162417931303647</v>
      </c>
      <c r="AW103" s="21">
        <f>EXP(-LN(2)/2)*AW102+(1-EXP(-LN(2)/2))/(LN(2)/2)*AQ103*AT103*VLOOKUP('Données projet'!$B$10,Paramètres!$A$1:$I$89,3,0)*0.475*44/12</f>
        <v>1.8887704189641052</v>
      </c>
      <c r="AX103" s="21">
        <f t="shared" si="60"/>
        <v>61.92893079118496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142.94871794871796</v>
      </c>
      <c r="BB103" s="12">
        <f>VLOOKUP(A103,'Données projet'!$A$87:$I$107,9,0)</f>
        <v>1.9230769230769227</v>
      </c>
      <c r="BC103" s="12">
        <f t="array" ref="BC103">INDEX(BB:BB,MIN(IF(ISNUMBER(BB103:BB299),ROW(BB103:BB299),"")))</f>
        <v>1.9230769230769227</v>
      </c>
      <c r="BD103" s="12">
        <f>IF('Données projet'!$A$88&gt;35,BD102+BC103-BL102,IF(A103&lt;'Données projet'!$A$88,$BA$205^A103,IF(A103='Données projet'!$A$88,'Données projet'!$B$88,BD102+BC103-BL102)))</f>
        <v>142.94871794871796</v>
      </c>
      <c r="BE103" s="13">
        <f>BD103*VLOOKUP('Données projet'!$B$11,Paramètres!$A$1:$I$89,3,0)*VLOOKUP('Données projet'!$B$11,Paramètres!$A$1:$I$89,5,0)</f>
        <v>124.88000000000001</v>
      </c>
      <c r="BF103" s="13">
        <f t="shared" si="91"/>
        <v>32.810525222866438</v>
      </c>
      <c r="BG103" s="20">
        <f t="shared" si="61"/>
        <v>274.64433142982574</v>
      </c>
      <c r="BH103" s="59">
        <f t="shared" si="62"/>
        <v>567.97766476315905</v>
      </c>
      <c r="BI103" s="59">
        <f ca="1">AVERAGE(OFFSET($BH$3,0,0,'Données projet'!$E$11+1,1))-AVERAGE(OFFSET($H$3,0,0,'Données projet'!$E$11+1,1))</f>
        <v>112.66486935566058</v>
      </c>
      <c r="BJ103" s="59">
        <f t="shared" si="92"/>
        <v>110.84860075828624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142.94871794871796</v>
      </c>
      <c r="BM103" s="16">
        <f>IF(ISNA(VLOOKUP(A103,'Données projet'!$A$87:$I$107,5,0)),0%,VLOOKUP(A103,'Données projet'!$A$87:$I$107,5,0)*VLOOKUP('Données projet'!$B$11,Paramètres!$A$1:$I$89,7,0))</f>
        <v>4.3000000000000003E-2</v>
      </c>
      <c r="BN103" s="16">
        <f>IF(ISNA(VLOOKUP(A103,'Données projet'!$A$87:$I$107,6,0)),0%,VLOOKUP(A103,'Données projet'!$A$87:$I$107,6,0)*VLOOKUP('Données projet'!$B$11,Paramètres!$A$1:$I$89,7,0))</f>
        <v>0.215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7.4146971485829045</v>
      </c>
      <c r="BQ103" s="21">
        <f>EXP(-LN(2)/25)*BQ102+(1-EXP(-LN(2)/25))/(LN(2)/25)*Calculateur!BL103*Calculateur!BN103*VLOOKUP('Données projet'!$B$11,Paramètres!$A$1:$I$89,3,0)*0.475*44/12</f>
        <v>40.452940795491095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47.867637944073998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5.6843418860808015E-13</v>
      </c>
      <c r="O104" s="13">
        <f>N104*VLOOKUP('Données projet'!$B$9,Paramètres!$A$1:$I$89,3,0)*VLOOKUP('Données projet'!$B$9,Paramètres!$A$1:$I$89,5,0)</f>
        <v>3.177547114319168E-13</v>
      </c>
      <c r="P104" s="13">
        <f t="shared" si="87"/>
        <v>4.1725404435445377E-12</v>
      </c>
      <c r="Q104" s="20">
        <f t="shared" si="107"/>
        <v>7.820597394917325E-12</v>
      </c>
      <c r="R104" s="59">
        <f t="shared" si="55"/>
        <v>293.33333333334116</v>
      </c>
      <c r="S104" s="59">
        <f ca="1">AVERAGE(OFFSET($R$3,0,0,'Données projet'!$E$9+1,1))-AVERAGE(OFFSET($H$3,0,0,'Données projet'!$E$9+1,1))</f>
        <v>314.07001555875894</v>
      </c>
      <c r="T104" s="59">
        <f t="shared" si="88"/>
        <v>281.53154885904991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124.8857046868691</v>
      </c>
      <c r="AA104" s="21">
        <f>EXP(-LN(2)/25)*AA103+(1-EXP(-LN(2)/25))/(LN(2)/25)*Calculateur!V104*Calculateur!X104*VLOOKUP('Données projet'!$B$9,Paramètres!$A$1:$I$89,3,0)*0.475*44/12</f>
        <v>32.496961131194467</v>
      </c>
      <c r="AB104" s="21">
        <f>EXP(-LN(2)/2)*AB103+(1-EXP(-LN(2)/2))/(LN(2)/2)*V104*Y104*VLOOKUP('Données projet'!$B$9,Paramètres!$A$1:$I$89,3,0)*0.475*44/12</f>
        <v>1.6293477864291919E-3</v>
      </c>
      <c r="AC104" s="22">
        <f t="shared" si="57"/>
        <v>157.38429516585001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5.6049999999999995</v>
      </c>
      <c r="AI104" s="13">
        <f>IF('Données projet'!$A$62&gt;35,AI103+AH104-AQ103,IF(A104&lt;'Données projet'!$A$62,$AF$205^A104,IF(A104='Données projet'!$A$62,'Données projet'!$B$62,AI103+AH104-AQ103)))</f>
        <v>463.60499999999979</v>
      </c>
      <c r="AJ104" s="13">
        <f>AI104*VLOOKUP('Données projet'!$B$10,Paramètres!$A$1:$I$89,3,0)*VLOOKUP('Données projet'!$B$10,Paramètres!$A$1:$I$89,5,0)</f>
        <v>204.91340999999991</v>
      </c>
      <c r="AK104" s="13">
        <f t="shared" si="89"/>
        <v>50.822456536047753</v>
      </c>
      <c r="AL104" s="20">
        <f t="shared" si="58"/>
        <v>445.40663421694967</v>
      </c>
      <c r="AM104" s="59">
        <f t="shared" si="59"/>
        <v>738.73996755028293</v>
      </c>
      <c r="AN104" s="59">
        <f ca="1">AVERAGE(OFFSET($AM$3,0,0,'Données projet'!$E$10+1,1))-AVERAGE(OFFSET($H$3,0,0,'Données projet'!$E$10+1,1))</f>
        <v>218.3918302549892</v>
      </c>
      <c r="AO104" s="59">
        <f t="shared" si="90"/>
        <v>102.61932145411976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43.997717284370879</v>
      </c>
      <c r="AV104" s="21">
        <f>EXP(-LN(2)/25)*AV103+(1-EXP(-LN(2)/25))/(LN(2)/25)*Calculateur!AQ104*Calculateur!AS104*VLOOKUP('Données projet'!$B$10,Paramètres!$A$1:$I$89,3,0)*0.475*44/12</f>
        <v>14.747800815615244</v>
      </c>
      <c r="AW104" s="21">
        <f>EXP(-LN(2)/2)*AW103+(1-EXP(-LN(2)/2))/(LN(2)/2)*AQ104*AT104*VLOOKUP('Données projet'!$B$10,Paramètres!$A$1:$I$89,3,0)*0.475*44/12</f>
        <v>1.3355623713540754</v>
      </c>
      <c r="AX104" s="21">
        <f t="shared" si="60"/>
        <v>60.081080471340194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112.66486935566058</v>
      </c>
      <c r="BJ104" s="59">
        <f t="shared" si="92"/>
        <v>110.84860075828624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7.2692994600178924</v>
      </c>
      <c r="BQ104" s="21">
        <f>EXP(-LN(2)/25)*BQ103+(1-EXP(-LN(2)/25))/(LN(2)/25)*Calculateur!BL104*Calculateur!BN104*VLOOKUP('Données projet'!$B$11,Paramètres!$A$1:$I$89,3,0)*0.475*44/12</f>
        <v>39.346753002110688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46.616052462128579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5.6843418860808015E-13</v>
      </c>
      <c r="O105" s="13">
        <f>N105*VLOOKUP('Données projet'!$B$9,Paramètres!$A$1:$I$89,3,0)*VLOOKUP('Données projet'!$B$9,Paramètres!$A$1:$I$89,5,0)</f>
        <v>3.177547114319168E-13</v>
      </c>
      <c r="P105" s="13">
        <f t="shared" si="87"/>
        <v>4.1725404435445377E-12</v>
      </c>
      <c r="Q105" s="20">
        <f t="shared" si="107"/>
        <v>7.820597394917325E-12</v>
      </c>
      <c r="R105" s="59">
        <f t="shared" si="55"/>
        <v>293.33333333334116</v>
      </c>
      <c r="S105" s="59">
        <f ca="1">AVERAGE(OFFSET($R$3,0,0,'Données projet'!$E$9+1,1))-AVERAGE(OFFSET($H$3,0,0,'Données projet'!$E$9+1,1))</f>
        <v>314.07001555875894</v>
      </c>
      <c r="T105" s="59">
        <f t="shared" si="88"/>
        <v>281.53154885904991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122.43677219071803</v>
      </c>
      <c r="AA105" s="21">
        <f>EXP(-LN(2)/25)*AA104+(1-EXP(-LN(2)/25))/(LN(2)/25)*Calculateur!V105*Calculateur!X105*VLOOKUP('Données projet'!$B$9,Paramètres!$A$1:$I$89,3,0)*0.475*44/12</f>
        <v>31.608330020121041</v>
      </c>
      <c r="AB105" s="21">
        <f>EXP(-LN(2)/2)*AB104+(1-EXP(-LN(2)/2))/(LN(2)/2)*V105*Y105*VLOOKUP('Données projet'!$B$9,Paramètres!$A$1:$I$89,3,0)*0.475*44/12</f>
        <v>1.1521228686953721E-3</v>
      </c>
      <c r="AC105" s="22">
        <f t="shared" si="57"/>
        <v>154.04625433370776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5.6049999999999995</v>
      </c>
      <c r="AI105" s="13">
        <f>IF('Données projet'!$A$62&gt;35,AI104+AH105-AQ104,IF(A105&lt;'Données projet'!$A$62,$AF$205^A105,IF(A105='Données projet'!$A$62,'Données projet'!$B$62,AI104+AH105-AQ104)))</f>
        <v>469.20999999999981</v>
      </c>
      <c r="AJ105" s="13">
        <f>AI105*VLOOKUP('Données projet'!$B$10,Paramètres!$A$1:$I$89,3,0)*VLOOKUP('Données projet'!$B$10,Paramètres!$A$1:$I$89,5,0)</f>
        <v>207.39081999999993</v>
      </c>
      <c r="AK105" s="13">
        <f t="shared" si="89"/>
        <v>51.365000003446561</v>
      </c>
      <c r="AL105" s="20">
        <f t="shared" si="58"/>
        <v>450.66638650600265</v>
      </c>
      <c r="AM105" s="59">
        <f t="shared" si="59"/>
        <v>743.99971983933597</v>
      </c>
      <c r="AN105" s="59">
        <f ca="1">AVERAGE(OFFSET($AM$3,0,0,'Données projet'!$E$10+1,1))-AVERAGE(OFFSET($H$3,0,0,'Données projet'!$E$10+1,1))</f>
        <v>218.3918302549892</v>
      </c>
      <c r="AO105" s="59">
        <f t="shared" si="90"/>
        <v>102.61932145411976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43.134948884382077</v>
      </c>
      <c r="AV105" s="21">
        <f>EXP(-LN(2)/25)*AV104+(1-EXP(-LN(2)/25))/(LN(2)/25)*Calculateur!AQ105*Calculateur!AS105*VLOOKUP('Données projet'!$B$10,Paramètres!$A$1:$I$89,3,0)*0.475*44/12</f>
        <v>14.344521426759107</v>
      </c>
      <c r="AW105" s="21">
        <f>EXP(-LN(2)/2)*AW104+(1-EXP(-LN(2)/2))/(LN(2)/2)*AQ105*AT105*VLOOKUP('Données projet'!$B$10,Paramètres!$A$1:$I$89,3,0)*0.475*44/12</f>
        <v>0.94438520948205285</v>
      </c>
      <c r="AX105" s="21">
        <f t="shared" si="60"/>
        <v>58.423855520623235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112.66486935566058</v>
      </c>
      <c r="BJ105" s="59">
        <f t="shared" si="92"/>
        <v>110.84860075828624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7.126752931441807</v>
      </c>
      <c r="BQ105" s="21">
        <f>EXP(-LN(2)/25)*BQ104+(1-EXP(-LN(2)/25))/(LN(2)/25)*Calculateur!BL105*Calculateur!BN105*VLOOKUP('Données projet'!$B$11,Paramètres!$A$1:$I$89,3,0)*0.475*44/12</f>
        <v>38.270813972112158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45.397566903553965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5.6843418860808015E-13</v>
      </c>
      <c r="O106" s="13">
        <f>N106*VLOOKUP('Données projet'!$B$9,Paramètres!$A$1:$I$89,3,0)*VLOOKUP('Données projet'!$B$9,Paramètres!$A$1:$I$89,5,0)</f>
        <v>3.177547114319168E-13</v>
      </c>
      <c r="P106" s="13">
        <f t="shared" si="87"/>
        <v>4.1725404435445377E-12</v>
      </c>
      <c r="Q106" s="20">
        <f t="shared" si="107"/>
        <v>7.820597394917325E-12</v>
      </c>
      <c r="R106" s="59">
        <f t="shared" si="55"/>
        <v>293.33333333334116</v>
      </c>
      <c r="S106" s="59">
        <f ca="1">AVERAGE(OFFSET($R$3,0,0,'Données projet'!$E$9+1,1))-AVERAGE(OFFSET($H$3,0,0,'Données projet'!$E$9+1,1))</f>
        <v>314.07001555875894</v>
      </c>
      <c r="T106" s="59">
        <f t="shared" si="88"/>
        <v>281.53154885904991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120.03586176711514</v>
      </c>
      <c r="AA106" s="21">
        <f>EXP(-LN(2)/25)*AA105+(1-EXP(-LN(2)/25))/(LN(2)/25)*Calculateur!V106*Calculateur!X106*VLOOKUP('Données projet'!$B$9,Paramètres!$A$1:$I$89,3,0)*0.475*44/12</f>
        <v>30.743998573510996</v>
      </c>
      <c r="AB106" s="21">
        <f>EXP(-LN(2)/2)*AB105+(1-EXP(-LN(2)/2))/(LN(2)/2)*V106*Y106*VLOOKUP('Données projet'!$B$9,Paramètres!$A$1:$I$89,3,0)*0.475*44/12</f>
        <v>8.1467389321459595E-4</v>
      </c>
      <c r="AC106" s="22">
        <f t="shared" si="57"/>
        <v>150.78067501451935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5.6049999999999995</v>
      </c>
      <c r="AI106" s="13">
        <f>IF('Données projet'!$A$62&gt;35,AI105+AH106-AQ105,IF(A106&lt;'Données projet'!$A$62,$AF$205^A106,IF(A106='Données projet'!$A$62,'Données projet'!$B$62,AI105+AH106-AQ105)))</f>
        <v>474.81499999999983</v>
      </c>
      <c r="AJ106" s="13">
        <f>AI106*VLOOKUP('Données projet'!$B$10,Paramètres!$A$1:$I$89,3,0)*VLOOKUP('Données projet'!$B$10,Paramètres!$A$1:$I$89,5,0)</f>
        <v>209.86822999999995</v>
      </c>
      <c r="AK106" s="13">
        <f t="shared" si="89"/>
        <v>51.90678958620029</v>
      </c>
      <c r="AL106" s="20">
        <f t="shared" si="58"/>
        <v>455.92482577929877</v>
      </c>
      <c r="AM106" s="59">
        <f t="shared" si="59"/>
        <v>749.25815911263203</v>
      </c>
      <c r="AN106" s="59">
        <f ca="1">AVERAGE(OFFSET($AM$3,0,0,'Données projet'!$E$10+1,1))-AVERAGE(OFFSET($H$3,0,0,'Données projet'!$E$10+1,1))</f>
        <v>218.3918302549892</v>
      </c>
      <c r="AO106" s="59">
        <f t="shared" si="90"/>
        <v>102.61932145411976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42.289098846480293</v>
      </c>
      <c r="AV106" s="21">
        <f>EXP(-LN(2)/25)*AV105+(1-EXP(-LN(2)/25))/(LN(2)/25)*Calculateur!AQ106*Calculateur!AS106*VLOOKUP('Données projet'!$B$10,Paramètres!$A$1:$I$89,3,0)*0.475*44/12</f>
        <v>13.952269733998781</v>
      </c>
      <c r="AW106" s="21">
        <f>EXP(-LN(2)/2)*AW105+(1-EXP(-LN(2)/2))/(LN(2)/2)*AQ106*AT106*VLOOKUP('Données projet'!$B$10,Paramètres!$A$1:$I$89,3,0)*0.475*44/12</f>
        <v>0.66778118567703781</v>
      </c>
      <c r="AX106" s="21">
        <f t="shared" si="60"/>
        <v>56.909149766156112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112.66486935566058</v>
      </c>
      <c r="BJ106" s="59">
        <f t="shared" si="92"/>
        <v>110.84860075828624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6.9870016533463017</v>
      </c>
      <c r="BQ106" s="21">
        <f>EXP(-LN(2)/25)*BQ105+(1-EXP(-LN(2)/25))/(LN(2)/25)*Calculateur!BL106*Calculateur!BN106*VLOOKUP('Données projet'!$B$11,Paramètres!$A$1:$I$89,3,0)*0.475*44/12</f>
        <v>37.224296551470111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44.211298204816416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5.6843418860808015E-13</v>
      </c>
      <c r="O107" s="13">
        <f>N107*VLOOKUP('Données projet'!$B$9,Paramètres!$A$1:$I$89,3,0)*VLOOKUP('Données projet'!$B$9,Paramètres!$A$1:$I$89,5,0)</f>
        <v>3.177547114319168E-13</v>
      </c>
      <c r="P107" s="13">
        <f t="shared" si="87"/>
        <v>4.1725404435445377E-12</v>
      </c>
      <c r="Q107" s="20">
        <f t="shared" si="107"/>
        <v>7.820597394917325E-12</v>
      </c>
      <c r="R107" s="59">
        <f t="shared" si="55"/>
        <v>293.33333333334116</v>
      </c>
      <c r="S107" s="59">
        <f ca="1">AVERAGE(OFFSET($R$3,0,0,'Données projet'!$E$9+1,1))-AVERAGE(OFFSET($H$3,0,0,'Données projet'!$E$9+1,1))</f>
        <v>314.07001555875894</v>
      </c>
      <c r="T107" s="59">
        <f t="shared" si="88"/>
        <v>281.53154885904991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117.68203173250834</v>
      </c>
      <c r="AA107" s="21">
        <f>EXP(-LN(2)/25)*AA106+(1-EXP(-LN(2)/25))/(LN(2)/25)*Calculateur!V107*Calculateur!X107*VLOOKUP('Données projet'!$B$9,Paramètres!$A$1:$I$89,3,0)*0.475*44/12</f>
        <v>29.903302315761721</v>
      </c>
      <c r="AB107" s="21">
        <f>EXP(-LN(2)/2)*AB106+(1-EXP(-LN(2)/2))/(LN(2)/2)*V107*Y107*VLOOKUP('Données projet'!$B$9,Paramètres!$A$1:$I$89,3,0)*0.475*44/12</f>
        <v>5.7606143434768607E-4</v>
      </c>
      <c r="AC107" s="22">
        <f t="shared" si="57"/>
        <v>147.5859101097044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5.6049999999999995</v>
      </c>
      <c r="AI107" s="13">
        <f>IF('Données projet'!$A$62&gt;35,AI106+AH107-AQ106,IF(A107&lt;'Données projet'!$A$62,$AF$205^A107,IF(A107='Données projet'!$A$62,'Données projet'!$B$62,AI106+AH107-AQ106)))</f>
        <v>480.41999999999985</v>
      </c>
      <c r="AJ107" s="13">
        <f>AI107*VLOOKUP('Données projet'!$B$10,Paramètres!$A$1:$I$89,3,0)*VLOOKUP('Données projet'!$B$10,Paramètres!$A$1:$I$89,5,0)</f>
        <v>212.34563999999995</v>
      </c>
      <c r="AK107" s="13">
        <f t="shared" si="89"/>
        <v>52.44783521313397</v>
      </c>
      <c r="AL107" s="20">
        <f t="shared" si="58"/>
        <v>461.18196932954152</v>
      </c>
      <c r="AM107" s="59">
        <f t="shared" si="59"/>
        <v>754.51530266287477</v>
      </c>
      <c r="AN107" s="59">
        <f ca="1">AVERAGE(OFFSET($AM$3,0,0,'Données projet'!$E$10+1,1))-AVERAGE(OFFSET($H$3,0,0,'Données projet'!$E$10+1,1))</f>
        <v>218.3918302549892</v>
      </c>
      <c r="AO107" s="59">
        <f t="shared" si="90"/>
        <v>102.61932145411976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41.459835411904187</v>
      </c>
      <c r="AV107" s="21">
        <f>EXP(-LN(2)/25)*AV106+(1-EXP(-LN(2)/25))/(LN(2)/25)*Calculateur!AQ107*Calculateur!AS107*VLOOKUP('Données projet'!$B$10,Paramètres!$A$1:$I$89,3,0)*0.475*44/12</f>
        <v>13.570744184404607</v>
      </c>
      <c r="AW107" s="21">
        <f>EXP(-LN(2)/2)*AW106+(1-EXP(-LN(2)/2))/(LN(2)/2)*AQ107*AT107*VLOOKUP('Données projet'!$B$10,Paramètres!$A$1:$I$89,3,0)*0.475*44/12</f>
        <v>0.47219260474102648</v>
      </c>
      <c r="AX107" s="21">
        <f t="shared" si="60"/>
        <v>55.502772201049822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112.66486935566058</v>
      </c>
      <c r="BJ107" s="59">
        <f t="shared" si="92"/>
        <v>110.84860075828624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6.8499908125743865</v>
      </c>
      <c r="BQ107" s="21">
        <f>EXP(-LN(2)/25)*BQ106+(1-EXP(-LN(2)/25))/(LN(2)/25)*Calculateur!BL107*Calculateur!BN107*VLOOKUP('Données projet'!$B$11,Paramètres!$A$1:$I$89,3,0)*0.475*44/12</f>
        <v>36.206396204729479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43.056387017303862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5.6843418860808015E-13</v>
      </c>
      <c r="O108" s="13">
        <f>N108*VLOOKUP('Données projet'!$B$9,Paramètres!$A$1:$I$89,3,0)*VLOOKUP('Données projet'!$B$9,Paramètres!$A$1:$I$89,5,0)</f>
        <v>3.177547114319168E-13</v>
      </c>
      <c r="P108" s="13">
        <f t="shared" si="87"/>
        <v>4.1725404435445377E-12</v>
      </c>
      <c r="Q108" s="20">
        <f t="shared" si="107"/>
        <v>7.820597394917325E-12</v>
      </c>
      <c r="R108" s="59">
        <f t="shared" si="55"/>
        <v>293.33333333334116</v>
      </c>
      <c r="S108" s="59">
        <f ca="1">AVERAGE(OFFSET($R$3,0,0,'Données projet'!$E$9+1,1))-AVERAGE(OFFSET($H$3,0,0,'Données projet'!$E$9+1,1))</f>
        <v>314.07001555875894</v>
      </c>
      <c r="T108" s="59">
        <f t="shared" si="88"/>
        <v>281.53154885904991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115.37435886918563</v>
      </c>
      <c r="AA108" s="21">
        <f>EXP(-LN(2)/25)*AA107+(1-EXP(-LN(2)/25))/(LN(2)/25)*Calculateur!V108*Calculateur!X108*VLOOKUP('Données projet'!$B$9,Paramètres!$A$1:$I$89,3,0)*0.475*44/12</f>
        <v>29.085594941390891</v>
      </c>
      <c r="AB108" s="21">
        <f>EXP(-LN(2)/2)*AB107+(1-EXP(-LN(2)/2))/(LN(2)/2)*V108*Y108*VLOOKUP('Données projet'!$B$9,Paramètres!$A$1:$I$89,3,0)*0.475*44/12</f>
        <v>4.0733694660729798E-4</v>
      </c>
      <c r="AC108" s="22">
        <f t="shared" si="57"/>
        <v>144.46036114752312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5.6049999999999995</v>
      </c>
      <c r="AI108" s="13">
        <f>IF('Données projet'!$A$62&gt;35,AI107+AH108-AQ107,IF(A108&lt;'Données projet'!$A$62,$AF$205^A108,IF(A108='Données projet'!$A$62,'Données projet'!$B$62,AI107+AH108-AQ107)))</f>
        <v>486.02499999999986</v>
      </c>
      <c r="AJ108" s="13">
        <f>AI108*VLOOKUP('Données projet'!$B$10,Paramètres!$A$1:$I$89,3,0)*VLOOKUP('Données projet'!$B$10,Paramètres!$A$1:$I$89,5,0)</f>
        <v>214.82304999999997</v>
      </c>
      <c r="AK108" s="13">
        <f t="shared" si="89"/>
        <v>52.988146568062064</v>
      </c>
      <c r="AL108" s="20">
        <f t="shared" si="58"/>
        <v>466.43783402270793</v>
      </c>
      <c r="AM108" s="59">
        <f t="shared" si="59"/>
        <v>759.77116735604125</v>
      </c>
      <c r="AN108" s="59">
        <f ca="1">AVERAGE(OFFSET($AM$3,0,0,'Données projet'!$E$10+1,1))-AVERAGE(OFFSET($H$3,0,0,'Données projet'!$E$10+1,1))</f>
        <v>218.3918302549892</v>
      </c>
      <c r="AO108" s="59">
        <f t="shared" si="90"/>
        <v>102.61932145411976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40.646833327479364</v>
      </c>
      <c r="AV108" s="21">
        <f>EXP(-LN(2)/25)*AV107+(1-EXP(-LN(2)/25))/(LN(2)/25)*Calculateur!AQ108*Calculateur!AS108*VLOOKUP('Données projet'!$B$10,Paramètres!$A$1:$I$89,3,0)*0.475*44/12</f>
        <v>13.199651471027643</v>
      </c>
      <c r="AW108" s="21">
        <f>EXP(-LN(2)/2)*AW107+(1-EXP(-LN(2)/2))/(LN(2)/2)*AQ108*AT108*VLOOKUP('Données projet'!$B$10,Paramètres!$A$1:$I$89,3,0)*0.475*44/12</f>
        <v>0.33389059283851896</v>
      </c>
      <c r="AX108" s="21">
        <f t="shared" si="60"/>
        <v>54.180375391345528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112.66486935566058</v>
      </c>
      <c r="BJ108" s="59">
        <f t="shared" si="92"/>
        <v>110.84860075828624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6.7156666708216468</v>
      </c>
      <c r="BQ108" s="21">
        <f>EXP(-LN(2)/25)*BQ107+(1-EXP(-LN(2)/25))/(LN(2)/25)*Calculateur!BL108*Calculateur!BN108*VLOOKUP('Données projet'!$B$11,Paramètres!$A$1:$I$89,3,0)*0.475*44/12</f>
        <v>35.216330396499529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41.931997067321177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5.6843418860808015E-13</v>
      </c>
      <c r="O109" s="13">
        <f>N109*VLOOKUP('Données projet'!$B$9,Paramètres!$A$1:$I$89,3,0)*VLOOKUP('Données projet'!$B$9,Paramètres!$A$1:$I$89,5,0)</f>
        <v>3.177547114319168E-13</v>
      </c>
      <c r="P109" s="13">
        <f t="shared" si="87"/>
        <v>4.1725404435445377E-12</v>
      </c>
      <c r="Q109" s="20">
        <f t="shared" si="107"/>
        <v>7.820597394917325E-12</v>
      </c>
      <c r="R109" s="59">
        <f t="shared" si="55"/>
        <v>293.33333333334116</v>
      </c>
      <c r="S109" s="59">
        <f ca="1">AVERAGE(OFFSET($R$3,0,0,'Données projet'!$E$9+1,1))-AVERAGE(OFFSET($H$3,0,0,'Données projet'!$E$9+1,1))</f>
        <v>314.07001555875894</v>
      </c>
      <c r="T109" s="59">
        <f t="shared" si="88"/>
        <v>281.53154885904991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113.11193806317121</v>
      </c>
      <c r="AA109" s="21">
        <f>EXP(-LN(2)/25)*AA108+(1-EXP(-LN(2)/25))/(LN(2)/25)*Calculateur!V109*Calculateur!X109*VLOOKUP('Données projet'!$B$9,Paramètres!$A$1:$I$89,3,0)*0.475*44/12</f>
        <v>28.290247818173594</v>
      </c>
      <c r="AB109" s="21">
        <f>EXP(-LN(2)/2)*AB108+(1-EXP(-LN(2)/2))/(LN(2)/2)*V109*Y109*VLOOKUP('Données projet'!$B$9,Paramètres!$A$1:$I$89,3,0)*0.475*44/12</f>
        <v>2.8803071717384304E-4</v>
      </c>
      <c r="AC109" s="22">
        <f t="shared" si="57"/>
        <v>141.40247391206196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5.6049999999999995</v>
      </c>
      <c r="AI109" s="13">
        <f>IF('Données projet'!$A$62&gt;35,AI108+AH109-AQ108,IF(A109&lt;'Données projet'!$A$62,$AF$205^A109,IF(A109='Données projet'!$A$62,'Données projet'!$B$62,AI108+AH109-AQ108)))</f>
        <v>491.62999999999988</v>
      </c>
      <c r="AJ109" s="13">
        <f>AI109*VLOOKUP('Données projet'!$B$10,Paramètres!$A$1:$I$89,3,0)*VLOOKUP('Données projet'!$B$10,Paramètres!$A$1:$I$89,5,0)</f>
        <v>217.30045999999999</v>
      </c>
      <c r="AK109" s="13">
        <f t="shared" si="89"/>
        <v>53.527733098589067</v>
      </c>
      <c r="AL109" s="20">
        <f t="shared" si="58"/>
        <v>471.69243631337594</v>
      </c>
      <c r="AM109" s="59">
        <f t="shared" si="59"/>
        <v>765.02576964670925</v>
      </c>
      <c r="AN109" s="59">
        <f ca="1">AVERAGE(OFFSET($AM$3,0,0,'Données projet'!$E$10+1,1))-AVERAGE(OFFSET($H$3,0,0,'Données projet'!$E$10+1,1))</f>
        <v>218.3918302549892</v>
      </c>
      <c r="AO109" s="59">
        <f t="shared" si="90"/>
        <v>102.61932145411976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39.849773718047807</v>
      </c>
      <c r="AV109" s="21">
        <f>EXP(-LN(2)/25)*AV108+(1-EXP(-LN(2)/25))/(LN(2)/25)*Calculateur!AQ109*Calculateur!AS109*VLOOKUP('Données projet'!$B$10,Paramètres!$A$1:$I$89,3,0)*0.475*44/12</f>
        <v>12.83870630741289</v>
      </c>
      <c r="AW109" s="21">
        <f>EXP(-LN(2)/2)*AW108+(1-EXP(-LN(2)/2))/(LN(2)/2)*AQ109*AT109*VLOOKUP('Données projet'!$B$10,Paramètres!$A$1:$I$89,3,0)*0.475*44/12</f>
        <v>0.23609630237051327</v>
      </c>
      <c r="AX109" s="21">
        <f t="shared" si="60"/>
        <v>52.924576327831211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112.66486935566058</v>
      </c>
      <c r="BJ109" s="59">
        <f t="shared" si="92"/>
        <v>110.84860075828624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6.583976543559042</v>
      </c>
      <c r="BQ109" s="21">
        <f>EXP(-LN(2)/25)*BQ108+(1-EXP(-LN(2)/25))/(LN(2)/25)*Calculateur!BL109*Calculateur!BN109*VLOOKUP('Données projet'!$B$11,Paramètres!$A$1:$I$89,3,0)*0.475*44/12</f>
        <v>34.253337989860924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40.837314533419963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5.6843418860808015E-13</v>
      </c>
      <c r="O110" s="13">
        <f>N110*VLOOKUP('Données projet'!$B$9,Paramètres!$A$1:$I$89,3,0)*VLOOKUP('Données projet'!$B$9,Paramètres!$A$1:$I$89,5,0)</f>
        <v>3.177547114319168E-13</v>
      </c>
      <c r="P110" s="13">
        <f t="shared" si="87"/>
        <v>4.1725404435445377E-12</v>
      </c>
      <c r="Q110" s="20">
        <f t="shared" si="107"/>
        <v>7.820597394917325E-12</v>
      </c>
      <c r="R110" s="59">
        <f t="shared" si="55"/>
        <v>293.33333333334116</v>
      </c>
      <c r="S110" s="59">
        <f ca="1">AVERAGE(OFFSET($R$3,0,0,'Données projet'!$E$9+1,1))-AVERAGE(OFFSET($H$3,0,0,'Données projet'!$E$9+1,1))</f>
        <v>314.07001555875894</v>
      </c>
      <c r="T110" s="59">
        <f t="shared" si="88"/>
        <v>281.53154885904991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110.8938819492223</v>
      </c>
      <c r="AA110" s="21">
        <f>EXP(-LN(2)/25)*AA109+(1-EXP(-LN(2)/25))/(LN(2)/25)*Calculateur!V110*Calculateur!X110*VLOOKUP('Données projet'!$B$9,Paramètres!$A$1:$I$89,3,0)*0.475*44/12</f>
        <v>27.516649503866162</v>
      </c>
      <c r="AB110" s="21">
        <f>EXP(-LN(2)/2)*AB109+(1-EXP(-LN(2)/2))/(LN(2)/2)*V110*Y110*VLOOKUP('Données projet'!$B$9,Paramètres!$A$1:$I$89,3,0)*0.475*44/12</f>
        <v>2.0366847330364899E-4</v>
      </c>
      <c r="AC110" s="22">
        <f t="shared" si="57"/>
        <v>138.41073512156177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5.6049999999999995</v>
      </c>
      <c r="AI110" s="13">
        <f>IF('Données projet'!$A$62&gt;35,AI109+AH110-AQ109,IF(A110&lt;'Données projet'!$A$62,$AF$205^A110,IF(A110='Données projet'!$A$62,'Données projet'!$B$62,AI109+AH110-AQ109)))</f>
        <v>497.2349999999999</v>
      </c>
      <c r="AJ110" s="13">
        <f>AI110*VLOOKUP('Données projet'!$B$10,Paramètres!$A$1:$I$89,3,0)*VLOOKUP('Données projet'!$B$10,Paramètres!$A$1:$I$89,5,0)</f>
        <v>219.77786999999998</v>
      </c>
      <c r="AK110" s="13">
        <f t="shared" si="89"/>
        <v>54.066604024496833</v>
      </c>
      <c r="AL110" s="20">
        <f t="shared" si="58"/>
        <v>476.94579225933194</v>
      </c>
      <c r="AM110" s="59">
        <f t="shared" si="59"/>
        <v>770.2791255926652</v>
      </c>
      <c r="AN110" s="59">
        <f ca="1">AVERAGE(OFFSET($AM$3,0,0,'Données projet'!$E$10+1,1))-AVERAGE(OFFSET($H$3,0,0,'Données projet'!$E$10+1,1))</f>
        <v>218.3918302549892</v>
      </c>
      <c r="AO110" s="59">
        <f t="shared" si="90"/>
        <v>102.61932145411976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39.068343961398845</v>
      </c>
      <c r="AV110" s="21">
        <f>EXP(-LN(2)/25)*AV109+(1-EXP(-LN(2)/25))/(LN(2)/25)*Calculateur!AQ110*Calculateur!AS110*VLOOKUP('Données projet'!$B$10,Paramètres!$A$1:$I$89,3,0)*0.475*44/12</f>
        <v>12.487631208278463</v>
      </c>
      <c r="AW110" s="21">
        <f>EXP(-LN(2)/2)*AW109+(1-EXP(-LN(2)/2))/(LN(2)/2)*AQ110*AT110*VLOOKUP('Données projet'!$B$10,Paramètres!$A$1:$I$89,3,0)*0.475*44/12</f>
        <v>0.16694529641925951</v>
      </c>
      <c r="AX110" s="21">
        <f t="shared" si="60"/>
        <v>51.722920466096568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112.66486935566058</v>
      </c>
      <c r="BJ110" s="59">
        <f t="shared" si="92"/>
        <v>110.84860075828624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6.4548687793690105</v>
      </c>
      <c r="BQ110" s="21">
        <f>EXP(-LN(2)/25)*BQ109+(1-EXP(-LN(2)/25))/(LN(2)/25)*Calculateur!BL110*Calculateur!BN110*VLOOKUP('Données projet'!$B$11,Paramètres!$A$1:$I$89,3,0)*0.475*44/12</f>
        <v>33.31667866122342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39.771547440592428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5.6843418860808015E-13</v>
      </c>
      <c r="O111" s="13">
        <f>N111*VLOOKUP('Données projet'!$B$9,Paramètres!$A$1:$I$89,3,0)*VLOOKUP('Données projet'!$B$9,Paramètres!$A$1:$I$89,5,0)</f>
        <v>3.177547114319168E-13</v>
      </c>
      <c r="P111" s="13">
        <f t="shared" si="87"/>
        <v>4.1725404435445377E-12</v>
      </c>
      <c r="Q111" s="20">
        <f t="shared" si="107"/>
        <v>7.820597394917325E-12</v>
      </c>
      <c r="R111" s="59">
        <f t="shared" si="55"/>
        <v>293.33333333334116</v>
      </c>
      <c r="S111" s="59">
        <f ca="1">AVERAGE(OFFSET($R$3,0,0,'Données projet'!$E$9+1,1))-AVERAGE(OFFSET($H$3,0,0,'Données projet'!$E$9+1,1))</f>
        <v>314.07001555875894</v>
      </c>
      <c r="T111" s="59">
        <f t="shared" si="88"/>
        <v>281.53154885904991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108.71932056278729</v>
      </c>
      <c r="AA111" s="21">
        <f>EXP(-LN(2)/25)*AA110+(1-EXP(-LN(2)/25))/(LN(2)/25)*Calculateur!V111*Calculateur!X111*VLOOKUP('Données projet'!$B$9,Paramètres!$A$1:$I$89,3,0)*0.475*44/12</f>
        <v>26.764205276145233</v>
      </c>
      <c r="AB111" s="21">
        <f>EXP(-LN(2)/2)*AB110+(1-EXP(-LN(2)/2))/(LN(2)/2)*V111*Y111*VLOOKUP('Données projet'!$B$9,Paramètres!$A$1:$I$89,3,0)*0.475*44/12</f>
        <v>1.4401535858692152E-4</v>
      </c>
      <c r="AC111" s="22">
        <f t="shared" si="57"/>
        <v>135.48366985429109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>
        <f>VLOOKUP(A111,'Données projet'!$A$61:$I$81,2,0)</f>
        <v>502.84</v>
      </c>
      <c r="AG111" s="12">
        <f>VLOOKUP(A111,'Données projet'!$A$61:$I$81,9,0)</f>
        <v>5.6049999999999995</v>
      </c>
      <c r="AH111" s="12">
        <f t="array" ref="AH111">INDEX(AG:AG,MIN(IF(ISNUMBER(AG111:AG307),ROW(AG111:AG307),"")))</f>
        <v>5.6049999999999995</v>
      </c>
      <c r="AI111" s="13">
        <f>IF('Données projet'!$A$62&gt;35,AI110+AH111-AQ110,IF(A111&lt;'Données projet'!$A$62,$AF$205^A111,IF(A111='Données projet'!$A$62,'Données projet'!$B$62,AI110+AH111-AQ110)))</f>
        <v>502.83999999999992</v>
      </c>
      <c r="AJ111" s="13">
        <f>AI111*VLOOKUP('Données projet'!$B$10,Paramètres!$A$1:$I$89,3,0)*VLOOKUP('Données projet'!$B$10,Paramètres!$A$1:$I$89,5,0)</f>
        <v>222.25528</v>
      </c>
      <c r="AK111" s="13">
        <f t="shared" si="89"/>
        <v>54.604768345743665</v>
      </c>
      <c r="AL111" s="20">
        <f t="shared" si="58"/>
        <v>482.19791753550356</v>
      </c>
      <c r="AM111" s="59">
        <f t="shared" si="59"/>
        <v>775.53125086883688</v>
      </c>
      <c r="AN111" s="59">
        <f ca="1">AVERAGE(OFFSET($AM$3,0,0,'Données projet'!$E$10+1,1))-AVERAGE(OFFSET($H$3,0,0,'Données projet'!$E$10+1,1))</f>
        <v>218.3918302549892</v>
      </c>
      <c r="AO111" s="59">
        <f t="shared" si="90"/>
        <v>102.61932145411976</v>
      </c>
      <c r="AP111" s="15">
        <f>IF(ISNA(VLOOKUP(A111,'Données projet'!$A$61:$I$81,3,0)),0,VLOOKUP(A111,'Données projet'!$A$61:$I$81,3,0))</f>
        <v>8</v>
      </c>
      <c r="AQ111" s="15">
        <f>IF(ISNA(VLOOKUP(A111,'Données projet'!$A$61:$I$81,4,0)),0,VLOOKUP(A111,'Données projet'!$A$61:$I$81,4,0))</f>
        <v>65.25</v>
      </c>
      <c r="AR111" s="16">
        <f>IF(ISNA(VLOOKUP(A111,'Données projet'!$A$61:$I$81,5,0)),0%,VLOOKUP(A111,'Données projet'!$A$61:$I$81,5,0)*VLOOKUP('Données projet'!$B$10,Paramètres!$A$1:$I$89,7,0))</f>
        <v>0.33</v>
      </c>
      <c r="AS111" s="16">
        <f>IF(ISNA(VLOOKUP(A111,'Données projet'!$A$61:$I$81,6,0)),0%,VLOOKUP(A111,'Données projet'!$A$61:$I$81,6,0)*VLOOKUP('Données projet'!$B$10,Paramètres!$A$1:$I$89,7,0))</f>
        <v>0.11000000000000001</v>
      </c>
      <c r="AT111" s="16">
        <f>IF(ISNA(VLOOKUP(A111,'Données projet'!$A$61:$I$81,7,0)),0%,VLOOKUP(A111,'Données projet'!$A$61:$I$81,7,0))</f>
        <v>0.2</v>
      </c>
      <c r="AU111" s="21">
        <f>EXP(-LN(2)/35)*AU110+(1-EXP(-LN(2)/35))/(LN(2)/35)*AQ111*AR111*VLOOKUP('Données projet'!$B$10,Paramètres!$A$1:$I$89,3,0)*0.475*44/12</f>
        <v>50.927635684097019</v>
      </c>
      <c r="AV111" s="21">
        <f>EXP(-LN(2)/25)*AV110+(1-EXP(-LN(2)/25))/(LN(2)/25)*Calculateur!AQ111*Calculateur!AS111*VLOOKUP('Données projet'!$B$10,Paramètres!$A$1:$I$89,3,0)*0.475*44/12</f>
        <v>16.338051981324838</v>
      </c>
      <c r="AW111" s="21">
        <f>EXP(-LN(2)/2)*AW110+(1-EXP(-LN(2)/2))/(LN(2)/2)*AQ111*AT111*VLOOKUP('Données projet'!$B$10,Paramètres!$A$1:$I$89,3,0)*0.475*44/12</f>
        <v>6.6488772665476645</v>
      </c>
      <c r="AX111" s="21">
        <f t="shared" si="60"/>
        <v>73.914564931969522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112.66486935566058</v>
      </c>
      <c r="BJ111" s="59">
        <f t="shared" si="92"/>
        <v>110.84860075828624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6.328292739686785</v>
      </c>
      <c r="BQ111" s="21">
        <f>EXP(-LN(2)/25)*BQ110+(1-EXP(-LN(2)/25))/(LN(2)/25)*Calculateur!BL111*Calculateur!BN111*VLOOKUP('Données projet'!$B$11,Paramètres!$A$1:$I$89,3,0)*0.475*44/12</f>
        <v>32.405632331184279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38.733925070871067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5.6843418860808015E-13</v>
      </c>
      <c r="O112" s="13">
        <f>N112*VLOOKUP('Données projet'!$B$9,Paramètres!$A$1:$I$89,3,0)*VLOOKUP('Données projet'!$B$9,Paramètres!$A$1:$I$89,5,0)</f>
        <v>3.177547114319168E-13</v>
      </c>
      <c r="P112" s="13">
        <f t="shared" si="87"/>
        <v>4.1725404435445377E-12</v>
      </c>
      <c r="Q112" s="20">
        <f t="shared" si="107"/>
        <v>7.820597394917325E-12</v>
      </c>
      <c r="R112" s="59">
        <f t="shared" si="55"/>
        <v>293.33333333334116</v>
      </c>
      <c r="S112" s="59">
        <f ca="1">AVERAGE(OFFSET($R$3,0,0,'Données projet'!$E$9+1,1))-AVERAGE(OFFSET($H$3,0,0,'Données projet'!$E$9+1,1))</f>
        <v>314.07001555875894</v>
      </c>
      <c r="T112" s="59">
        <f t="shared" si="88"/>
        <v>281.53154885904991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106.58740099878878</v>
      </c>
      <c r="AA112" s="21">
        <f>EXP(-LN(2)/25)*AA111+(1-EXP(-LN(2)/25))/(LN(2)/25)*Calculateur!V112*Calculateur!X112*VLOOKUP('Données projet'!$B$9,Paramètres!$A$1:$I$89,3,0)*0.475*44/12</f>
        <v>26.032336675400657</v>
      </c>
      <c r="AB112" s="21">
        <f>EXP(-LN(2)/2)*AB111+(1-EXP(-LN(2)/2))/(LN(2)/2)*V112*Y112*VLOOKUP('Données projet'!$B$9,Paramètres!$A$1:$I$89,3,0)*0.475*44/12</f>
        <v>1.0183423665182449E-4</v>
      </c>
      <c r="AC112" s="22">
        <f t="shared" si="57"/>
        <v>132.61983950842608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4.3516666666666692</v>
      </c>
      <c r="AI112" s="13">
        <f>IF('Données projet'!$A$62&gt;35,AI111+AH112-AQ111,IF(A112&lt;'Données projet'!$A$62,$AF$205^A112,IF(A112='Données projet'!$A$62,'Données projet'!$B$62,AI111+AH112-AQ111)))</f>
        <v>441.94166666666661</v>
      </c>
      <c r="AJ112" s="13">
        <f>AI112*VLOOKUP('Données projet'!$B$10,Paramètres!$A$1:$I$89,3,0)*VLOOKUP('Données projet'!$B$10,Paramètres!$A$1:$I$89,5,0)</f>
        <v>195.33821666666668</v>
      </c>
      <c r="AK112" s="13">
        <f t="shared" si="89"/>
        <v>48.718246799732206</v>
      </c>
      <c r="AL112" s="20">
        <f t="shared" si="58"/>
        <v>425.06500720397804</v>
      </c>
      <c r="AM112" s="59">
        <f t="shared" si="59"/>
        <v>718.39834053731136</v>
      </c>
      <c r="AN112" s="59">
        <f ca="1">AVERAGE(OFFSET($AM$3,0,0,'Données projet'!$E$10+1,1))-AVERAGE(OFFSET($H$3,0,0,'Données projet'!$E$10+1,1))</f>
        <v>218.3918302549892</v>
      </c>
      <c r="AO112" s="59">
        <f t="shared" si="90"/>
        <v>102.61932145411976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49.928975811122449</v>
      </c>
      <c r="AV112" s="21">
        <f>EXP(-LN(2)/25)*AV111+(1-EXP(-LN(2)/25))/(LN(2)/25)*Calculateur!AQ112*Calculateur!AS112*VLOOKUP('Données projet'!$B$10,Paramètres!$A$1:$I$89,3,0)*0.475*44/12</f>
        <v>15.891287090714698</v>
      </c>
      <c r="AW112" s="21">
        <f>EXP(-LN(2)/2)*AW111+(1-EXP(-LN(2)/2))/(LN(2)/2)*AQ112*AT112*VLOOKUP('Données projet'!$B$10,Paramètres!$A$1:$I$89,3,0)*0.475*44/12</f>
        <v>4.7014662024529299</v>
      </c>
      <c r="AX112" s="21">
        <f t="shared" si="60"/>
        <v>70.521729104290074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112.66486935566058</v>
      </c>
      <c r="BJ112" s="59">
        <f t="shared" si="92"/>
        <v>110.84860075828624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6.2041987789389674</v>
      </c>
      <c r="BQ112" s="21">
        <f>EXP(-LN(2)/25)*BQ111+(1-EXP(-LN(2)/25))/(LN(2)/25)*Calculateur!BL112*Calculateur!BN112*VLOOKUP('Données projet'!$B$11,Paramètres!$A$1:$I$89,3,0)*0.475*44/12</f>
        <v>31.519498610949906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37.723697389888876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5.6843418860808015E-13</v>
      </c>
      <c r="O113" s="13">
        <f>N113*VLOOKUP('Données projet'!$B$9,Paramètres!$A$1:$I$89,3,0)*VLOOKUP('Données projet'!$B$9,Paramètres!$A$1:$I$89,5,0)</f>
        <v>3.177547114319168E-13</v>
      </c>
      <c r="P113" s="13">
        <f t="shared" si="87"/>
        <v>4.1725404435445377E-12</v>
      </c>
      <c r="Q113" s="20">
        <f t="shared" si="107"/>
        <v>7.820597394917325E-12</v>
      </c>
      <c r="R113" s="59">
        <f t="shared" si="55"/>
        <v>293.33333333334116</v>
      </c>
      <c r="S113" s="59">
        <f ca="1">AVERAGE(OFFSET($R$3,0,0,'Données projet'!$E$9+1,1))-AVERAGE(OFFSET($H$3,0,0,'Données projet'!$E$9+1,1))</f>
        <v>314.07001555875894</v>
      </c>
      <c r="T113" s="59">
        <f t="shared" si="88"/>
        <v>281.53154885904991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104.49728707709775</v>
      </c>
      <c r="AA113" s="21">
        <f>EXP(-LN(2)/25)*AA112+(1-EXP(-LN(2)/25))/(LN(2)/25)*Calculateur!V113*Calculateur!X113*VLOOKUP('Données projet'!$B$9,Paramètres!$A$1:$I$89,3,0)*0.475*44/12</f>
        <v>25.320481060030737</v>
      </c>
      <c r="AB113" s="21">
        <f>EXP(-LN(2)/2)*AB112+(1-EXP(-LN(2)/2))/(LN(2)/2)*V113*Y113*VLOOKUP('Données projet'!$B$9,Paramètres!$A$1:$I$89,3,0)*0.475*44/12</f>
        <v>7.2007679293460759E-5</v>
      </c>
      <c r="AC113" s="22">
        <f t="shared" si="57"/>
        <v>129.8178401448078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4.3516666666666692</v>
      </c>
      <c r="AI113" s="13">
        <f>IF('Données projet'!$A$62&gt;35,AI112+AH113-AQ112,IF(A113&lt;'Données projet'!$A$62,$AF$205^A113,IF(A113='Données projet'!$A$62,'Données projet'!$B$62,AI112+AH113-AQ112)))</f>
        <v>446.29333333333329</v>
      </c>
      <c r="AJ113" s="13">
        <f>AI113*VLOOKUP('Données projet'!$B$10,Paramètres!$A$1:$I$89,3,0)*VLOOKUP('Données projet'!$B$10,Paramètres!$A$1:$I$89,5,0)</f>
        <v>197.26165333333333</v>
      </c>
      <c r="AK113" s="13">
        <f t="shared" si="89"/>
        <v>49.141879994076213</v>
      </c>
      <c r="AL113" s="20">
        <f t="shared" si="58"/>
        <v>429.15282054523828</v>
      </c>
      <c r="AM113" s="59">
        <f t="shared" si="59"/>
        <v>722.4861538785716</v>
      </c>
      <c r="AN113" s="59">
        <f ca="1">AVERAGE(OFFSET($AM$3,0,0,'Données projet'!$E$10+1,1))-AVERAGE(OFFSET($H$3,0,0,'Données projet'!$E$10+1,1))</f>
        <v>218.3918302549892</v>
      </c>
      <c r="AO113" s="59">
        <f t="shared" si="90"/>
        <v>102.61932145411976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48.94989904913453</v>
      </c>
      <c r="AV113" s="21">
        <f>EXP(-LN(2)/25)*AV112+(1-EXP(-LN(2)/25))/(LN(2)/25)*Calculateur!AQ113*Calculateur!AS113*VLOOKUP('Données projet'!$B$10,Paramètres!$A$1:$I$89,3,0)*0.475*44/12</f>
        <v>15.456739009532637</v>
      </c>
      <c r="AW113" s="21">
        <f>EXP(-LN(2)/2)*AW112+(1-EXP(-LN(2)/2))/(LN(2)/2)*AQ113*AT113*VLOOKUP('Données projet'!$B$10,Paramètres!$A$1:$I$89,3,0)*0.475*44/12</f>
        <v>3.3244386332738327</v>
      </c>
      <c r="AX113" s="21">
        <f t="shared" si="60"/>
        <v>67.731076691940999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112.66486935566058</v>
      </c>
      <c r="BJ113" s="59">
        <f t="shared" si="92"/>
        <v>110.84860075828624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6.0825382250715716</v>
      </c>
      <c r="BQ113" s="21">
        <f>EXP(-LN(2)/25)*BQ112+(1-EXP(-LN(2)/25))/(LN(2)/25)*Calculateur!BL113*Calculateur!BN113*VLOOKUP('Données projet'!$B$11,Paramètres!$A$1:$I$89,3,0)*0.475*44/12</f>
        <v>30.657596263895087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36.74013448896666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5.6843418860808015E-13</v>
      </c>
      <c r="O114" s="13">
        <f>N114*VLOOKUP('Données projet'!$B$9,Paramètres!$A$1:$I$89,3,0)*VLOOKUP('Données projet'!$B$9,Paramètres!$A$1:$I$89,5,0)</f>
        <v>3.177547114319168E-13</v>
      </c>
      <c r="P114" s="13">
        <f t="shared" si="87"/>
        <v>4.1725404435445377E-12</v>
      </c>
      <c r="Q114" s="20">
        <f t="shared" si="107"/>
        <v>7.820597394917325E-12</v>
      </c>
      <c r="R114" s="59">
        <f t="shared" si="55"/>
        <v>293.33333333334116</v>
      </c>
      <c r="S114" s="59">
        <f ca="1">AVERAGE(OFFSET($R$3,0,0,'Données projet'!$E$9+1,1))-AVERAGE(OFFSET($H$3,0,0,'Données projet'!$E$9+1,1))</f>
        <v>314.07001555875894</v>
      </c>
      <c r="T114" s="59">
        <f t="shared" si="88"/>
        <v>281.53154885904991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102.44815901456747</v>
      </c>
      <c r="AA114" s="21">
        <f>EXP(-LN(2)/25)*AA113+(1-EXP(-LN(2)/25))/(LN(2)/25)*Calculateur!V114*Calculateur!X114*VLOOKUP('Données projet'!$B$9,Paramètres!$A$1:$I$89,3,0)*0.475*44/12</f>
        <v>24.628091173897968</v>
      </c>
      <c r="AB114" s="21">
        <f>EXP(-LN(2)/2)*AB113+(1-EXP(-LN(2)/2))/(LN(2)/2)*V114*Y114*VLOOKUP('Données projet'!$B$9,Paramètres!$A$1:$I$89,3,0)*0.475*44/12</f>
        <v>5.0917118325912247E-5</v>
      </c>
      <c r="AC114" s="22">
        <f t="shared" si="57"/>
        <v>127.07630110558377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4.3516666666666692</v>
      </c>
      <c r="AI114" s="13">
        <f>IF('Données projet'!$A$62&gt;35,AI113+AH114-AQ113,IF(A114&lt;'Données projet'!$A$62,$AF$205^A114,IF(A114='Données projet'!$A$62,'Données projet'!$B$62,AI113+AH114-AQ113)))</f>
        <v>450.64499999999998</v>
      </c>
      <c r="AJ114" s="13">
        <f>AI114*VLOOKUP('Données projet'!$B$10,Paramètres!$A$1:$I$89,3,0)*VLOOKUP('Données projet'!$B$10,Paramètres!$A$1:$I$89,5,0)</f>
        <v>199.18509</v>
      </c>
      <c r="AK114" s="13">
        <f t="shared" si="89"/>
        <v>49.56503263792537</v>
      </c>
      <c r="AL114" s="20">
        <f t="shared" si="58"/>
        <v>433.23979692771996</v>
      </c>
      <c r="AM114" s="59">
        <f t="shared" si="59"/>
        <v>726.57313026105328</v>
      </c>
      <c r="AN114" s="59">
        <f ca="1">AVERAGE(OFFSET($AM$3,0,0,'Données projet'!$E$10+1,1))-AVERAGE(OFFSET($H$3,0,0,'Données projet'!$E$10+1,1))</f>
        <v>218.3918302549892</v>
      </c>
      <c r="AO114" s="59">
        <f t="shared" si="90"/>
        <v>102.61932145411976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47.990021385271341</v>
      </c>
      <c r="AV114" s="21">
        <f>EXP(-LN(2)/25)*AV113+(1-EXP(-LN(2)/25))/(LN(2)/25)*Calculateur!AQ114*Calculateur!AS114*VLOOKUP('Données projet'!$B$10,Paramètres!$A$1:$I$89,3,0)*0.475*44/12</f>
        <v>15.034073668482389</v>
      </c>
      <c r="AW114" s="21">
        <f>EXP(-LN(2)/2)*AW113+(1-EXP(-LN(2)/2))/(LN(2)/2)*AQ114*AT114*VLOOKUP('Données projet'!$B$10,Paramètres!$A$1:$I$89,3,0)*0.475*44/12</f>
        <v>2.3507331012264654</v>
      </c>
      <c r="AX114" s="21">
        <f t="shared" si="60"/>
        <v>65.374828154980193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112.66486935566058</v>
      </c>
      <c r="BJ114" s="59">
        <f t="shared" si="92"/>
        <v>110.84860075828624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5.963263360459905</v>
      </c>
      <c r="BQ114" s="21">
        <f>EXP(-LN(2)/25)*BQ113+(1-EXP(-LN(2)/25))/(LN(2)/25)*Calculateur!BL114*Calculateur!BN114*VLOOKUP('Données projet'!$B$11,Paramètres!$A$1:$I$89,3,0)*0.475*44/12</f>
        <v>29.819262681845956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35.782526042305861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5.6843418860808015E-13</v>
      </c>
      <c r="O115" s="13">
        <f>N115*VLOOKUP('Données projet'!$B$9,Paramètres!$A$1:$I$89,3,0)*VLOOKUP('Données projet'!$B$9,Paramètres!$A$1:$I$89,5,0)</f>
        <v>3.177547114319168E-13</v>
      </c>
      <c r="P115" s="13">
        <f t="shared" si="87"/>
        <v>4.1725404435445377E-12</v>
      </c>
      <c r="Q115" s="20">
        <f t="shared" si="107"/>
        <v>7.820597394917325E-12</v>
      </c>
      <c r="R115" s="59">
        <f t="shared" si="55"/>
        <v>293.33333333334116</v>
      </c>
      <c r="S115" s="59">
        <f ca="1">AVERAGE(OFFSET($R$3,0,0,'Données projet'!$E$9+1,1))-AVERAGE(OFFSET($H$3,0,0,'Données projet'!$E$9+1,1))</f>
        <v>314.07001555875894</v>
      </c>
      <c r="T115" s="59">
        <f t="shared" si="88"/>
        <v>281.53154885904991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100.4392131034987</v>
      </c>
      <c r="AA115" s="21">
        <f>EXP(-LN(2)/25)*AA114+(1-EXP(-LN(2)/25))/(LN(2)/25)*Calculateur!V115*Calculateur!X115*VLOOKUP('Données projet'!$B$9,Paramètres!$A$1:$I$89,3,0)*0.475*44/12</f>
        <v>23.954634725612703</v>
      </c>
      <c r="AB115" s="21">
        <f>EXP(-LN(2)/2)*AB114+(1-EXP(-LN(2)/2))/(LN(2)/2)*V115*Y115*VLOOKUP('Données projet'!$B$9,Paramètres!$A$1:$I$89,3,0)*0.475*44/12</f>
        <v>3.600383964673038E-5</v>
      </c>
      <c r="AC115" s="22">
        <f t="shared" si="57"/>
        <v>124.39388383295106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4.3516666666666692</v>
      </c>
      <c r="AI115" s="13">
        <f>IF('Données projet'!$A$62&gt;35,AI114+AH115-AQ114,IF(A115&lt;'Données projet'!$A$62,$AF$205^A115,IF(A115='Données projet'!$A$62,'Données projet'!$B$62,AI114+AH115-AQ114)))</f>
        <v>454.99666666666667</v>
      </c>
      <c r="AJ115" s="13">
        <f>AI115*VLOOKUP('Données projet'!$B$10,Paramètres!$A$1:$I$89,3,0)*VLOOKUP('Données projet'!$B$10,Paramètres!$A$1:$I$89,5,0)</f>
        <v>201.10852666666668</v>
      </c>
      <c r="AK115" s="13">
        <f t="shared" si="89"/>
        <v>49.987709909129244</v>
      </c>
      <c r="AL115" s="20">
        <f t="shared" si="58"/>
        <v>437.3259453695112</v>
      </c>
      <c r="AM115" s="59">
        <f t="shared" si="59"/>
        <v>730.65927870284452</v>
      </c>
      <c r="AN115" s="59">
        <f ca="1">AVERAGE(OFFSET($AM$3,0,0,'Données projet'!$E$10+1,1))-AVERAGE(OFFSET($H$3,0,0,'Données projet'!$E$10+1,1))</f>
        <v>218.3918302549892</v>
      </c>
      <c r="AO115" s="59">
        <f t="shared" si="90"/>
        <v>102.61932145411976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47.048966336928942</v>
      </c>
      <c r="AV115" s="21">
        <f>EXP(-LN(2)/25)*AV114+(1-EXP(-LN(2)/25))/(LN(2)/25)*Calculateur!AQ115*Calculateur!AS115*VLOOKUP('Données projet'!$B$10,Paramètres!$A$1:$I$89,3,0)*0.475*44/12</f>
        <v>14.622966133410165</v>
      </c>
      <c r="AW115" s="21">
        <f>EXP(-LN(2)/2)*AW114+(1-EXP(-LN(2)/2))/(LN(2)/2)*AQ115*AT115*VLOOKUP('Données projet'!$B$10,Paramètres!$A$1:$I$89,3,0)*0.475*44/12</f>
        <v>1.6622193166369166</v>
      </c>
      <c r="AX115" s="21">
        <f t="shared" si="60"/>
        <v>63.334151786976022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112.66486935566058</v>
      </c>
      <c r="BJ115" s="59">
        <f t="shared" si="92"/>
        <v>110.84860075828624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5.846327403192789</v>
      </c>
      <c r="BQ115" s="21">
        <f>EXP(-LN(2)/25)*BQ114+(1-EXP(-LN(2)/25))/(LN(2)/25)*Calculateur!BL115*Calculateur!BN115*VLOOKUP('Données projet'!$B$11,Paramètres!$A$1:$I$89,3,0)*0.475*44/12</f>
        <v>29.003853375684006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34.850180778876798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5.6843418860808015E-13</v>
      </c>
      <c r="O116" s="13">
        <f>N116*VLOOKUP('Données projet'!$B$9,Paramètres!$A$1:$I$89,3,0)*VLOOKUP('Données projet'!$B$9,Paramètres!$A$1:$I$89,5,0)</f>
        <v>3.177547114319168E-13</v>
      </c>
      <c r="P116" s="13">
        <f t="shared" si="87"/>
        <v>4.1725404435445377E-12</v>
      </c>
      <c r="Q116" s="20">
        <f t="shared" si="107"/>
        <v>7.820597394917325E-12</v>
      </c>
      <c r="R116" s="59">
        <f t="shared" si="55"/>
        <v>293.33333333334116</v>
      </c>
      <c r="S116" s="59">
        <f ca="1">AVERAGE(OFFSET($R$3,0,0,'Données projet'!$E$9+1,1))-AVERAGE(OFFSET($H$3,0,0,'Données projet'!$E$9+1,1))</f>
        <v>314.07001555875894</v>
      </c>
      <c r="T116" s="59">
        <f t="shared" si="88"/>
        <v>281.53154885904991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98.469661396409975</v>
      </c>
      <c r="AA116" s="21">
        <f>EXP(-LN(2)/25)*AA115+(1-EXP(-LN(2)/25))/(LN(2)/25)*Calculateur!V116*Calculateur!X116*VLOOKUP('Données projet'!$B$9,Paramètres!$A$1:$I$89,3,0)*0.475*44/12</f>
        <v>23.299593979321333</v>
      </c>
      <c r="AB116" s="21">
        <f>EXP(-LN(2)/2)*AB115+(1-EXP(-LN(2)/2))/(LN(2)/2)*V116*Y116*VLOOKUP('Données projet'!$B$9,Paramètres!$A$1:$I$89,3,0)*0.475*44/12</f>
        <v>2.5458559162956124E-5</v>
      </c>
      <c r="AC116" s="22">
        <f t="shared" si="57"/>
        <v>121.76928083429047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4.3516666666666692</v>
      </c>
      <c r="AI116" s="13">
        <f>IF('Données projet'!$A$62&gt;35,AI115+AH116-AQ115,IF(A116&lt;'Données projet'!$A$62,$AF$205^A116,IF(A116='Données projet'!$A$62,'Données projet'!$B$62,AI115+AH116-AQ115)))</f>
        <v>459.34833333333336</v>
      </c>
      <c r="AJ116" s="13">
        <f>AI116*VLOOKUP('Données projet'!$B$10,Paramètres!$A$1:$I$89,3,0)*VLOOKUP('Données projet'!$B$10,Paramètres!$A$1:$I$89,5,0)</f>
        <v>203.03196333333335</v>
      </c>
      <c r="AK116" s="13">
        <f t="shared" si="89"/>
        <v>50.409916880782866</v>
      </c>
      <c r="AL116" s="20">
        <f t="shared" si="58"/>
        <v>441.41127470625241</v>
      </c>
      <c r="AM116" s="59">
        <f t="shared" si="59"/>
        <v>734.74460803958573</v>
      </c>
      <c r="AN116" s="59">
        <f ca="1">AVERAGE(OFFSET($AM$3,0,0,'Données projet'!$E$10+1,1))-AVERAGE(OFFSET($H$3,0,0,'Données projet'!$E$10+1,1))</f>
        <v>218.3918302549892</v>
      </c>
      <c r="AO116" s="59">
        <f t="shared" si="90"/>
        <v>102.61932145411976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46.126364804097634</v>
      </c>
      <c r="AV116" s="21">
        <f>EXP(-LN(2)/25)*AV115+(1-EXP(-LN(2)/25))/(LN(2)/25)*Calculateur!AQ116*Calculateur!AS116*VLOOKUP('Données projet'!$B$10,Paramètres!$A$1:$I$89,3,0)*0.475*44/12</f>
        <v>14.223100355503696</v>
      </c>
      <c r="AW116" s="21">
        <f>EXP(-LN(2)/2)*AW115+(1-EXP(-LN(2)/2))/(LN(2)/2)*AQ116*AT116*VLOOKUP('Données projet'!$B$10,Paramètres!$A$1:$I$89,3,0)*0.475*44/12</f>
        <v>1.1753665506132327</v>
      </c>
      <c r="AX116" s="21">
        <f t="shared" si="60"/>
        <v>61.524831710214563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112.66486935566058</v>
      </c>
      <c r="BJ116" s="59">
        <f t="shared" si="92"/>
        <v>110.84860075828624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5.7316844887237899</v>
      </c>
      <c r="BQ116" s="21">
        <f>EXP(-LN(2)/25)*BQ115+(1-EXP(-LN(2)/25))/(LN(2)/25)*Calculateur!BL116*Calculateur!BN116*VLOOKUP('Données projet'!$B$11,Paramètres!$A$1:$I$89,3,0)*0.475*44/12</f>
        <v>28.210741479879566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33.942425968603359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5.6843418860808015E-13</v>
      </c>
      <c r="O117" s="13">
        <f>N117*VLOOKUP('Données projet'!$B$9,Paramètres!$A$1:$I$89,3,0)*VLOOKUP('Données projet'!$B$9,Paramètres!$A$1:$I$89,5,0)</f>
        <v>3.177547114319168E-13</v>
      </c>
      <c r="P117" s="13">
        <f t="shared" si="87"/>
        <v>4.1725404435445377E-12</v>
      </c>
      <c r="Q117" s="20">
        <f t="shared" si="107"/>
        <v>7.820597394917325E-12</v>
      </c>
      <c r="R117" s="59">
        <f t="shared" si="55"/>
        <v>293.33333333334116</v>
      </c>
      <c r="S117" s="59">
        <f ca="1">AVERAGE(OFFSET($R$3,0,0,'Données projet'!$E$9+1,1))-AVERAGE(OFFSET($H$3,0,0,'Données projet'!$E$9+1,1))</f>
        <v>314.07001555875894</v>
      </c>
      <c r="T117" s="59">
        <f t="shared" si="88"/>
        <v>281.53154885904991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96.538731396989334</v>
      </c>
      <c r="AA117" s="21">
        <f>EXP(-LN(2)/25)*AA116+(1-EXP(-LN(2)/25))/(LN(2)/25)*Calculateur!V117*Calculateur!X117*VLOOKUP('Données projet'!$B$9,Paramètres!$A$1:$I$89,3,0)*0.475*44/12</f>
        <v>22.662465356684397</v>
      </c>
      <c r="AB117" s="21">
        <f>EXP(-LN(2)/2)*AB116+(1-EXP(-LN(2)/2))/(LN(2)/2)*V117*Y117*VLOOKUP('Données projet'!$B$9,Paramètres!$A$1:$I$89,3,0)*0.475*44/12</f>
        <v>1.800191982336519E-5</v>
      </c>
      <c r="AC117" s="22">
        <f t="shared" si="57"/>
        <v>119.20121475559355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4.3516666666666692</v>
      </c>
      <c r="AI117" s="13">
        <f>IF('Données projet'!$A$62&gt;35,AI116+AH117-AQ116,IF(A117&lt;'Données projet'!$A$62,$AF$205^A117,IF(A117='Données projet'!$A$62,'Données projet'!$B$62,AI116+AH117-AQ116)))</f>
        <v>463.70000000000005</v>
      </c>
      <c r="AJ117" s="13">
        <f>AI117*VLOOKUP('Données projet'!$B$10,Paramètres!$A$1:$I$89,3,0)*VLOOKUP('Données projet'!$B$10,Paramètres!$A$1:$I$89,5,0)</f>
        <v>204.95540000000003</v>
      </c>
      <c r="AK117" s="13">
        <f t="shared" si="89"/>
        <v>50.831658524318037</v>
      </c>
      <c r="AL117" s="20">
        <f t="shared" si="58"/>
        <v>445.49579359652063</v>
      </c>
      <c r="AM117" s="59">
        <f t="shared" si="59"/>
        <v>738.82912692985394</v>
      </c>
      <c r="AN117" s="59">
        <f ca="1">AVERAGE(OFFSET($AM$3,0,0,'Données projet'!$E$10+1,1))-AVERAGE(OFFSET($H$3,0,0,'Données projet'!$E$10+1,1))</f>
        <v>218.3918302549892</v>
      </c>
      <c r="AO117" s="59">
        <f t="shared" si="90"/>
        <v>102.61932145411976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45.221854924593778</v>
      </c>
      <c r="AV117" s="21">
        <f>EXP(-LN(2)/25)*AV116+(1-EXP(-LN(2)/25))/(LN(2)/25)*Calculateur!AQ117*Calculateur!AS117*VLOOKUP('Données projet'!$B$10,Paramètres!$A$1:$I$89,3,0)*0.475*44/12</f>
        <v>13.834168928322107</v>
      </c>
      <c r="AW117" s="21">
        <f>EXP(-LN(2)/2)*AW116+(1-EXP(-LN(2)/2))/(LN(2)/2)*AQ117*AT117*VLOOKUP('Données projet'!$B$10,Paramètres!$A$1:$I$89,3,0)*0.475*44/12</f>
        <v>0.83110965831845829</v>
      </c>
      <c r="AX117" s="21">
        <f t="shared" si="60"/>
        <v>59.887133511234346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112.66486935566058</v>
      </c>
      <c r="BJ117" s="59">
        <f t="shared" si="92"/>
        <v>110.84860075828624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5.619289651882255</v>
      </c>
      <c r="BQ117" s="21">
        <f>EXP(-LN(2)/25)*BQ116+(1-EXP(-LN(2)/25))/(LN(2)/25)*Calculateur!BL117*Calculateur!BN117*VLOOKUP('Données projet'!$B$11,Paramètres!$A$1:$I$89,3,0)*0.475*44/12</f>
        <v>27.439317270573842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33.058606922456093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5.6843418860808015E-13</v>
      </c>
      <c r="O118" s="13">
        <f>N118*VLOOKUP('Données projet'!$B$9,Paramètres!$A$1:$I$89,3,0)*VLOOKUP('Données projet'!$B$9,Paramètres!$A$1:$I$89,5,0)</f>
        <v>3.177547114319168E-13</v>
      </c>
      <c r="P118" s="13">
        <f t="shared" si="87"/>
        <v>4.1725404435445377E-12</v>
      </c>
      <c r="Q118" s="20">
        <f t="shared" si="107"/>
        <v>7.820597394917325E-12</v>
      </c>
      <c r="R118" s="59">
        <f t="shared" si="55"/>
        <v>293.33333333334116</v>
      </c>
      <c r="S118" s="59">
        <f ca="1">AVERAGE(OFFSET($R$3,0,0,'Données projet'!$E$9+1,1))-AVERAGE(OFFSET($H$3,0,0,'Données projet'!$E$9+1,1))</f>
        <v>314.07001555875894</v>
      </c>
      <c r="T118" s="59">
        <f t="shared" si="88"/>
        <v>281.53154885904991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94.645665757106329</v>
      </c>
      <c r="AA118" s="21">
        <f>EXP(-LN(2)/25)*AA117+(1-EXP(-LN(2)/25))/(LN(2)/25)*Calculateur!V118*Calculateur!X118*VLOOKUP('Données projet'!$B$9,Paramètres!$A$1:$I$89,3,0)*0.475*44/12</f>
        <v>22.042759049738606</v>
      </c>
      <c r="AB118" s="21">
        <f>EXP(-LN(2)/2)*AB117+(1-EXP(-LN(2)/2))/(LN(2)/2)*V118*Y118*VLOOKUP('Données projet'!$B$9,Paramètres!$A$1:$I$89,3,0)*0.475*44/12</f>
        <v>1.2729279581478062E-5</v>
      </c>
      <c r="AC118" s="22">
        <f t="shared" si="57"/>
        <v>116.68843753612451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4.3516666666666692</v>
      </c>
      <c r="AI118" s="13">
        <f>IF('Données projet'!$A$62&gt;35,AI117+AH118-AQ117,IF(A118&lt;'Données projet'!$A$62,$AF$205^A118,IF(A118='Données projet'!$A$62,'Données projet'!$B$62,AI117+AH118-AQ117)))</f>
        <v>468.05166666666673</v>
      </c>
      <c r="AJ118" s="13">
        <f>AI118*VLOOKUP('Données projet'!$B$10,Paramètres!$A$1:$I$89,3,0)*VLOOKUP('Données projet'!$B$10,Paramètres!$A$1:$I$89,5,0)</f>
        <v>206.87883666666673</v>
      </c>
      <c r="AK118" s="13">
        <f t="shared" si="89"/>
        <v>51.252939712475083</v>
      </c>
      <c r="AL118" s="20">
        <f t="shared" si="58"/>
        <v>449.57951052700531</v>
      </c>
      <c r="AM118" s="59">
        <f t="shared" si="59"/>
        <v>742.91284386033863</v>
      </c>
      <c r="AN118" s="59">
        <f ca="1">AVERAGE(OFFSET($AM$3,0,0,'Données projet'!$E$10+1,1))-AVERAGE(OFFSET($H$3,0,0,'Données projet'!$E$10+1,1))</f>
        <v>218.3918302549892</v>
      </c>
      <c r="AO118" s="59">
        <f t="shared" si="90"/>
        <v>102.61932145411976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44.335081932130443</v>
      </c>
      <c r="AV118" s="21">
        <f>EXP(-LN(2)/25)*AV117+(1-EXP(-LN(2)/25))/(LN(2)/25)*Calculateur!AQ118*Calculateur!AS118*VLOOKUP('Données projet'!$B$10,Paramètres!$A$1:$I$89,3,0)*0.475*44/12</f>
        <v>13.455872851469813</v>
      </c>
      <c r="AW118" s="21">
        <f>EXP(-LN(2)/2)*AW117+(1-EXP(-LN(2)/2))/(LN(2)/2)*AQ118*AT118*VLOOKUP('Données projet'!$B$10,Paramètres!$A$1:$I$89,3,0)*0.475*44/12</f>
        <v>0.58768327530661635</v>
      </c>
      <c r="AX118" s="21">
        <f t="shared" si="60"/>
        <v>58.378638058906873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112.66486935566058</v>
      </c>
      <c r="BJ118" s="59">
        <f t="shared" si="92"/>
        <v>110.84860075828624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5.5090988092371012</v>
      </c>
      <c r="BQ118" s="21">
        <f>EXP(-LN(2)/25)*BQ117+(1-EXP(-LN(2)/25))/(LN(2)/25)*Calculateur!BL118*Calculateur!BN118*VLOOKUP('Données projet'!$B$11,Paramètres!$A$1:$I$89,3,0)*0.475*44/12</f>
        <v>26.688987696839018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32.198086506076116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5.6843418860808015E-13</v>
      </c>
      <c r="O119" s="13">
        <f>N119*VLOOKUP('Données projet'!$B$9,Paramètres!$A$1:$I$89,3,0)*VLOOKUP('Données projet'!$B$9,Paramètres!$A$1:$I$89,5,0)</f>
        <v>3.177547114319168E-13</v>
      </c>
      <c r="P119" s="13">
        <f t="shared" si="87"/>
        <v>4.1725404435445377E-12</v>
      </c>
      <c r="Q119" s="20">
        <f t="shared" si="107"/>
        <v>7.820597394917325E-12</v>
      </c>
      <c r="R119" s="59">
        <f t="shared" si="55"/>
        <v>293.33333333334116</v>
      </c>
      <c r="S119" s="59">
        <f ca="1">AVERAGE(OFFSET($R$3,0,0,'Données projet'!$E$9+1,1))-AVERAGE(OFFSET($H$3,0,0,'Données projet'!$E$9+1,1))</f>
        <v>314.07001555875894</v>
      </c>
      <c r="T119" s="59">
        <f t="shared" si="88"/>
        <v>281.53154885904991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92.789721979765403</v>
      </c>
      <c r="AA119" s="21">
        <f>EXP(-LN(2)/25)*AA118+(1-EXP(-LN(2)/25))/(LN(2)/25)*Calculateur!V119*Calculateur!X119*VLOOKUP('Données projet'!$B$9,Paramètres!$A$1:$I$89,3,0)*0.475*44/12</f>
        <v>21.439998644345184</v>
      </c>
      <c r="AB119" s="21">
        <f>EXP(-LN(2)/2)*AB118+(1-EXP(-LN(2)/2))/(LN(2)/2)*V119*Y119*VLOOKUP('Données projet'!$B$9,Paramètres!$A$1:$I$89,3,0)*0.475*44/12</f>
        <v>9.0009599116825949E-6</v>
      </c>
      <c r="AC119" s="22">
        <f t="shared" si="57"/>
        <v>114.22972962507049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4.3516666666666692</v>
      </c>
      <c r="AI119" s="13">
        <f>IF('Données projet'!$A$62&gt;35,AI118+AH119-AQ118,IF(A119&lt;'Données projet'!$A$62,$AF$205^A119,IF(A119='Données projet'!$A$62,'Données projet'!$B$62,AI118+AH119-AQ118)))</f>
        <v>472.40333333333342</v>
      </c>
      <c r="AJ119" s="13">
        <f>AI119*VLOOKUP('Données projet'!$B$10,Paramètres!$A$1:$I$89,3,0)*VLOOKUP('Données projet'!$B$10,Paramètres!$A$1:$I$89,5,0)</f>
        <v>208.8022733333334</v>
      </c>
      <c r="AK119" s="13">
        <f t="shared" si="89"/>
        <v>51.673765222161009</v>
      </c>
      <c r="AL119" s="20">
        <f t="shared" si="58"/>
        <v>453.66243381748609</v>
      </c>
      <c r="AM119" s="59">
        <f t="shared" si="59"/>
        <v>746.99576715081935</v>
      </c>
      <c r="AN119" s="59">
        <f ca="1">AVERAGE(OFFSET($AM$3,0,0,'Données projet'!$E$10+1,1))-AVERAGE(OFFSET($H$3,0,0,'Données projet'!$E$10+1,1))</f>
        <v>218.3918302549892</v>
      </c>
      <c r="AO119" s="59">
        <f t="shared" si="90"/>
        <v>102.61932145411976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43.465698017171192</v>
      </c>
      <c r="AV119" s="21">
        <f>EXP(-LN(2)/25)*AV118+(1-EXP(-LN(2)/25))/(LN(2)/25)*Calculateur!AQ119*Calculateur!AS119*VLOOKUP('Données projet'!$B$10,Paramètres!$A$1:$I$89,3,0)*0.475*44/12</f>
        <v>13.087921300732772</v>
      </c>
      <c r="AW119" s="21">
        <f>EXP(-LN(2)/2)*AW118+(1-EXP(-LN(2)/2))/(LN(2)/2)*AQ119*AT119*VLOOKUP('Données projet'!$B$10,Paramètres!$A$1:$I$89,3,0)*0.475*44/12</f>
        <v>0.41555482915922914</v>
      </c>
      <c r="AX119" s="21">
        <f t="shared" si="60"/>
        <v>56.969174147063192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112.66486935566058</v>
      </c>
      <c r="BJ119" s="59">
        <f t="shared" si="92"/>
        <v>110.84860075828624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5.4010687418064416</v>
      </c>
      <c r="BQ119" s="21">
        <f>EXP(-LN(2)/25)*BQ118+(1-EXP(-LN(2)/25))/(LN(2)/25)*Calculateur!BL119*Calculateur!BN119*VLOOKUP('Données projet'!$B$11,Paramètres!$A$1:$I$89,3,0)*0.475*44/12</f>
        <v>25.959175924756089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31.360244666562529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5.6843418860808015E-13</v>
      </c>
      <c r="O120" s="13">
        <f>N120*VLOOKUP('Données projet'!$B$9,Paramètres!$A$1:$I$89,3,0)*VLOOKUP('Données projet'!$B$9,Paramètres!$A$1:$I$89,5,0)</f>
        <v>3.177547114319168E-13</v>
      </c>
      <c r="P120" s="13">
        <f t="shared" si="87"/>
        <v>4.1725404435445377E-12</v>
      </c>
      <c r="Q120" s="20">
        <f t="shared" si="107"/>
        <v>7.820597394917325E-12</v>
      </c>
      <c r="R120" s="59">
        <f t="shared" si="55"/>
        <v>293.33333333334116</v>
      </c>
      <c r="S120" s="59">
        <f ca="1">AVERAGE(OFFSET($R$3,0,0,'Données projet'!$E$9+1,1))-AVERAGE(OFFSET($H$3,0,0,'Données projet'!$E$9+1,1))</f>
        <v>314.07001555875894</v>
      </c>
      <c r="T120" s="59">
        <f t="shared" si="88"/>
        <v>281.53154885904991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90.970172127884211</v>
      </c>
      <c r="AA120" s="21">
        <f>EXP(-LN(2)/25)*AA119+(1-EXP(-LN(2)/25))/(LN(2)/25)*Calculateur!V120*Calculateur!X120*VLOOKUP('Données projet'!$B$9,Paramètres!$A$1:$I$89,3,0)*0.475*44/12</f>
        <v>20.85372075393504</v>
      </c>
      <c r="AB120" s="21">
        <f>EXP(-LN(2)/2)*AB119+(1-EXP(-LN(2)/2))/(LN(2)/2)*V120*Y120*VLOOKUP('Données projet'!$B$9,Paramètres!$A$1:$I$89,3,0)*0.475*44/12</f>
        <v>6.3646397907390309E-6</v>
      </c>
      <c r="AC120" s="22">
        <f t="shared" si="57"/>
        <v>111.82389924645904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4.3516666666666692</v>
      </c>
      <c r="AI120" s="13">
        <f>IF('Données projet'!$A$62&gt;35,AI119+AH120-AQ119,IF(A120&lt;'Données projet'!$A$62,$AF$205^A120,IF(A120='Données projet'!$A$62,'Données projet'!$B$62,AI119+AH120-AQ119)))</f>
        <v>476.75500000000011</v>
      </c>
      <c r="AJ120" s="13">
        <f>AI120*VLOOKUP('Données projet'!$B$10,Paramètres!$A$1:$I$89,3,0)*VLOOKUP('Données projet'!$B$10,Paramètres!$A$1:$I$89,5,0)</f>
        <v>210.72571000000008</v>
      </c>
      <c r="AK120" s="13">
        <f t="shared" si="89"/>
        <v>52.094139737199399</v>
      </c>
      <c r="AL120" s="20">
        <f t="shared" si="58"/>
        <v>457.74457162562243</v>
      </c>
      <c r="AM120" s="59">
        <f t="shared" si="59"/>
        <v>751.07790495895574</v>
      </c>
      <c r="AN120" s="59">
        <f ca="1">AVERAGE(OFFSET($AM$3,0,0,'Données projet'!$E$10+1,1))-AVERAGE(OFFSET($H$3,0,0,'Données projet'!$E$10+1,1))</f>
        <v>218.3918302549892</v>
      </c>
      <c r="AO120" s="59">
        <f t="shared" si="90"/>
        <v>102.61932145411976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42.613362190512468</v>
      </c>
      <c r="AV120" s="21">
        <f>EXP(-LN(2)/25)*AV119+(1-EXP(-LN(2)/25))/(LN(2)/25)*Calculateur!AQ120*Calculateur!AS120*VLOOKUP('Données projet'!$B$10,Paramètres!$A$1:$I$89,3,0)*0.475*44/12</f>
        <v>12.730031404500366</v>
      </c>
      <c r="AW120" s="21">
        <f>EXP(-LN(2)/2)*AW119+(1-EXP(-LN(2)/2))/(LN(2)/2)*AQ120*AT120*VLOOKUP('Données projet'!$B$10,Paramètres!$A$1:$I$89,3,0)*0.475*44/12</f>
        <v>0.29384163765330817</v>
      </c>
      <c r="AX120" s="21">
        <f t="shared" si="60"/>
        <v>55.637235232666143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112.66486935566058</v>
      </c>
      <c r="BJ120" s="59">
        <f t="shared" si="92"/>
        <v>110.84860075828624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5.2951570781062625</v>
      </c>
      <c r="BQ120" s="21">
        <f>EXP(-LN(2)/25)*BQ119+(1-EXP(-LN(2)/25))/(LN(2)/25)*Calculateur!BL120*Calculateur!BN120*VLOOKUP('Données projet'!$B$11,Paramètres!$A$1:$I$89,3,0)*0.475*44/12</f>
        <v>25.249320893959901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30.544477972066161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5.6843418860808015E-13</v>
      </c>
      <c r="O121" s="13">
        <f>N121*VLOOKUP('Données projet'!$B$9,Paramètres!$A$1:$I$89,3,0)*VLOOKUP('Données projet'!$B$9,Paramètres!$A$1:$I$89,5,0)</f>
        <v>3.177547114319168E-13</v>
      </c>
      <c r="P121" s="13">
        <f t="shared" si="87"/>
        <v>4.1725404435445377E-12</v>
      </c>
      <c r="Q121" s="20">
        <f t="shared" si="107"/>
        <v>7.820597394917325E-12</v>
      </c>
      <c r="R121" s="59">
        <f t="shared" si="55"/>
        <v>293.33333333334116</v>
      </c>
      <c r="S121" s="59">
        <f ca="1">AVERAGE(OFFSET($R$3,0,0,'Données projet'!$E$9+1,1))-AVERAGE(OFFSET($H$3,0,0,'Données projet'!$E$9+1,1))</f>
        <v>314.07001555875894</v>
      </c>
      <c r="T121" s="59">
        <f t="shared" si="88"/>
        <v>281.53154885904991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89.186302538782584</v>
      </c>
      <c r="AA121" s="21">
        <f>EXP(-LN(2)/25)*AA120+(1-EXP(-LN(2)/25))/(LN(2)/25)*Calculateur!V121*Calculateur!X121*VLOOKUP('Données projet'!$B$9,Paramètres!$A$1:$I$89,3,0)*0.475*44/12</f>
        <v>20.283474663269175</v>
      </c>
      <c r="AB121" s="21">
        <f>EXP(-LN(2)/2)*AB120+(1-EXP(-LN(2)/2))/(LN(2)/2)*V121*Y121*VLOOKUP('Données projet'!$B$9,Paramètres!$A$1:$I$89,3,0)*0.475*44/12</f>
        <v>4.5004799558412974E-6</v>
      </c>
      <c r="AC121" s="22">
        <f t="shared" si="57"/>
        <v>109.46978170253172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4.3516666666666692</v>
      </c>
      <c r="AI121" s="13">
        <f>IF('Données projet'!$A$62&gt;35,AI120+AH121-AQ120,IF(A121&lt;'Données projet'!$A$62,$AF$205^A121,IF(A121='Données projet'!$A$62,'Données projet'!$B$62,AI120+AH121-AQ120)))</f>
        <v>481.1066666666668</v>
      </c>
      <c r="AJ121" s="13">
        <f>AI121*VLOOKUP('Données projet'!$B$10,Paramètres!$A$1:$I$89,3,0)*VLOOKUP('Données projet'!$B$10,Paramètres!$A$1:$I$89,5,0)</f>
        <v>212.64914666666675</v>
      </c>
      <c r="AK121" s="13">
        <f t="shared" si="89"/>
        <v>52.5140678509769</v>
      </c>
      <c r="AL121" s="20">
        <f t="shared" si="58"/>
        <v>461.82593195156272</v>
      </c>
      <c r="AM121" s="59">
        <f t="shared" si="59"/>
        <v>755.15926528489604</v>
      </c>
      <c r="AN121" s="59">
        <f ca="1">AVERAGE(OFFSET($AM$3,0,0,'Données projet'!$E$10+1,1))-AVERAGE(OFFSET($H$3,0,0,'Données projet'!$E$10+1,1))</f>
        <v>218.3918302549892</v>
      </c>
      <c r="AO121" s="59">
        <f t="shared" si="90"/>
        <v>102.61932145411976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41.777740149540996</v>
      </c>
      <c r="AV121" s="21">
        <f>EXP(-LN(2)/25)*AV120+(1-EXP(-LN(2)/25))/(LN(2)/25)*Calculateur!AQ121*Calculateur!AS121*VLOOKUP('Données projet'!$B$10,Paramètres!$A$1:$I$89,3,0)*0.475*44/12</f>
        <v>12.381928026301047</v>
      </c>
      <c r="AW121" s="21">
        <f>EXP(-LN(2)/2)*AW120+(1-EXP(-LN(2)/2))/(LN(2)/2)*AQ121*AT121*VLOOKUP('Données projet'!$B$10,Paramètres!$A$1:$I$89,3,0)*0.475*44/12</f>
        <v>0.20777741457961457</v>
      </c>
      <c r="AX121" s="21">
        <f t="shared" si="60"/>
        <v>54.36744559042166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112.66486935566058</v>
      </c>
      <c r="BJ121" s="59">
        <f t="shared" si="92"/>
        <v>110.84860075828624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5.1913222775315075</v>
      </c>
      <c r="BQ121" s="21">
        <f>EXP(-LN(2)/25)*BQ120+(1-EXP(-LN(2)/25))/(LN(2)/25)*Calculateur!BL121*Calculateur!BN121*VLOOKUP('Données projet'!$B$11,Paramètres!$A$1:$I$89,3,0)*0.475*44/12</f>
        <v>24.55887688631049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29.750199163841998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5.6843418860808015E-13</v>
      </c>
      <c r="O122" s="13">
        <f>N122*VLOOKUP('Données projet'!$B$9,Paramètres!$A$1:$I$89,3,0)*VLOOKUP('Données projet'!$B$9,Paramètres!$A$1:$I$89,5,0)</f>
        <v>3.177547114319168E-13</v>
      </c>
      <c r="P122" s="13">
        <f t="shared" si="87"/>
        <v>4.1725404435445377E-12</v>
      </c>
      <c r="Q122" s="20">
        <f t="shared" si="107"/>
        <v>7.820597394917325E-12</v>
      </c>
      <c r="R122" s="59">
        <f t="shared" si="55"/>
        <v>293.33333333334116</v>
      </c>
      <c r="S122" s="59">
        <f ca="1">AVERAGE(OFFSET($R$3,0,0,'Données projet'!$E$9+1,1))-AVERAGE(OFFSET($H$3,0,0,'Données projet'!$E$9+1,1))</f>
        <v>314.07001555875894</v>
      </c>
      <c r="T122" s="59">
        <f t="shared" si="88"/>
        <v>281.53154885904991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87.437413544270228</v>
      </c>
      <c r="AA122" s="21">
        <f>EXP(-LN(2)/25)*AA121+(1-EXP(-LN(2)/25))/(LN(2)/25)*Calculateur!V122*Calculateur!X122*VLOOKUP('Données projet'!$B$9,Paramètres!$A$1:$I$89,3,0)*0.475*44/12</f>
        <v>19.728821981940506</v>
      </c>
      <c r="AB122" s="21">
        <f>EXP(-LN(2)/2)*AB121+(1-EXP(-LN(2)/2))/(LN(2)/2)*V122*Y122*VLOOKUP('Données projet'!$B$9,Paramètres!$A$1:$I$89,3,0)*0.475*44/12</f>
        <v>3.1823198953695154E-6</v>
      </c>
      <c r="AC122" s="22">
        <f t="shared" si="57"/>
        <v>107.16623870853063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4.3516666666666692</v>
      </c>
      <c r="AI122" s="13">
        <f>IF('Données projet'!$A$62&gt;35,AI121+AH122-AQ121,IF(A122&lt;'Données projet'!$A$62,$AF$205^A122,IF(A122='Données projet'!$A$62,'Données projet'!$B$62,AI121+AH122-AQ121)))</f>
        <v>485.45833333333348</v>
      </c>
      <c r="AJ122" s="13">
        <f>AI122*VLOOKUP('Données projet'!$B$10,Paramètres!$A$1:$I$89,3,0)*VLOOKUP('Données projet'!$B$10,Paramètres!$A$1:$I$89,5,0)</f>
        <v>214.57258333333343</v>
      </c>
      <c r="AK122" s="13">
        <f t="shared" si="89"/>
        <v>52.933554068991171</v>
      </c>
      <c r="AL122" s="20">
        <f t="shared" si="58"/>
        <v>465.90652264238201</v>
      </c>
      <c r="AM122" s="59">
        <f t="shared" si="59"/>
        <v>759.23985597571527</v>
      </c>
      <c r="AN122" s="59">
        <f ca="1">AVERAGE(OFFSET($AM$3,0,0,'Données projet'!$E$10+1,1))-AVERAGE(OFFSET($H$3,0,0,'Données projet'!$E$10+1,1))</f>
        <v>218.3918302549892</v>
      </c>
      <c r="AO122" s="59">
        <f t="shared" si="90"/>
        <v>102.61932145411976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40.958504147113857</v>
      </c>
      <c r="AV122" s="21">
        <f>EXP(-LN(2)/25)*AV121+(1-EXP(-LN(2)/25))/(LN(2)/25)*Calculateur!AQ122*Calculateur!AS122*VLOOKUP('Données projet'!$B$10,Paramètres!$A$1:$I$89,3,0)*0.475*44/12</f>
        <v>12.043343553284549</v>
      </c>
      <c r="AW122" s="21">
        <f>EXP(-LN(2)/2)*AW121+(1-EXP(-LN(2)/2))/(LN(2)/2)*AQ122*AT122*VLOOKUP('Données projet'!$B$10,Paramètres!$A$1:$I$89,3,0)*0.475*44/12</f>
        <v>0.14692081882665409</v>
      </c>
      <c r="AX122" s="21">
        <f t="shared" si="60"/>
        <v>53.148768519225058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112.66486935566058</v>
      </c>
      <c r="BJ122" s="59">
        <f t="shared" si="92"/>
        <v>110.84860075828624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5.0895236140630482</v>
      </c>
      <c r="BQ122" s="21">
        <f>EXP(-LN(2)/25)*BQ121+(1-EXP(-LN(2)/25))/(LN(2)/25)*Calculateur!BL122*Calculateur!BN122*VLOOKUP('Données projet'!$B$11,Paramètres!$A$1:$I$89,3,0)*0.475*44/12</f>
        <v>23.887313106359123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28.97683672042217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5.6843418860808015E-13</v>
      </c>
      <c r="O123" s="13">
        <f>N123*VLOOKUP('Données projet'!$B$9,Paramètres!$A$1:$I$89,3,0)*VLOOKUP('Données projet'!$B$9,Paramètres!$A$1:$I$89,5,0)</f>
        <v>3.177547114319168E-13</v>
      </c>
      <c r="P123" s="13">
        <f t="shared" si="87"/>
        <v>4.1725404435445377E-12</v>
      </c>
      <c r="Q123" s="20">
        <f t="shared" si="107"/>
        <v>7.820597394917325E-12</v>
      </c>
      <c r="R123" s="59">
        <f t="shared" si="55"/>
        <v>293.33333333334116</v>
      </c>
      <c r="S123" s="59">
        <f ca="1">AVERAGE(OFFSET($R$3,0,0,'Données projet'!$E$9+1,1))-AVERAGE(OFFSET($H$3,0,0,'Données projet'!$E$9+1,1))</f>
        <v>314.07001555875894</v>
      </c>
      <c r="T123" s="59">
        <f t="shared" si="88"/>
        <v>281.53154885904991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85.722819196223298</v>
      </c>
      <c r="AA123" s="21">
        <f>EXP(-LN(2)/25)*AA122+(1-EXP(-LN(2)/25))/(LN(2)/25)*Calculateur!V123*Calculateur!X123*VLOOKUP('Données projet'!$B$9,Paramètres!$A$1:$I$89,3,0)*0.475*44/12</f>
        <v>19.189336307350686</v>
      </c>
      <c r="AB123" s="21">
        <f>EXP(-LN(2)/2)*AB122+(1-EXP(-LN(2)/2))/(LN(2)/2)*V123*Y123*VLOOKUP('Données projet'!$B$9,Paramètres!$A$1:$I$89,3,0)*0.475*44/12</f>
        <v>2.2502399779206487E-6</v>
      </c>
      <c r="AC123" s="22">
        <f t="shared" si="57"/>
        <v>104.91215775381396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489.81</v>
      </c>
      <c r="AG123" s="12">
        <f>VLOOKUP(A123,'Données projet'!$A$61:$I$81,9,0)</f>
        <v>4.3516666666666692</v>
      </c>
      <c r="AH123" s="12">
        <f t="array" ref="AH123">INDEX(AG:AG,MIN(IF(ISNUMBER(AG123:AG319),ROW(AG123:AG319),"")))</f>
        <v>4.3516666666666692</v>
      </c>
      <c r="AI123" s="13">
        <f>IF('Données projet'!$A$62&gt;35,AI122+AH123-AQ122,IF(A123&lt;'Données projet'!$A$62,$AF$205^A123,IF(A123='Données projet'!$A$62,'Données projet'!$B$62,AI122+AH123-AQ122)))</f>
        <v>489.81000000000017</v>
      </c>
      <c r="AJ123" s="13">
        <f>AI123*VLOOKUP('Données projet'!$B$10,Paramètres!$A$1:$I$89,3,0)*VLOOKUP('Données projet'!$B$10,Paramètres!$A$1:$I$89,5,0)</f>
        <v>216.4960200000001</v>
      </c>
      <c r="AK123" s="13">
        <f t="shared" si="89"/>
        <v>53.352602811305161</v>
      </c>
      <c r="AL123" s="20">
        <f t="shared" si="58"/>
        <v>469.98635139635672</v>
      </c>
      <c r="AM123" s="59">
        <f t="shared" si="59"/>
        <v>763.31968472969004</v>
      </c>
      <c r="AN123" s="59">
        <f ca="1">AVERAGE(OFFSET($AM$3,0,0,'Données projet'!$E$10+1,1))-AVERAGE(OFFSET($H$3,0,0,'Données projet'!$E$10+1,1))</f>
        <v>218.3918302549892</v>
      </c>
      <c r="AO123" s="59">
        <f t="shared" si="90"/>
        <v>102.61932145411976</v>
      </c>
      <c r="AP123" s="15">
        <f>IF(ISNA(VLOOKUP(A123,'Données projet'!$A$61:$I$81,3,0)),0,VLOOKUP(A123,'Données projet'!$A$61:$I$81,3,0))</f>
        <v>9</v>
      </c>
      <c r="AQ123" s="15">
        <f>IF(ISNA(VLOOKUP(A123,'Données projet'!$A$61:$I$81,4,0)),0,VLOOKUP(A123,'Données projet'!$A$61:$I$81,4,0))</f>
        <v>489.81</v>
      </c>
      <c r="AR123" s="16">
        <f>IF(ISNA(VLOOKUP(A123,'Données projet'!$A$61:$I$81,5,0)),0%,VLOOKUP(A123,'Données projet'!$A$61:$I$81,5,0)*VLOOKUP('Données projet'!$B$10,Paramètres!$A$1:$I$89,7,0))</f>
        <v>0.33</v>
      </c>
      <c r="AS123" s="16">
        <f>IF(ISNA(VLOOKUP(A123,'Données projet'!$A$61:$I$81,6,0)),0%,VLOOKUP(A123,'Données projet'!$A$61:$I$81,6,0)*VLOOKUP('Données projet'!$B$10,Paramètres!$A$1:$I$89,7,0))</f>
        <v>0.11000000000000001</v>
      </c>
      <c r="AT123" s="16">
        <f>IF(ISNA(VLOOKUP(A123,'Données projet'!$A$61:$I$81,7,0)),0%,VLOOKUP(A123,'Données projet'!$A$61:$I$81,7,0))</f>
        <v>0.2</v>
      </c>
      <c r="AU123" s="21">
        <f>EXP(-LN(2)/35)*AU122+(1-EXP(-LN(2)/35))/(LN(2)/35)*AQ123*AR123*VLOOKUP('Données projet'!$B$10,Paramètres!$A$1:$I$89,3,0)*0.475*44/12</f>
        <v>134.92998807213186</v>
      </c>
      <c r="AV123" s="21">
        <f>EXP(-LN(2)/25)*AV122+(1-EXP(-LN(2)/25))/(LN(2)/25)*Calculateur!AQ123*Calculateur!AS123*VLOOKUP('Données projet'!$B$10,Paramètres!$A$1:$I$89,3,0)*0.475*44/12</f>
        <v>43.181181450351112</v>
      </c>
      <c r="AW123" s="21">
        <f>EXP(-LN(2)/2)*AW122+(1-EXP(-LN(2)/2))/(LN(2)/2)*AQ123*AT123*VLOOKUP('Données projet'!$B$10,Paramètres!$A$1:$I$89,3,0)*0.475*44/12</f>
        <v>49.12864593327695</v>
      </c>
      <c r="AX123" s="21">
        <f t="shared" si="60"/>
        <v>227.23981545575992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112.66486935566058</v>
      </c>
      <c r="BJ123" s="59">
        <f t="shared" si="92"/>
        <v>110.84860075828624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4.9897211602941516</v>
      </c>
      <c r="BQ123" s="21">
        <f>EXP(-LN(2)/25)*BQ122+(1-EXP(-LN(2)/25))/(LN(2)/25)*Calculateur!BL123*Calculateur!BN123*VLOOKUP('Données projet'!$B$11,Paramètres!$A$1:$I$89,3,0)*0.475*44/12</f>
        <v>23.234113273286532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28.223834433580684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5.6843418860808015E-13</v>
      </c>
      <c r="O124" s="13">
        <f>N124*VLOOKUP('Données projet'!$B$9,Paramètres!$A$1:$I$89,3,0)*VLOOKUP('Données projet'!$B$9,Paramètres!$A$1:$I$89,5,0)</f>
        <v>3.177547114319168E-13</v>
      </c>
      <c r="P124" s="13">
        <f t="shared" si="87"/>
        <v>4.1725404435445377E-12</v>
      </c>
      <c r="Q124" s="20">
        <f t="shared" si="107"/>
        <v>7.820597394917325E-12</v>
      </c>
      <c r="R124" s="59">
        <f t="shared" si="55"/>
        <v>293.33333333334116</v>
      </c>
      <c r="S124" s="59">
        <f ca="1">AVERAGE(OFFSET($R$3,0,0,'Données projet'!$E$9+1,1))-AVERAGE(OFFSET($H$3,0,0,'Données projet'!$E$9+1,1))</f>
        <v>314.07001555875894</v>
      </c>
      <c r="T124" s="59">
        <f t="shared" si="88"/>
        <v>281.53154885904991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84.041846997542279</v>
      </c>
      <c r="AA124" s="21">
        <f>EXP(-LN(2)/25)*AA123+(1-EXP(-LN(2)/25))/(LN(2)/25)*Calculateur!V124*Calculateur!X124*VLOOKUP('Données projet'!$B$9,Paramètres!$A$1:$I$89,3,0)*0.475*44/12</f>
        <v>18.664602896902842</v>
      </c>
      <c r="AB124" s="21">
        <f>EXP(-LN(2)/2)*AB123+(1-EXP(-LN(2)/2))/(LN(2)/2)*V124*Y124*VLOOKUP('Données projet'!$B$9,Paramètres!$A$1:$I$89,3,0)*0.475*44/12</f>
        <v>1.5911599476847577E-6</v>
      </c>
      <c r="AC124" s="22">
        <f t="shared" si="57"/>
        <v>102.70645148560506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1.7053025658242404E-13</v>
      </c>
      <c r="AJ124" s="13">
        <f>AI124*VLOOKUP('Données projet'!$B$10,Paramètres!$A$1:$I$89,3,0)*VLOOKUP('Données projet'!$B$10,Paramètres!$A$1:$I$89,5,0)</f>
        <v>7.5374373409431432E-14</v>
      </c>
      <c r="AK124" s="13">
        <f t="shared" si="89"/>
        <v>1.1702184453493216E-12</v>
      </c>
      <c r="AL124" s="20">
        <f t="shared" si="58"/>
        <v>2.1694074926714947E-12</v>
      </c>
      <c r="AM124" s="59">
        <f t="shared" si="59"/>
        <v>293.33333333333547</v>
      </c>
      <c r="AN124" s="59">
        <f ca="1">AVERAGE(OFFSET($AM$3,0,0,'Données projet'!$E$10+1,1))-AVERAGE(OFFSET($H$3,0,0,'Données projet'!$E$10+1,1))</f>
        <v>218.3918302549892</v>
      </c>
      <c r="AO124" s="59">
        <f t="shared" si="90"/>
        <v>102.61932145411976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132.28409330520373</v>
      </c>
      <c r="AV124" s="21">
        <f>EXP(-LN(2)/25)*AV123+(1-EXP(-LN(2)/25))/(LN(2)/25)*Calculateur!AQ124*Calculateur!AS124*VLOOKUP('Données projet'!$B$10,Paramètres!$A$1:$I$89,3,0)*0.475*44/12</f>
        <v>42.000389772791621</v>
      </c>
      <c r="AW124" s="21">
        <f>EXP(-LN(2)/2)*AW123+(1-EXP(-LN(2)/2))/(LN(2)/2)*AQ124*AT124*VLOOKUP('Données projet'!$B$10,Paramètres!$A$1:$I$89,3,0)*0.475*44/12</f>
        <v>34.739198689933033</v>
      </c>
      <c r="AX124" s="21">
        <f t="shared" si="60"/>
        <v>209.02368176792837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112.66486935566058</v>
      </c>
      <c r="BJ124" s="59">
        <f t="shared" si="92"/>
        <v>110.84860075828624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4.8918757717701773</v>
      </c>
      <c r="BQ124" s="21">
        <f>EXP(-LN(2)/25)*BQ123+(1-EXP(-LN(2)/25))/(LN(2)/25)*Calculateur!BL124*Calculateur!BN124*VLOOKUP('Données projet'!$B$11,Paramètres!$A$1:$I$89,3,0)*0.475*44/12</f>
        <v>22.598775223999596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27.490650995769773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5.6843418860808015E-13</v>
      </c>
      <c r="O125" s="13">
        <f>N125*VLOOKUP('Données projet'!$B$9,Paramètres!$A$1:$I$89,3,0)*VLOOKUP('Données projet'!$B$9,Paramètres!$A$1:$I$89,5,0)</f>
        <v>3.177547114319168E-13</v>
      </c>
      <c r="P125" s="13">
        <f t="shared" si="87"/>
        <v>4.1725404435445377E-12</v>
      </c>
      <c r="Q125" s="20">
        <f t="shared" si="107"/>
        <v>7.820597394917325E-12</v>
      </c>
      <c r="R125" s="59">
        <f t="shared" si="55"/>
        <v>293.33333333334116</v>
      </c>
      <c r="S125" s="59">
        <f ca="1">AVERAGE(OFFSET($R$3,0,0,'Données projet'!$E$9+1,1))-AVERAGE(OFFSET($H$3,0,0,'Données projet'!$E$9+1,1))</f>
        <v>314.07001555875894</v>
      </c>
      <c r="T125" s="59">
        <f t="shared" si="88"/>
        <v>281.53154885904991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82.393837638385591</v>
      </c>
      <c r="AA125" s="21">
        <f>EXP(-LN(2)/25)*AA124+(1-EXP(-LN(2)/25))/(LN(2)/25)*Calculateur!V125*Calculateur!X125*VLOOKUP('Données projet'!$B$9,Paramètres!$A$1:$I$89,3,0)*0.475*44/12</f>
        <v>18.154218349158228</v>
      </c>
      <c r="AB125" s="21">
        <f>EXP(-LN(2)/2)*AB124+(1-EXP(-LN(2)/2))/(LN(2)/2)*V125*Y125*VLOOKUP('Données projet'!$B$9,Paramètres!$A$1:$I$89,3,0)*0.475*44/12</f>
        <v>1.1251199889603244E-6</v>
      </c>
      <c r="AC125" s="22">
        <f t="shared" si="57"/>
        <v>100.54805711266381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1.7053025658242404E-13</v>
      </c>
      <c r="AJ125" s="13">
        <f>AI125*VLOOKUP('Données projet'!$B$10,Paramètres!$A$1:$I$89,3,0)*VLOOKUP('Données projet'!$B$10,Paramètres!$A$1:$I$89,5,0)</f>
        <v>7.5374373409431432E-14</v>
      </c>
      <c r="AK125" s="13">
        <f t="shared" si="89"/>
        <v>1.1702184453493216E-12</v>
      </c>
      <c r="AL125" s="20">
        <f t="shared" si="58"/>
        <v>2.1694074926714947E-12</v>
      </c>
      <c r="AM125" s="59">
        <f t="shared" si="59"/>
        <v>293.33333333333547</v>
      </c>
      <c r="AN125" s="59">
        <f ca="1">AVERAGE(OFFSET($AM$3,0,0,'Données projet'!$E$10+1,1))-AVERAGE(OFFSET($H$3,0,0,'Données projet'!$E$10+1,1))</f>
        <v>218.3918302549892</v>
      </c>
      <c r="AO125" s="59">
        <f t="shared" si="90"/>
        <v>102.61932145411976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129.69008292081858</v>
      </c>
      <c r="AV125" s="21">
        <f>EXP(-LN(2)/25)*AV124+(1-EXP(-LN(2)/25))/(LN(2)/25)*Calculateur!AQ125*Calculateur!AS125*VLOOKUP('Données projet'!$B$10,Paramètres!$A$1:$I$89,3,0)*0.475*44/12</f>
        <v>40.851886905750128</v>
      </c>
      <c r="AW125" s="21">
        <f>EXP(-LN(2)/2)*AW124+(1-EXP(-LN(2)/2))/(LN(2)/2)*AQ125*AT125*VLOOKUP('Données projet'!$B$10,Paramètres!$A$1:$I$89,3,0)*0.475*44/12</f>
        <v>24.564322966638478</v>
      </c>
      <c r="AX125" s="21">
        <f t="shared" si="60"/>
        <v>195.10629279320719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112.66486935566058</v>
      </c>
      <c r="BJ125" s="59">
        <f t="shared" si="92"/>
        <v>110.84860075828624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4.7959490716353637</v>
      </c>
      <c r="BQ125" s="21">
        <f>EXP(-LN(2)/25)*BQ124+(1-EXP(-LN(2)/25))/(LN(2)/25)*Calculateur!BL125*Calculateur!BN125*VLOOKUP('Données projet'!$B$11,Paramètres!$A$1:$I$89,3,0)*0.475*44/12</f>
        <v>21.980810527081388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26.776759598716751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5.6843418860808015E-13</v>
      </c>
      <c r="O126" s="13">
        <f>N126*VLOOKUP('Données projet'!$B$9,Paramètres!$A$1:$I$89,3,0)*VLOOKUP('Données projet'!$B$9,Paramètres!$A$1:$I$89,5,0)</f>
        <v>3.177547114319168E-13</v>
      </c>
      <c r="P126" s="13">
        <f t="shared" si="87"/>
        <v>4.1725404435445377E-12</v>
      </c>
      <c r="Q126" s="20">
        <f t="shared" si="107"/>
        <v>7.820597394917325E-12</v>
      </c>
      <c r="R126" s="59">
        <f t="shared" si="55"/>
        <v>293.33333333334116</v>
      </c>
      <c r="S126" s="59">
        <f ca="1">AVERAGE(OFFSET($R$3,0,0,'Données projet'!$E$9+1,1))-AVERAGE(OFFSET($H$3,0,0,'Données projet'!$E$9+1,1))</f>
        <v>314.07001555875894</v>
      </c>
      <c r="T126" s="59">
        <f t="shared" si="88"/>
        <v>281.53154885904991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80.778144737575516</v>
      </c>
      <c r="AA126" s="21">
        <f>EXP(-LN(2)/25)*AA125+(1-EXP(-LN(2)/25))/(LN(2)/25)*Calculateur!V126*Calculateur!X126*VLOOKUP('Données projet'!$B$9,Paramètres!$A$1:$I$89,3,0)*0.475*44/12</f>
        <v>17.657790293711646</v>
      </c>
      <c r="AB126" s="21">
        <f>EXP(-LN(2)/2)*AB125+(1-EXP(-LN(2)/2))/(LN(2)/2)*V126*Y126*VLOOKUP('Données projet'!$B$9,Paramètres!$A$1:$I$89,3,0)*0.475*44/12</f>
        <v>7.9557997384237886E-7</v>
      </c>
      <c r="AC126" s="22">
        <f t="shared" si="57"/>
        <v>98.435935826867137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1.7053025658242404E-13</v>
      </c>
      <c r="AJ126" s="13">
        <f>AI126*VLOOKUP('Données projet'!$B$10,Paramètres!$A$1:$I$89,3,0)*VLOOKUP('Données projet'!$B$10,Paramètres!$A$1:$I$89,5,0)</f>
        <v>7.5374373409431432E-14</v>
      </c>
      <c r="AK126" s="13">
        <f t="shared" si="89"/>
        <v>1.1702184453493216E-12</v>
      </c>
      <c r="AL126" s="20">
        <f t="shared" si="58"/>
        <v>2.1694074926714947E-12</v>
      </c>
      <c r="AM126" s="59">
        <f t="shared" si="59"/>
        <v>293.33333333333547</v>
      </c>
      <c r="AN126" s="59">
        <f ca="1">AVERAGE(OFFSET($AM$3,0,0,'Données projet'!$E$10+1,1))-AVERAGE(OFFSET($H$3,0,0,'Données projet'!$E$10+1,1))</f>
        <v>218.3918302549892</v>
      </c>
      <c r="AO126" s="59">
        <f t="shared" si="90"/>
        <v>102.61932145411976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127.14693949788112</v>
      </c>
      <c r="AV126" s="21">
        <f>EXP(-LN(2)/25)*AV125+(1-EXP(-LN(2)/25))/(LN(2)/25)*Calculateur!AQ126*Calculateur!AS126*VLOOKUP('Données projet'!$B$10,Paramètres!$A$1:$I$89,3,0)*0.475*44/12</f>
        <v>39.734789910005027</v>
      </c>
      <c r="AW126" s="21">
        <f>EXP(-LN(2)/2)*AW125+(1-EXP(-LN(2)/2))/(LN(2)/2)*AQ126*AT126*VLOOKUP('Données projet'!$B$10,Paramètres!$A$1:$I$89,3,0)*0.475*44/12</f>
        <v>17.36959934496652</v>
      </c>
      <c r="AX126" s="21">
        <f t="shared" si="60"/>
        <v>184.25132875285269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112.66486935566058</v>
      </c>
      <c r="BJ126" s="59">
        <f t="shared" si="92"/>
        <v>110.84860075828624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4.7019034355806841</v>
      </c>
      <c r="BQ126" s="21">
        <f>EXP(-LN(2)/25)*BQ125+(1-EXP(-LN(2)/25))/(LN(2)/25)*Calculateur!BL126*Calculateur!BN126*VLOOKUP('Données projet'!$B$11,Paramètres!$A$1:$I$89,3,0)*0.475*44/12</f>
        <v>21.379744107297761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26.081647542878443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5.6843418860808015E-13</v>
      </c>
      <c r="O127" s="13">
        <f>N127*VLOOKUP('Données projet'!$B$9,Paramètres!$A$1:$I$89,3,0)*VLOOKUP('Données projet'!$B$9,Paramètres!$A$1:$I$89,5,0)</f>
        <v>3.177547114319168E-13</v>
      </c>
      <c r="P127" s="13">
        <f t="shared" si="87"/>
        <v>4.1725404435445377E-12</v>
      </c>
      <c r="Q127" s="20">
        <f t="shared" si="107"/>
        <v>7.820597394917325E-12</v>
      </c>
      <c r="R127" s="59">
        <f t="shared" si="55"/>
        <v>293.33333333334116</v>
      </c>
      <c r="S127" s="59">
        <f ca="1">AVERAGE(OFFSET($R$3,0,0,'Données projet'!$E$9+1,1))-AVERAGE(OFFSET($H$3,0,0,'Données projet'!$E$9+1,1))</f>
        <v>314.07001555875894</v>
      </c>
      <c r="T127" s="59">
        <f t="shared" si="88"/>
        <v>281.53154885904991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79.194134589074963</v>
      </c>
      <c r="AA127" s="21">
        <f>EXP(-LN(2)/25)*AA126+(1-EXP(-LN(2)/25))/(LN(2)/25)*Calculateur!V127*Calculateur!X127*VLOOKUP('Données projet'!$B$9,Paramètres!$A$1:$I$89,3,0)*0.475*44/12</f>
        <v>17.174937089547267</v>
      </c>
      <c r="AB127" s="21">
        <f>EXP(-LN(2)/2)*AB126+(1-EXP(-LN(2)/2))/(LN(2)/2)*V127*Y127*VLOOKUP('Données projet'!$B$9,Paramètres!$A$1:$I$89,3,0)*0.475*44/12</f>
        <v>5.6255999448016218E-7</v>
      </c>
      <c r="AC127" s="22">
        <f t="shared" si="57"/>
        <v>96.369072241182224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1.7053025658242404E-13</v>
      </c>
      <c r="AJ127" s="13">
        <f>AI127*VLOOKUP('Données projet'!$B$10,Paramètres!$A$1:$I$89,3,0)*VLOOKUP('Données projet'!$B$10,Paramètres!$A$1:$I$89,5,0)</f>
        <v>7.5374373409431432E-14</v>
      </c>
      <c r="AK127" s="13">
        <f t="shared" si="89"/>
        <v>1.1702184453493216E-12</v>
      </c>
      <c r="AL127" s="20">
        <f t="shared" si="58"/>
        <v>2.1694074926714947E-12</v>
      </c>
      <c r="AM127" s="59">
        <f t="shared" si="59"/>
        <v>293.33333333333547</v>
      </c>
      <c r="AN127" s="59">
        <f ca="1">AVERAGE(OFFSET($AM$3,0,0,'Données projet'!$E$10+1,1))-AVERAGE(OFFSET($H$3,0,0,'Données projet'!$E$10+1,1))</f>
        <v>218.3918302549892</v>
      </c>
      <c r="AO127" s="59">
        <f t="shared" si="90"/>
        <v>102.61932145411976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124.65366556630315</v>
      </c>
      <c r="AV127" s="21">
        <f>EXP(-LN(2)/25)*AV126+(1-EXP(-LN(2)/25))/(LN(2)/25)*Calculateur!AQ127*Calculateur!AS127*VLOOKUP('Données projet'!$B$10,Paramètres!$A$1:$I$89,3,0)*0.475*44/12</f>
        <v>38.648239990354156</v>
      </c>
      <c r="AW127" s="21">
        <f>EXP(-LN(2)/2)*AW126+(1-EXP(-LN(2)/2))/(LN(2)/2)*AQ127*AT127*VLOOKUP('Données projet'!$B$10,Paramètres!$A$1:$I$89,3,0)*0.475*44/12</f>
        <v>12.282161483319241</v>
      </c>
      <c r="AX127" s="21">
        <f t="shared" si="60"/>
        <v>175.58406703997653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112.66486935566058</v>
      </c>
      <c r="BJ127" s="59">
        <f t="shared" si="92"/>
        <v>110.84860075828624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4.6097019770868632</v>
      </c>
      <c r="BQ127" s="21">
        <f>EXP(-LN(2)/25)*BQ126+(1-EXP(-LN(2)/25))/(LN(2)/25)*Calculateur!BL127*Calculateur!BN127*VLOOKUP('Données projet'!$B$11,Paramètres!$A$1:$I$89,3,0)*0.475*44/12</f>
        <v>20.795113880371826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25.40481585745869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5.6843418860808015E-13</v>
      </c>
      <c r="O128" s="13">
        <f>N128*VLOOKUP('Données projet'!$B$9,Paramètres!$A$1:$I$89,3,0)*VLOOKUP('Données projet'!$B$9,Paramètres!$A$1:$I$89,5,0)</f>
        <v>3.177547114319168E-13</v>
      </c>
      <c r="P128" s="13">
        <f t="shared" si="87"/>
        <v>4.1725404435445377E-12</v>
      </c>
      <c r="Q128" s="20">
        <f t="shared" si="107"/>
        <v>7.820597394917325E-12</v>
      </c>
      <c r="R128" s="59">
        <f t="shared" si="55"/>
        <v>293.33333333334116</v>
      </c>
      <c r="S128" s="59">
        <f ca="1">AVERAGE(OFFSET($R$3,0,0,'Données projet'!$E$9+1,1))-AVERAGE(OFFSET($H$3,0,0,'Données projet'!$E$9+1,1))</f>
        <v>314.07001555875894</v>
      </c>
      <c r="T128" s="59">
        <f t="shared" si="88"/>
        <v>281.53154885904991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77.641185913435706</v>
      </c>
      <c r="AA128" s="21">
        <f>EXP(-LN(2)/25)*AA127+(1-EXP(-LN(2)/25))/(LN(2)/25)*Calculateur!V128*Calculateur!X128*VLOOKUP('Données projet'!$B$9,Paramètres!$A$1:$I$89,3,0)*0.475*44/12</f>
        <v>16.705287531642909</v>
      </c>
      <c r="AB128" s="21">
        <f>EXP(-LN(2)/2)*AB127+(1-EXP(-LN(2)/2))/(LN(2)/2)*V128*Y128*VLOOKUP('Données projet'!$B$9,Paramètres!$A$1:$I$89,3,0)*0.475*44/12</f>
        <v>3.9778998692118943E-7</v>
      </c>
      <c r="AC128" s="22">
        <f t="shared" si="57"/>
        <v>94.346473842868605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1.7053025658242404E-13</v>
      </c>
      <c r="AJ128" s="13">
        <f>AI128*VLOOKUP('Données projet'!$B$10,Paramètres!$A$1:$I$89,3,0)*VLOOKUP('Données projet'!$B$10,Paramètres!$A$1:$I$89,5,0)</f>
        <v>7.5374373409431432E-14</v>
      </c>
      <c r="AK128" s="13">
        <f t="shared" si="89"/>
        <v>1.1702184453493216E-12</v>
      </c>
      <c r="AL128" s="20">
        <f t="shared" si="58"/>
        <v>2.1694074926714947E-12</v>
      </c>
      <c r="AM128" s="59">
        <f t="shared" si="59"/>
        <v>293.33333333333547</v>
      </c>
      <c r="AN128" s="59">
        <f ca="1">AVERAGE(OFFSET($AM$3,0,0,'Données projet'!$E$10+1,1))-AVERAGE(OFFSET($H$3,0,0,'Données projet'!$E$10+1,1))</f>
        <v>218.3918302549892</v>
      </c>
      <c r="AO128" s="59">
        <f t="shared" si="90"/>
        <v>102.61932145411976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122.20928321577648</v>
      </c>
      <c r="AV128" s="21">
        <f>EXP(-LN(2)/25)*AV127+(1-EXP(-LN(2)/25))/(LN(2)/25)*Calculateur!AQ128*Calculateur!AS128*VLOOKUP('Données projet'!$B$10,Paramètres!$A$1:$I$89,3,0)*0.475*44/12</f>
        <v>37.59140183539531</v>
      </c>
      <c r="AW128" s="21">
        <f>EXP(-LN(2)/2)*AW127+(1-EXP(-LN(2)/2))/(LN(2)/2)*AQ128*AT128*VLOOKUP('Données projet'!$B$10,Paramètres!$A$1:$I$89,3,0)*0.475*44/12</f>
        <v>8.6847996724832619</v>
      </c>
      <c r="AX128" s="21">
        <f t="shared" si="60"/>
        <v>168.48548472365505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112.66486935566058</v>
      </c>
      <c r="BJ128" s="59">
        <f t="shared" si="92"/>
        <v>110.84860075828624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4.519308532956769</v>
      </c>
      <c r="BQ128" s="21">
        <f>EXP(-LN(2)/25)*BQ127+(1-EXP(-LN(2)/25))/(LN(2)/25)*Calculateur!BL128*Calculateur!BN128*VLOOKUP('Données projet'!$B$11,Paramètres!$A$1:$I$89,3,0)*0.475*44/12</f>
        <v>20.226470397745548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24.745778930702315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5.6843418860808015E-13</v>
      </c>
      <c r="O129" s="13">
        <f>N129*VLOOKUP('Données projet'!$B$9,Paramètres!$A$1:$I$89,3,0)*VLOOKUP('Données projet'!$B$9,Paramètres!$A$1:$I$89,5,0)</f>
        <v>3.177547114319168E-13</v>
      </c>
      <c r="P129" s="13">
        <f t="shared" si="87"/>
        <v>4.1725404435445377E-12</v>
      </c>
      <c r="Q129" s="20">
        <f t="shared" si="107"/>
        <v>7.820597394917325E-12</v>
      </c>
      <c r="R129" s="59">
        <f t="shared" si="55"/>
        <v>293.33333333334116</v>
      </c>
      <c r="S129" s="59">
        <f ca="1">AVERAGE(OFFSET($R$3,0,0,'Données projet'!$E$9+1,1))-AVERAGE(OFFSET($H$3,0,0,'Données projet'!$E$9+1,1))</f>
        <v>314.07001555875894</v>
      </c>
      <c r="T129" s="59">
        <f t="shared" si="88"/>
        <v>281.53154885904991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76.118689614120584</v>
      </c>
      <c r="AA129" s="21">
        <f>EXP(-LN(2)/25)*AA128+(1-EXP(-LN(2)/25))/(LN(2)/25)*Calculateur!V129*Calculateur!X129*VLOOKUP('Données projet'!$B$9,Paramètres!$A$1:$I$89,3,0)*0.475*44/12</f>
        <v>16.248480565597244</v>
      </c>
      <c r="AB129" s="21">
        <f>EXP(-LN(2)/2)*AB128+(1-EXP(-LN(2)/2))/(LN(2)/2)*V129*Y129*VLOOKUP('Données projet'!$B$9,Paramètres!$A$1:$I$89,3,0)*0.475*44/12</f>
        <v>2.8127999724008109E-7</v>
      </c>
      <c r="AC129" s="22">
        <f t="shared" si="57"/>
        <v>92.367170460997826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1.7053025658242404E-13</v>
      </c>
      <c r="AJ129" s="13">
        <f>AI129*VLOOKUP('Données projet'!$B$10,Paramètres!$A$1:$I$89,3,0)*VLOOKUP('Données projet'!$B$10,Paramètres!$A$1:$I$89,5,0)</f>
        <v>7.5374373409431432E-14</v>
      </c>
      <c r="AK129" s="13">
        <f t="shared" si="89"/>
        <v>1.1702184453493216E-12</v>
      </c>
      <c r="AL129" s="20">
        <f t="shared" si="58"/>
        <v>2.1694074926714947E-12</v>
      </c>
      <c r="AM129" s="59">
        <f t="shared" si="59"/>
        <v>293.33333333333547</v>
      </c>
      <c r="AN129" s="59">
        <f ca="1">AVERAGE(OFFSET($AM$3,0,0,'Données projet'!$E$10+1,1))-AVERAGE(OFFSET($H$3,0,0,'Données projet'!$E$10+1,1))</f>
        <v>218.3918302549892</v>
      </c>
      <c r="AO129" s="59">
        <f t="shared" si="90"/>
        <v>102.61932145411976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119.81283371221762</v>
      </c>
      <c r="AV129" s="21">
        <f>EXP(-LN(2)/25)*AV128+(1-EXP(-LN(2)/25))/(LN(2)/25)*Calculateur!AQ129*Calculateur!AS129*VLOOKUP('Données projet'!$B$10,Paramètres!$A$1:$I$89,3,0)*0.475*44/12</f>
        <v>36.563462975360515</v>
      </c>
      <c r="AW129" s="21">
        <f>EXP(-LN(2)/2)*AW128+(1-EXP(-LN(2)/2))/(LN(2)/2)*AQ129*AT129*VLOOKUP('Données projet'!$B$10,Paramètres!$A$1:$I$89,3,0)*0.475*44/12</f>
        <v>6.1410807416596223</v>
      </c>
      <c r="AX129" s="21">
        <f t="shared" si="60"/>
        <v>162.51737742923777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112.66486935566058</v>
      </c>
      <c r="BJ129" s="59">
        <f t="shared" si="92"/>
        <v>110.84860075828624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4.4306876491315093</v>
      </c>
      <c r="BQ129" s="21">
        <f>EXP(-LN(2)/25)*BQ128+(1-EXP(-LN(2)/25))/(LN(2)/25)*Calculateur!BL129*Calculateur!BN129*VLOOKUP('Données projet'!$B$11,Paramètres!$A$1:$I$89,3,0)*0.475*44/12</f>
        <v>19.673376501055344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24.104064150186854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5.6843418860808015E-13</v>
      </c>
      <c r="O130" s="13">
        <f>N130*VLOOKUP('Données projet'!$B$9,Paramètres!$A$1:$I$89,3,0)*VLOOKUP('Données projet'!$B$9,Paramètres!$A$1:$I$89,5,0)</f>
        <v>3.177547114319168E-13</v>
      </c>
      <c r="P130" s="13">
        <f t="shared" si="87"/>
        <v>4.1725404435445377E-12</v>
      </c>
      <c r="Q130" s="20">
        <f t="shared" si="107"/>
        <v>7.820597394917325E-12</v>
      </c>
      <c r="R130" s="59">
        <f t="shared" si="55"/>
        <v>293.33333333334116</v>
      </c>
      <c r="S130" s="59">
        <f ca="1">AVERAGE(OFFSET($R$3,0,0,'Données projet'!$E$9+1,1))-AVERAGE(OFFSET($H$3,0,0,'Données projet'!$E$9+1,1))</f>
        <v>314.07001555875894</v>
      </c>
      <c r="T130" s="59">
        <f t="shared" si="88"/>
        <v>281.53154885904991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74.626048538603982</v>
      </c>
      <c r="AA130" s="21">
        <f>EXP(-LN(2)/25)*AA129+(1-EXP(-LN(2)/25))/(LN(2)/25)*Calculateur!V130*Calculateur!X130*VLOOKUP('Données projet'!$B$9,Paramètres!$A$1:$I$89,3,0)*0.475*44/12</f>
        <v>15.804165010060531</v>
      </c>
      <c r="AB130" s="21">
        <f>EXP(-LN(2)/2)*AB129+(1-EXP(-LN(2)/2))/(LN(2)/2)*V130*Y130*VLOOKUP('Données projet'!$B$9,Paramètres!$A$1:$I$89,3,0)*0.475*44/12</f>
        <v>1.9889499346059472E-7</v>
      </c>
      <c r="AC130" s="22">
        <f t="shared" si="57"/>
        <v>90.430213747559506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1.7053025658242404E-13</v>
      </c>
      <c r="AJ130" s="13">
        <f>AI130*VLOOKUP('Données projet'!$B$10,Paramètres!$A$1:$I$89,3,0)*VLOOKUP('Données projet'!$B$10,Paramètres!$A$1:$I$89,5,0)</f>
        <v>7.5374373409431432E-14</v>
      </c>
      <c r="AK130" s="13">
        <f t="shared" si="89"/>
        <v>1.1702184453493216E-12</v>
      </c>
      <c r="AL130" s="20">
        <f t="shared" si="58"/>
        <v>2.1694074926714947E-12</v>
      </c>
      <c r="AM130" s="59">
        <f t="shared" si="59"/>
        <v>293.33333333333547</v>
      </c>
      <c r="AN130" s="59">
        <f ca="1">AVERAGE(OFFSET($AM$3,0,0,'Données projet'!$E$10+1,1))-AVERAGE(OFFSET($H$3,0,0,'Données projet'!$E$10+1,1))</f>
        <v>218.3918302549892</v>
      </c>
      <c r="AO130" s="59">
        <f t="shared" si="90"/>
        <v>102.61932145411976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117.46337712173369</v>
      </c>
      <c r="AV130" s="21">
        <f>EXP(-LN(2)/25)*AV129+(1-EXP(-LN(2)/25))/(LN(2)/25)*Calculateur!AQ130*Calculateur!AS130*VLOOKUP('Données projet'!$B$10,Paramètres!$A$1:$I$89,3,0)*0.475*44/12</f>
        <v>35.563633157510331</v>
      </c>
      <c r="AW130" s="21">
        <f>EXP(-LN(2)/2)*AW129+(1-EXP(-LN(2)/2))/(LN(2)/2)*AQ130*AT130*VLOOKUP('Données projet'!$B$10,Paramètres!$A$1:$I$89,3,0)*0.475*44/12</f>
        <v>4.3423998362416318</v>
      </c>
      <c r="AX130" s="21">
        <f t="shared" si="60"/>
        <v>157.36941011548566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112.66486935566058</v>
      </c>
      <c r="BJ130" s="59">
        <f t="shared" si="92"/>
        <v>110.84860075828624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4.3438045667846614</v>
      </c>
      <c r="BQ130" s="21">
        <f>EXP(-LN(2)/25)*BQ129+(1-EXP(-LN(2)/25))/(LN(2)/25)*Calculateur!BL130*Calculateur!BN130*VLOOKUP('Données projet'!$B$11,Paramètres!$A$1:$I$89,3,0)*0.475*44/12</f>
        <v>19.135406986056079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23.479211552840741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5.6843418860808015E-13</v>
      </c>
      <c r="O131" s="13">
        <f>N131*VLOOKUP('Données projet'!$B$9,Paramètres!$A$1:$I$89,3,0)*VLOOKUP('Données projet'!$B$9,Paramètres!$A$1:$I$89,5,0)</f>
        <v>3.177547114319168E-13</v>
      </c>
      <c r="P131" s="13">
        <f t="shared" si="87"/>
        <v>4.1725404435445377E-12</v>
      </c>
      <c r="Q131" s="20">
        <f t="shared" ref="Q131:Q153" si="108">(O131+P131)*0.475*44/12</f>
        <v>7.820597394917325E-12</v>
      </c>
      <c r="R131" s="59">
        <f t="shared" ref="R131:R194" si="109">Q131+(I131+J131)*44/12</f>
        <v>293.33333333334116</v>
      </c>
      <c r="S131" s="59">
        <f ca="1">AVERAGE(OFFSET($R$3,0,0,'Données projet'!$E$9+1,1))-AVERAGE(OFFSET($H$3,0,0,'Données projet'!$E$9+1,1))</f>
        <v>314.07001555875894</v>
      </c>
      <c r="T131" s="59">
        <f t="shared" si="88"/>
        <v>281.53154885904991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73.162677244157095</v>
      </c>
      <c r="AA131" s="21">
        <f>EXP(-LN(2)/25)*AA130+(1-EXP(-LN(2)/25))/(LN(2)/25)*Calculateur!V131*Calculateur!X131*VLOOKUP('Données projet'!$B$9,Paramètres!$A$1:$I$89,3,0)*0.475*44/12</f>
        <v>15.371999286755509</v>
      </c>
      <c r="AB131" s="21">
        <f>EXP(-LN(2)/2)*AB130+(1-EXP(-LN(2)/2))/(LN(2)/2)*V131*Y131*VLOOKUP('Données projet'!$B$9,Paramètres!$A$1:$I$89,3,0)*0.475*44/12</f>
        <v>1.4063999862004055E-7</v>
      </c>
      <c r="AC131" s="22">
        <f t="shared" si="57"/>
        <v>88.534676671552603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1.7053025658242404E-13</v>
      </c>
      <c r="AJ131" s="13">
        <f>AI131*VLOOKUP('Données projet'!$B$10,Paramètres!$A$1:$I$89,3,0)*VLOOKUP('Données projet'!$B$10,Paramètres!$A$1:$I$89,5,0)</f>
        <v>7.5374373409431432E-14</v>
      </c>
      <c r="AK131" s="13">
        <f t="shared" si="89"/>
        <v>1.1702184453493216E-12</v>
      </c>
      <c r="AL131" s="20">
        <f t="shared" si="58"/>
        <v>2.1694074926714947E-12</v>
      </c>
      <c r="AM131" s="59">
        <f t="shared" si="59"/>
        <v>293.33333333333547</v>
      </c>
      <c r="AN131" s="59">
        <f ca="1">AVERAGE(OFFSET($AM$3,0,0,'Données projet'!$E$10+1,1))-AVERAGE(OFFSET($H$3,0,0,'Données projet'!$E$10+1,1))</f>
        <v>218.3918302549892</v>
      </c>
      <c r="AO131" s="59">
        <f t="shared" si="90"/>
        <v>102.61932145411976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115.15999194196212</v>
      </c>
      <c r="AV131" s="21">
        <f>EXP(-LN(2)/25)*AV130+(1-EXP(-LN(2)/25))/(LN(2)/25)*Calculateur!AQ131*Calculateur!AS131*VLOOKUP('Données projet'!$B$10,Paramètres!$A$1:$I$89,3,0)*0.475*44/12</f>
        <v>34.591143738608025</v>
      </c>
      <c r="AW131" s="21">
        <f>EXP(-LN(2)/2)*AW130+(1-EXP(-LN(2)/2))/(LN(2)/2)*AQ131*AT131*VLOOKUP('Données projet'!$B$10,Paramètres!$A$1:$I$89,3,0)*0.475*44/12</f>
        <v>3.0705403708298116</v>
      </c>
      <c r="AX131" s="21">
        <f t="shared" si="60"/>
        <v>152.82167605139995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112.66486935566058</v>
      </c>
      <c r="BJ131" s="59">
        <f t="shared" si="92"/>
        <v>110.84860075828624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4.2586252086891871</v>
      </c>
      <c r="BQ131" s="21">
        <f>EXP(-LN(2)/25)*BQ130+(1-EXP(-LN(2)/25))/(LN(2)/25)*Calculateur!BL131*Calculateur!BN131*VLOOKUP('Données projet'!$B$11,Paramètres!$A$1:$I$89,3,0)*0.475*44/12</f>
        <v>18.612148275735056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22.870773484424241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5.6843418860808015E-13</v>
      </c>
      <c r="O132" s="13">
        <f>N132*VLOOKUP('Données projet'!$B$9,Paramètres!$A$1:$I$89,3,0)*VLOOKUP('Données projet'!$B$9,Paramètres!$A$1:$I$89,5,0)</f>
        <v>3.177547114319168E-13</v>
      </c>
      <c r="P132" s="13">
        <f t="shared" si="87"/>
        <v>4.1725404435445377E-12</v>
      </c>
      <c r="Q132" s="20">
        <f t="shared" si="108"/>
        <v>7.820597394917325E-12</v>
      </c>
      <c r="R132" s="59">
        <f t="shared" si="109"/>
        <v>293.33333333334116</v>
      </c>
      <c r="S132" s="59">
        <f ca="1">AVERAGE(OFFSET($R$3,0,0,'Données projet'!$E$9+1,1))-AVERAGE(OFFSET($H$3,0,0,'Données projet'!$E$9+1,1))</f>
        <v>314.07001555875894</v>
      </c>
      <c r="T132" s="59">
        <f t="shared" si="88"/>
        <v>281.53154885904991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71.728001768225951</v>
      </c>
      <c r="AA132" s="21">
        <f>EXP(-LN(2)/25)*AA131+(1-EXP(-LN(2)/25))/(LN(2)/25)*Calculateur!V132*Calculateur!X132*VLOOKUP('Données projet'!$B$9,Paramètres!$A$1:$I$89,3,0)*0.475*44/12</f>
        <v>14.951651157880869</v>
      </c>
      <c r="AB132" s="21">
        <f>EXP(-LN(2)/2)*AB131+(1-EXP(-LN(2)/2))/(LN(2)/2)*V132*Y132*VLOOKUP('Données projet'!$B$9,Paramètres!$A$1:$I$89,3,0)*0.475*44/12</f>
        <v>9.9447496730297358E-8</v>
      </c>
      <c r="AC132" s="22">
        <f t="shared" ref="AC132:AC153" si="111">SUM(Z132:AB132)</f>
        <v>86.679653025554316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1.7053025658242404E-13</v>
      </c>
      <c r="AJ132" s="13">
        <f>AI132*VLOOKUP('Données projet'!$B$10,Paramètres!$A$1:$I$89,3,0)*VLOOKUP('Données projet'!$B$10,Paramètres!$A$1:$I$89,5,0)</f>
        <v>7.5374373409431432E-14</v>
      </c>
      <c r="AK132" s="13">
        <f t="shared" si="89"/>
        <v>1.1702184453493216E-12</v>
      </c>
      <c r="AL132" s="20">
        <f t="shared" ref="AL132:AL153" si="112">(AJ132+AK132)*0.475*44/12</f>
        <v>2.1694074926714947E-12</v>
      </c>
      <c r="AM132" s="59">
        <f t="shared" ref="AM132:AM195" si="113">AL132+(AD132+AE132)*44/12</f>
        <v>293.33333333333547</v>
      </c>
      <c r="AN132" s="59">
        <f ca="1">AVERAGE(OFFSET($AM$3,0,0,'Données projet'!$E$10+1,1))-AVERAGE(OFFSET($H$3,0,0,'Données projet'!$E$10+1,1))</f>
        <v>218.3918302549892</v>
      </c>
      <c r="AO132" s="59">
        <f t="shared" si="90"/>
        <v>102.61932145411976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112.90177474063964</v>
      </c>
      <c r="AV132" s="21">
        <f>EXP(-LN(2)/25)*AV131+(1-EXP(-LN(2)/25))/(LN(2)/25)*Calculateur!AQ132*Calculateur!AS132*VLOOKUP('Données projet'!$B$10,Paramètres!$A$1:$I$89,3,0)*0.475*44/12</f>
        <v>33.645247094006599</v>
      </c>
      <c r="AW132" s="21">
        <f>EXP(-LN(2)/2)*AW131+(1-EXP(-LN(2)/2))/(LN(2)/2)*AQ132*AT132*VLOOKUP('Données projet'!$B$10,Paramètres!$A$1:$I$89,3,0)*0.475*44/12</f>
        <v>2.1711999181208164</v>
      </c>
      <c r="AX132" s="21">
        <f t="shared" ref="AX132:AX153" si="114">SUM(AU132:AW132)</f>
        <v>148.71822175276705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112.66486935566058</v>
      </c>
      <c r="BJ132" s="59">
        <f t="shared" si="92"/>
        <v>110.84860075828624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4.1751161658516871</v>
      </c>
      <c r="BQ132" s="21">
        <f>EXP(-LN(2)/25)*BQ131+(1-EXP(-LN(2)/25))/(LN(2)/25)*Calculateur!BL132*Calculateur!BN132*VLOOKUP('Données projet'!$B$11,Paramètres!$A$1:$I$89,3,0)*0.475*44/12</f>
        <v>18.10319810236474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22.278314268216427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5.6843418860808015E-13</v>
      </c>
      <c r="O133" s="13">
        <f>N133*VLOOKUP('Données projet'!$B$9,Paramètres!$A$1:$I$89,3,0)*VLOOKUP('Données projet'!$B$9,Paramètres!$A$1:$I$89,5,0)</f>
        <v>3.177547114319168E-13</v>
      </c>
      <c r="P133" s="13">
        <f t="shared" ref="P133:P196" si="141">EXP(-1.0587+0.8836*LN(O133)+0.284)</f>
        <v>4.1725404435445377E-12</v>
      </c>
      <c r="Q133" s="20">
        <f t="shared" si="108"/>
        <v>7.820597394917325E-12</v>
      </c>
      <c r="R133" s="59">
        <f t="shared" si="109"/>
        <v>293.33333333334116</v>
      </c>
      <c r="S133" s="59">
        <f ca="1">AVERAGE(OFFSET($R$3,0,0,'Données projet'!$E$9+1,1))-AVERAGE(OFFSET($H$3,0,0,'Données projet'!$E$9+1,1))</f>
        <v>314.07001555875894</v>
      </c>
      <c r="T133" s="59">
        <f t="shared" ref="T133:T196" si="142">$T$3</f>
        <v>281.53154885904991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70.32145940331219</v>
      </c>
      <c r="AA133" s="21">
        <f>EXP(-LN(2)/25)*AA132+(1-EXP(-LN(2)/25))/(LN(2)/25)*Calculateur!V133*Calculateur!X133*VLOOKUP('Données projet'!$B$9,Paramètres!$A$1:$I$89,3,0)*0.475*44/12</f>
        <v>14.542797470695454</v>
      </c>
      <c r="AB133" s="21">
        <f>EXP(-LN(2)/2)*AB132+(1-EXP(-LN(2)/2))/(LN(2)/2)*V133*Y133*VLOOKUP('Données projet'!$B$9,Paramètres!$A$1:$I$89,3,0)*0.475*44/12</f>
        <v>7.0319999310020273E-8</v>
      </c>
      <c r="AC133" s="22">
        <f t="shared" si="111"/>
        <v>84.86425694432765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1.7053025658242404E-13</v>
      </c>
      <c r="AJ133" s="13">
        <f>AI133*VLOOKUP('Données projet'!$B$10,Paramètres!$A$1:$I$89,3,0)*VLOOKUP('Données projet'!$B$10,Paramètres!$A$1:$I$89,5,0)</f>
        <v>7.5374373409431432E-14</v>
      </c>
      <c r="AK133" s="13">
        <f t="shared" ref="AK133:AK153" si="143">EXP(-1.0587+0.8836*LN(AJ133)+0.284)</f>
        <v>1.1702184453493216E-12</v>
      </c>
      <c r="AL133" s="20">
        <f t="shared" si="112"/>
        <v>2.1694074926714947E-12</v>
      </c>
      <c r="AM133" s="59">
        <f t="shared" si="113"/>
        <v>293.33333333333547</v>
      </c>
      <c r="AN133" s="59">
        <f ca="1">AVERAGE(OFFSET($AM$3,0,0,'Données projet'!$E$10+1,1))-AVERAGE(OFFSET($H$3,0,0,'Données projet'!$E$10+1,1))</f>
        <v>218.3918302549892</v>
      </c>
      <c r="AO133" s="59">
        <f t="shared" ref="AO133:AO196" si="144">$AO$3</f>
        <v>102.61932145411976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110.6878398012586</v>
      </c>
      <c r="AV133" s="21">
        <f>EXP(-LN(2)/25)*AV132+(1-EXP(-LN(2)/25))/(LN(2)/25)*Calculateur!AQ133*Calculateur!AS133*VLOOKUP('Données projet'!$B$10,Paramètres!$A$1:$I$89,3,0)*0.475*44/12</f>
        <v>32.725216042894338</v>
      </c>
      <c r="AW133" s="21">
        <f>EXP(-LN(2)/2)*AW132+(1-EXP(-LN(2)/2))/(LN(2)/2)*AQ133*AT133*VLOOKUP('Données projet'!$B$10,Paramètres!$A$1:$I$89,3,0)*0.475*44/12</f>
        <v>1.535270185414906</v>
      </c>
      <c r="AX133" s="21">
        <f t="shared" si="114"/>
        <v>144.94832602956785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112.66486935566058</v>
      </c>
      <c r="BJ133" s="59">
        <f t="shared" ref="BJ133:BJ196" si="146">$BJ$3</f>
        <v>110.84860075828624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4.0932446844087442</v>
      </c>
      <c r="BQ133" s="21">
        <f>EXP(-LN(2)/25)*BQ132+(1-EXP(-LN(2)/25))/(LN(2)/25)*Calculateur!BL133*Calculateur!BN133*VLOOKUP('Données projet'!$B$11,Paramètres!$A$1:$I$89,3,0)*0.475*44/12</f>
        <v>17.608165198249765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21.70140988265851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5.6843418860808015E-13</v>
      </c>
      <c r="O134" s="13">
        <f>N134*VLOOKUP('Données projet'!$B$9,Paramètres!$A$1:$I$89,3,0)*VLOOKUP('Données projet'!$B$9,Paramètres!$A$1:$I$89,5,0)</f>
        <v>3.177547114319168E-13</v>
      </c>
      <c r="P134" s="13">
        <f t="shared" si="141"/>
        <v>4.1725404435445377E-12</v>
      </c>
      <c r="Q134" s="20">
        <f t="shared" si="108"/>
        <v>7.820597394917325E-12</v>
      </c>
      <c r="R134" s="59">
        <f t="shared" si="109"/>
        <v>293.33333333334116</v>
      </c>
      <c r="S134" s="59">
        <f ca="1">AVERAGE(OFFSET($R$3,0,0,'Données projet'!$E$9+1,1))-AVERAGE(OFFSET($H$3,0,0,'Données projet'!$E$9+1,1))</f>
        <v>314.07001555875894</v>
      </c>
      <c r="T134" s="59">
        <f t="shared" si="142"/>
        <v>281.53154885904991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68.942498476268256</v>
      </c>
      <c r="AA134" s="21">
        <f>EXP(-LN(2)/25)*AA133+(1-EXP(-LN(2)/25))/(LN(2)/25)*Calculateur!V134*Calculateur!X134*VLOOKUP('Données projet'!$B$9,Paramètres!$A$1:$I$89,3,0)*0.475*44/12</f>
        <v>14.145123909086806</v>
      </c>
      <c r="AB134" s="21">
        <f>EXP(-LN(2)/2)*AB133+(1-EXP(-LN(2)/2))/(LN(2)/2)*V134*Y134*VLOOKUP('Données projet'!$B$9,Paramètres!$A$1:$I$89,3,0)*0.475*44/12</f>
        <v>4.9723748365148679E-8</v>
      </c>
      <c r="AC134" s="22">
        <f t="shared" si="111"/>
        <v>83.087622435078814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1.7053025658242404E-13</v>
      </c>
      <c r="AJ134" s="13">
        <f>AI134*VLOOKUP('Données projet'!$B$10,Paramètres!$A$1:$I$89,3,0)*VLOOKUP('Données projet'!$B$10,Paramètres!$A$1:$I$89,5,0)</f>
        <v>7.5374373409431432E-14</v>
      </c>
      <c r="AK134" s="13">
        <f t="shared" si="143"/>
        <v>1.1702184453493216E-12</v>
      </c>
      <c r="AL134" s="20">
        <f t="shared" si="112"/>
        <v>2.1694074926714947E-12</v>
      </c>
      <c r="AM134" s="59">
        <f t="shared" si="113"/>
        <v>293.33333333333547</v>
      </c>
      <c r="AN134" s="59">
        <f ca="1">AVERAGE(OFFSET($AM$3,0,0,'Données projet'!$E$10+1,1))-AVERAGE(OFFSET($H$3,0,0,'Données projet'!$E$10+1,1))</f>
        <v>218.3918302549892</v>
      </c>
      <c r="AO134" s="59">
        <f t="shared" si="144"/>
        <v>102.61932145411976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108.51731877567185</v>
      </c>
      <c r="AV134" s="21">
        <f>EXP(-LN(2)/25)*AV133+(1-EXP(-LN(2)/25))/(LN(2)/25)*Calculateur!AQ134*Calculateur!AS134*VLOOKUP('Données projet'!$B$10,Paramètres!$A$1:$I$89,3,0)*0.475*44/12</f>
        <v>31.830343289257076</v>
      </c>
      <c r="AW134" s="21">
        <f>EXP(-LN(2)/2)*AW133+(1-EXP(-LN(2)/2))/(LN(2)/2)*AQ134*AT134*VLOOKUP('Données projet'!$B$10,Paramètres!$A$1:$I$89,3,0)*0.475*44/12</f>
        <v>1.0855999590604082</v>
      </c>
      <c r="AX134" s="21">
        <f t="shared" si="114"/>
        <v>141.43326202398933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112.66486935566058</v>
      </c>
      <c r="BJ134" s="59">
        <f t="shared" si="146"/>
        <v>110.84860075828624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4.012978652780224</v>
      </c>
      <c r="BQ134" s="21">
        <f>EXP(-LN(2)/25)*BQ133+(1-EXP(-LN(2)/25))/(LN(2)/25)*Calculateur!BL134*Calculateur!BN134*VLOOKUP('Données projet'!$B$11,Paramètres!$A$1:$I$89,3,0)*0.475*44/12</f>
        <v>17.126668994930462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21.139647647710685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3.177547114319168E-13</v>
      </c>
      <c r="P135" s="13">
        <f t="shared" si="141"/>
        <v>4.1725404435445377E-12</v>
      </c>
      <c r="Q135" s="20">
        <f t="shared" si="108"/>
        <v>7.820597394917325E-12</v>
      </c>
      <c r="R135" s="59">
        <f t="shared" si="109"/>
        <v>293.33333333334116</v>
      </c>
      <c r="S135" s="59">
        <f ca="1">AVERAGE(OFFSET($R$3,0,0,'Données projet'!$E$9+1,1))-AVERAGE(OFFSET($H$3,0,0,'Données projet'!$E$9+1,1))</f>
        <v>314.07001555875894</v>
      </c>
      <c r="T135" s="59">
        <f t="shared" si="142"/>
        <v>281.53154885904991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67.590578131920537</v>
      </c>
      <c r="AA135" s="21">
        <f>EXP(-LN(2)/25)*AA134+(1-EXP(-LN(2)/25))/(LN(2)/25)*Calculateur!V135*Calculateur!X135*VLOOKUP('Données projet'!$B$9,Paramètres!$A$1:$I$89,3,0)*0.475*44/12</f>
        <v>13.75832475193309</v>
      </c>
      <c r="AB135" s="21">
        <f>EXP(-LN(2)/2)*AB134+(1-EXP(-LN(2)/2))/(LN(2)/2)*V135*Y135*VLOOKUP('Données projet'!$B$9,Paramètres!$A$1:$I$89,3,0)*0.475*44/12</f>
        <v>3.5159999655010136E-8</v>
      </c>
      <c r="AC135" s="22">
        <f t="shared" si="111"/>
        <v>81.348902919013625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1.7053025658242404E-13</v>
      </c>
      <c r="AJ135" s="13">
        <f>AI135*VLOOKUP('Données projet'!$B$10,Paramètres!$A$1:$I$89,3,0)*VLOOKUP('Données projet'!$B$10,Paramètres!$A$1:$I$89,5,0)</f>
        <v>7.5374373409431432E-14</v>
      </c>
      <c r="AK135" s="13">
        <f t="shared" si="143"/>
        <v>1.1702184453493216E-12</v>
      </c>
      <c r="AL135" s="20">
        <f t="shared" si="112"/>
        <v>2.1694074926714947E-12</v>
      </c>
      <c r="AM135" s="59">
        <f t="shared" si="113"/>
        <v>293.33333333333547</v>
      </c>
      <c r="AN135" s="59">
        <f ca="1">AVERAGE(OFFSET($AM$3,0,0,'Données projet'!$E$10+1,1))-AVERAGE(OFFSET($H$3,0,0,'Données projet'!$E$10+1,1))</f>
        <v>218.3918302549892</v>
      </c>
      <c r="AO135" s="59">
        <f t="shared" si="144"/>
        <v>102.61932145411976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106.38936034350976</v>
      </c>
      <c r="AV135" s="21">
        <f>EXP(-LN(2)/25)*AV134+(1-EXP(-LN(2)/25))/(LN(2)/25)*Calculateur!AQ135*Calculateur!AS135*VLOOKUP('Données projet'!$B$10,Paramètres!$A$1:$I$89,3,0)*0.475*44/12</f>
        <v>30.959940878127338</v>
      </c>
      <c r="AW135" s="21">
        <f>EXP(-LN(2)/2)*AW134+(1-EXP(-LN(2)/2))/(LN(2)/2)*AQ135*AT135*VLOOKUP('Données projet'!$B$10,Paramètres!$A$1:$I$89,3,0)*0.475*44/12</f>
        <v>0.767635092707453</v>
      </c>
      <c r="AX135" s="21">
        <f t="shared" si="114"/>
        <v>138.11693631434454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112.66486935566058</v>
      </c>
      <c r="BJ135" s="59">
        <f t="shared" si="146"/>
        <v>110.84860075828624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3.9342865890744942</v>
      </c>
      <c r="BQ135" s="21">
        <f>EXP(-LN(2)/25)*BQ134+(1-EXP(-LN(2)/25))/(LN(2)/25)*Calculateur!BL135*Calculateur!BN135*VLOOKUP('Données projet'!$B$11,Paramètres!$A$1:$I$89,3,0)*0.475*44/12</f>
        <v>16.65833933061171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20.592625919686206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3.177547114319168E-13</v>
      </c>
      <c r="P136" s="13">
        <f t="shared" si="141"/>
        <v>4.1725404435445377E-12</v>
      </c>
      <c r="Q136" s="20">
        <f t="shared" si="108"/>
        <v>7.820597394917325E-12</v>
      </c>
      <c r="R136" s="59">
        <f t="shared" si="109"/>
        <v>293.33333333334116</v>
      </c>
      <c r="S136" s="59">
        <f ca="1">AVERAGE(OFFSET($R$3,0,0,'Données projet'!$E$9+1,1))-AVERAGE(OFFSET($H$3,0,0,'Données projet'!$E$9+1,1))</f>
        <v>314.07001555875894</v>
      </c>
      <c r="T136" s="59">
        <f t="shared" si="142"/>
        <v>281.53154885904991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66.265168120935485</v>
      </c>
      <c r="AA136" s="21">
        <f>EXP(-LN(2)/25)*AA135+(1-EXP(-LN(2)/25))/(LN(2)/25)*Calculateur!V136*Calculateur!X136*VLOOKUP('Données projet'!$B$9,Paramètres!$A$1:$I$89,3,0)*0.475*44/12</f>
        <v>13.382102638072626</v>
      </c>
      <c r="AB136" s="21">
        <f>EXP(-LN(2)/2)*AB135+(1-EXP(-LN(2)/2))/(LN(2)/2)*V136*Y136*VLOOKUP('Données projet'!$B$9,Paramètres!$A$1:$I$89,3,0)*0.475*44/12</f>
        <v>2.4861874182574339E-8</v>
      </c>
      <c r="AC136" s="22">
        <f t="shared" si="111"/>
        <v>79.647270783869985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1.7053025658242404E-13</v>
      </c>
      <c r="AJ136" s="13">
        <f>AI136*VLOOKUP('Données projet'!$B$10,Paramètres!$A$1:$I$89,3,0)*VLOOKUP('Données projet'!$B$10,Paramètres!$A$1:$I$89,5,0)</f>
        <v>7.5374373409431432E-14</v>
      </c>
      <c r="AK136" s="13">
        <f t="shared" si="143"/>
        <v>1.1702184453493216E-12</v>
      </c>
      <c r="AL136" s="20">
        <f t="shared" si="112"/>
        <v>2.1694074926714947E-12</v>
      </c>
      <c r="AM136" s="59">
        <f t="shared" si="113"/>
        <v>293.33333333333547</v>
      </c>
      <c r="AN136" s="59">
        <f ca="1">AVERAGE(OFFSET($AM$3,0,0,'Données projet'!$E$10+1,1))-AVERAGE(OFFSET($H$3,0,0,'Données projet'!$E$10+1,1))</f>
        <v>218.3918302549892</v>
      </c>
      <c r="AO136" s="59">
        <f t="shared" si="144"/>
        <v>102.61932145411976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104.30312987827588</v>
      </c>
      <c r="AV136" s="21">
        <f>EXP(-LN(2)/25)*AV135+(1-EXP(-LN(2)/25))/(LN(2)/25)*Calculateur!AQ136*Calculateur!AS136*VLOOKUP('Données projet'!$B$10,Paramètres!$A$1:$I$89,3,0)*0.475*44/12</f>
        <v>30.113339666702416</v>
      </c>
      <c r="AW136" s="21">
        <f>EXP(-LN(2)/2)*AW135+(1-EXP(-LN(2)/2))/(LN(2)/2)*AQ136*AT136*VLOOKUP('Données projet'!$B$10,Paramètres!$A$1:$I$89,3,0)*0.475*44/12</f>
        <v>0.54279997953020409</v>
      </c>
      <c r="AX136" s="21">
        <f t="shared" si="114"/>
        <v>134.9592695245085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112.66486935566058</v>
      </c>
      <c r="BJ136" s="59">
        <f t="shared" si="146"/>
        <v>110.84860075828624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3.8571376287406141</v>
      </c>
      <c r="BQ136" s="21">
        <f>EXP(-LN(2)/25)*BQ135+(1-EXP(-LN(2)/25))/(LN(2)/25)*Calculateur!BL136*Calculateur!BN136*VLOOKUP('Données projet'!$B$11,Paramètres!$A$1:$I$89,3,0)*0.475*44/12</f>
        <v>16.202816165592139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20.059953794332753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3.177547114319168E-13</v>
      </c>
      <c r="P137" s="13">
        <f t="shared" si="141"/>
        <v>4.1725404435445377E-12</v>
      </c>
      <c r="Q137" s="20">
        <f t="shared" si="108"/>
        <v>7.820597394917325E-12</v>
      </c>
      <c r="R137" s="59">
        <f t="shared" si="109"/>
        <v>293.33333333334116</v>
      </c>
      <c r="S137" s="59">
        <f ca="1">AVERAGE(OFFSET($R$3,0,0,'Données projet'!$E$9+1,1))-AVERAGE(OFFSET($H$3,0,0,'Données projet'!$E$9+1,1))</f>
        <v>314.07001555875894</v>
      </c>
      <c r="T137" s="59">
        <f t="shared" si="142"/>
        <v>281.53154885904991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64.965748591845568</v>
      </c>
      <c r="AA137" s="21">
        <f>EXP(-LN(2)/25)*AA136+(1-EXP(-LN(2)/25))/(LN(2)/25)*Calculateur!V137*Calculateur!X137*VLOOKUP('Données projet'!$B$9,Paramètres!$A$1:$I$89,3,0)*0.475*44/12</f>
        <v>13.016168337700337</v>
      </c>
      <c r="AB137" s="21">
        <f>EXP(-LN(2)/2)*AB136+(1-EXP(-LN(2)/2))/(LN(2)/2)*V137*Y137*VLOOKUP('Données projet'!$B$9,Paramètres!$A$1:$I$89,3,0)*0.475*44/12</f>
        <v>1.7579999827505068E-8</v>
      </c>
      <c r="AC137" s="22">
        <f t="shared" si="111"/>
        <v>77.98191694712591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1.7053025658242404E-13</v>
      </c>
      <c r="AJ137" s="13">
        <f>AI137*VLOOKUP('Données projet'!$B$10,Paramètres!$A$1:$I$89,3,0)*VLOOKUP('Données projet'!$B$10,Paramètres!$A$1:$I$89,5,0)</f>
        <v>7.5374373409431432E-14</v>
      </c>
      <c r="AK137" s="13">
        <f t="shared" si="143"/>
        <v>1.1702184453493216E-12</v>
      </c>
      <c r="AL137" s="20">
        <f t="shared" si="112"/>
        <v>2.1694074926714947E-12</v>
      </c>
      <c r="AM137" s="59">
        <f t="shared" si="113"/>
        <v>293.33333333333547</v>
      </c>
      <c r="AN137" s="59">
        <f ca="1">AVERAGE(OFFSET($AM$3,0,0,'Données projet'!$E$10+1,1))-AVERAGE(OFFSET($H$3,0,0,'Données projet'!$E$10+1,1))</f>
        <v>218.3918302549892</v>
      </c>
      <c r="AO137" s="59">
        <f t="shared" si="144"/>
        <v>102.61932145411976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102.2578091199903</v>
      </c>
      <c r="AV137" s="21">
        <f>EXP(-LN(2)/25)*AV136+(1-EXP(-LN(2)/25))/(LN(2)/25)*Calculateur!AQ137*Calculateur!AS137*VLOOKUP('Données projet'!$B$10,Paramètres!$A$1:$I$89,3,0)*0.475*44/12</f>
        <v>29.289888809924729</v>
      </c>
      <c r="AW137" s="21">
        <f>EXP(-LN(2)/2)*AW136+(1-EXP(-LN(2)/2))/(LN(2)/2)*AQ137*AT137*VLOOKUP('Données projet'!$B$10,Paramètres!$A$1:$I$89,3,0)*0.475*44/12</f>
        <v>0.3838175463537265</v>
      </c>
      <c r="AX137" s="21">
        <f t="shared" si="114"/>
        <v>131.93151547626874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112.66486935566058</v>
      </c>
      <c r="BJ137" s="59">
        <f t="shared" si="146"/>
        <v>110.84860075828624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3.7815015124626621</v>
      </c>
      <c r="BQ137" s="21">
        <f>EXP(-LN(2)/25)*BQ136+(1-EXP(-LN(2)/25))/(LN(2)/25)*Calculateur!BL137*Calculateur!BN137*VLOOKUP('Données projet'!$B$11,Paramètres!$A$1:$I$89,3,0)*0.475*44/12</f>
        <v>15.759749305474953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19.541250817937616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3.177547114319168E-13</v>
      </c>
      <c r="P138" s="13">
        <f t="shared" si="141"/>
        <v>4.1725404435445377E-12</v>
      </c>
      <c r="Q138" s="20">
        <f t="shared" si="108"/>
        <v>7.820597394917325E-12</v>
      </c>
      <c r="R138" s="59">
        <f t="shared" si="109"/>
        <v>293.33333333334116</v>
      </c>
      <c r="S138" s="59">
        <f ca="1">AVERAGE(OFFSET($R$3,0,0,'Données projet'!$E$9+1,1))-AVERAGE(OFFSET($H$3,0,0,'Données projet'!$E$9+1,1))</f>
        <v>314.07001555875894</v>
      </c>
      <c r="T138" s="59">
        <f t="shared" si="142"/>
        <v>281.53154885904991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63.691809887153454</v>
      </c>
      <c r="AA138" s="21">
        <f>EXP(-LN(2)/25)*AA137+(1-EXP(-LN(2)/25))/(LN(2)/25)*Calculateur!V138*Calculateur!X138*VLOOKUP('Données projet'!$B$9,Paramètres!$A$1:$I$89,3,0)*0.475*44/12</f>
        <v>12.660240530015377</v>
      </c>
      <c r="AB138" s="21">
        <f>EXP(-LN(2)/2)*AB137+(1-EXP(-LN(2)/2))/(LN(2)/2)*V138*Y138*VLOOKUP('Données projet'!$B$9,Paramètres!$A$1:$I$89,3,0)*0.475*44/12</f>
        <v>1.243093709128717E-8</v>
      </c>
      <c r="AC138" s="22">
        <f t="shared" si="111"/>
        <v>76.352050429599757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1.7053025658242404E-13</v>
      </c>
      <c r="AJ138" s="13">
        <f>AI138*VLOOKUP('Données projet'!$B$10,Paramètres!$A$1:$I$89,3,0)*VLOOKUP('Données projet'!$B$10,Paramètres!$A$1:$I$89,5,0)</f>
        <v>7.5374373409431432E-14</v>
      </c>
      <c r="AK138" s="13">
        <f t="shared" si="143"/>
        <v>1.1702184453493216E-12</v>
      </c>
      <c r="AL138" s="20">
        <f t="shared" si="112"/>
        <v>2.1694074926714947E-12</v>
      </c>
      <c r="AM138" s="59">
        <f t="shared" si="113"/>
        <v>293.33333333333547</v>
      </c>
      <c r="AN138" s="59">
        <f ca="1">AVERAGE(OFFSET($AM$3,0,0,'Données projet'!$E$10+1,1))-AVERAGE(OFFSET($H$3,0,0,'Données projet'!$E$10+1,1))</f>
        <v>218.3918302549892</v>
      </c>
      <c r="AO138" s="59">
        <f t="shared" si="144"/>
        <v>102.61932145411976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100.25259585425222</v>
      </c>
      <c r="AV138" s="21">
        <f>EXP(-LN(2)/25)*AV137+(1-EXP(-LN(2)/25))/(LN(2)/25)*Calculateur!AQ138*Calculateur!AS138*VLOOKUP('Données projet'!$B$10,Paramètres!$A$1:$I$89,3,0)*0.475*44/12</f>
        <v>28.488955260129028</v>
      </c>
      <c r="AW138" s="21">
        <f>EXP(-LN(2)/2)*AW137+(1-EXP(-LN(2)/2))/(LN(2)/2)*AQ138*AT138*VLOOKUP('Données projet'!$B$10,Paramètres!$A$1:$I$89,3,0)*0.475*44/12</f>
        <v>0.27139998976510205</v>
      </c>
      <c r="AX138" s="21">
        <f t="shared" si="114"/>
        <v>129.01295110414637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112.66486935566058</v>
      </c>
      <c r="BJ138" s="59">
        <f t="shared" si="146"/>
        <v>110.84860075828624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3.7073485742914452</v>
      </c>
      <c r="BQ138" s="21">
        <f>EXP(-LN(2)/25)*BQ137+(1-EXP(-LN(2)/25))/(LN(2)/25)*Calculateur!BL138*Calculateur!BN138*VLOOKUP('Données projet'!$B$11,Paramètres!$A$1:$I$89,3,0)*0.475*44/12</f>
        <v>15.328798131947543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19.036146706238988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3.177547114319168E-13</v>
      </c>
      <c r="P139" s="13">
        <f t="shared" si="141"/>
        <v>4.1725404435445377E-12</v>
      </c>
      <c r="Q139" s="20">
        <f t="shared" si="108"/>
        <v>7.820597394917325E-12</v>
      </c>
      <c r="R139" s="59">
        <f t="shared" si="109"/>
        <v>293.33333333334116</v>
      </c>
      <c r="S139" s="59">
        <f ca="1">AVERAGE(OFFSET($R$3,0,0,'Données projet'!$E$9+1,1))-AVERAGE(OFFSET($H$3,0,0,'Données projet'!$E$9+1,1))</f>
        <v>314.07001555875894</v>
      </c>
      <c r="T139" s="59">
        <f t="shared" si="142"/>
        <v>281.53154885904991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62.442852343434467</v>
      </c>
      <c r="AA139" s="21">
        <f>EXP(-LN(2)/25)*AA138+(1-EXP(-LN(2)/25))/(LN(2)/25)*Calculateur!V139*Calculateur!X139*VLOOKUP('Données projet'!$B$9,Paramètres!$A$1:$I$89,3,0)*0.475*44/12</f>
        <v>12.314045586948993</v>
      </c>
      <c r="AB139" s="21">
        <f>EXP(-LN(2)/2)*AB138+(1-EXP(-LN(2)/2))/(LN(2)/2)*V139*Y139*VLOOKUP('Données projet'!$B$9,Paramètres!$A$1:$I$89,3,0)*0.475*44/12</f>
        <v>8.7899999137525341E-9</v>
      </c>
      <c r="AC139" s="22">
        <f t="shared" si="111"/>
        <v>74.756897939173456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1.7053025658242404E-13</v>
      </c>
      <c r="AJ139" s="13">
        <f>AI139*VLOOKUP('Données projet'!$B$10,Paramètres!$A$1:$I$89,3,0)*VLOOKUP('Données projet'!$B$10,Paramètres!$A$1:$I$89,5,0)</f>
        <v>7.5374373409431432E-14</v>
      </c>
      <c r="AK139" s="13">
        <f t="shared" si="143"/>
        <v>1.1702184453493216E-12</v>
      </c>
      <c r="AL139" s="20">
        <f t="shared" si="112"/>
        <v>2.1694074926714947E-12</v>
      </c>
      <c r="AM139" s="59">
        <f t="shared" si="113"/>
        <v>293.33333333333547</v>
      </c>
      <c r="AN139" s="59">
        <f ca="1">AVERAGE(OFFSET($AM$3,0,0,'Données projet'!$E$10+1,1))-AVERAGE(OFFSET($H$3,0,0,'Données projet'!$E$10+1,1))</f>
        <v>218.3918302549892</v>
      </c>
      <c r="AO139" s="59">
        <f t="shared" si="144"/>
        <v>102.61932145411976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98.286703597595931</v>
      </c>
      <c r="AV139" s="21">
        <f>EXP(-LN(2)/25)*AV138+(1-EXP(-LN(2)/25))/(LN(2)/25)*Calculateur!AQ139*Calculateur!AS139*VLOOKUP('Données projet'!$B$10,Paramètres!$A$1:$I$89,3,0)*0.475*44/12</f>
        <v>27.709923280371754</v>
      </c>
      <c r="AW139" s="21">
        <f>EXP(-LN(2)/2)*AW138+(1-EXP(-LN(2)/2))/(LN(2)/2)*AQ139*AT139*VLOOKUP('Données projet'!$B$10,Paramètres!$A$1:$I$89,3,0)*0.475*44/12</f>
        <v>0.19190877317686325</v>
      </c>
      <c r="AX139" s="21">
        <f t="shared" si="114"/>
        <v>126.18853565114455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112.66486935566058</v>
      </c>
      <c r="BJ139" s="59">
        <f t="shared" si="146"/>
        <v>110.84860075828624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3.6346497300089395</v>
      </c>
      <c r="BQ139" s="21">
        <f>EXP(-LN(2)/25)*BQ138+(1-EXP(-LN(2)/25))/(LN(2)/25)*Calculateur!BL139*Calculateur!BN139*VLOOKUP('Données projet'!$B$11,Paramètres!$A$1:$I$89,3,0)*0.475*44/12</f>
        <v>14.909631340922978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18.544281070931916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3.177547114319168E-13</v>
      </c>
      <c r="P140" s="13">
        <f t="shared" si="141"/>
        <v>4.1725404435445377E-12</v>
      </c>
      <c r="Q140" s="20">
        <f t="shared" si="108"/>
        <v>7.820597394917325E-12</v>
      </c>
      <c r="R140" s="59">
        <f t="shared" si="109"/>
        <v>293.33333333334116</v>
      </c>
      <c r="S140" s="59">
        <f ca="1">AVERAGE(OFFSET($R$3,0,0,'Données projet'!$E$9+1,1))-AVERAGE(OFFSET($H$3,0,0,'Données projet'!$E$9+1,1))</f>
        <v>314.07001555875894</v>
      </c>
      <c r="T140" s="59">
        <f t="shared" si="142"/>
        <v>281.53154885904991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61.21838609535893</v>
      </c>
      <c r="AA140" s="21">
        <f>EXP(-LN(2)/25)*AA139+(1-EXP(-LN(2)/25))/(LN(2)/25)*Calculateur!V140*Calculateur!X140*VLOOKUP('Données projet'!$B$9,Paramètres!$A$1:$I$89,3,0)*0.475*44/12</f>
        <v>11.977317362806359</v>
      </c>
      <c r="AB140" s="21">
        <f>EXP(-LN(2)/2)*AB139+(1-EXP(-LN(2)/2))/(LN(2)/2)*V140*Y140*VLOOKUP('Données projet'!$B$9,Paramètres!$A$1:$I$89,3,0)*0.475*44/12</f>
        <v>6.2154685456435849E-9</v>
      </c>
      <c r="AC140" s="22">
        <f t="shared" si="111"/>
        <v>73.195703464380756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1.7053025658242404E-13</v>
      </c>
      <c r="AJ140" s="13">
        <f>AI140*VLOOKUP('Données projet'!$B$10,Paramètres!$A$1:$I$89,3,0)*VLOOKUP('Données projet'!$B$10,Paramètres!$A$1:$I$89,5,0)</f>
        <v>7.5374373409431432E-14</v>
      </c>
      <c r="AK140" s="13">
        <f t="shared" si="143"/>
        <v>1.1702184453493216E-12</v>
      </c>
      <c r="AL140" s="20">
        <f t="shared" si="112"/>
        <v>2.1694074926714947E-12</v>
      </c>
      <c r="AM140" s="59">
        <f t="shared" si="113"/>
        <v>293.33333333333547</v>
      </c>
      <c r="AN140" s="59">
        <f ca="1">AVERAGE(OFFSET($AM$3,0,0,'Données projet'!$E$10+1,1))-AVERAGE(OFFSET($H$3,0,0,'Données projet'!$E$10+1,1))</f>
        <v>218.3918302549892</v>
      </c>
      <c r="AO140" s="59">
        <f t="shared" si="144"/>
        <v>102.61932145411976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96.359361289016803</v>
      </c>
      <c r="AV140" s="21">
        <f>EXP(-LN(2)/25)*AV139+(1-EXP(-LN(2)/25))/(LN(2)/25)*Calculateur!AQ140*Calculateur!AS140*VLOOKUP('Données projet'!$B$10,Paramètres!$A$1:$I$89,3,0)*0.475*44/12</f>
        <v>26.952193971068453</v>
      </c>
      <c r="AW140" s="21">
        <f>EXP(-LN(2)/2)*AW139+(1-EXP(-LN(2)/2))/(LN(2)/2)*AQ140*AT140*VLOOKUP('Données projet'!$B$10,Paramètres!$A$1:$I$89,3,0)*0.475*44/12</f>
        <v>0.13569999488255102</v>
      </c>
      <c r="AX140" s="21">
        <f t="shared" si="114"/>
        <v>123.44725525496781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112.66486935566058</v>
      </c>
      <c r="BJ140" s="59">
        <f t="shared" si="146"/>
        <v>110.84860075828624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3.5633764657208973</v>
      </c>
      <c r="BQ140" s="21">
        <f>EXP(-LN(2)/25)*BQ139+(1-EXP(-LN(2)/25))/(LN(2)/25)*Calculateur!BL140*Calculateur!BN140*VLOOKUP('Données projet'!$B$11,Paramètres!$A$1:$I$89,3,0)*0.475*44/12</f>
        <v>14.501926687842003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18.065303153562901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3.177547114319168E-13</v>
      </c>
      <c r="P141" s="13">
        <f t="shared" si="141"/>
        <v>4.1725404435445377E-12</v>
      </c>
      <c r="Q141" s="20">
        <f t="shared" si="108"/>
        <v>7.820597394917325E-12</v>
      </c>
      <c r="R141" s="59">
        <f t="shared" si="109"/>
        <v>293.33333333334116</v>
      </c>
      <c r="S141" s="59">
        <f ca="1">AVERAGE(OFFSET($R$3,0,0,'Données projet'!$E$9+1,1))-AVERAGE(OFFSET($H$3,0,0,'Données projet'!$E$9+1,1))</f>
        <v>314.07001555875894</v>
      </c>
      <c r="T141" s="59">
        <f t="shared" si="142"/>
        <v>281.53154885904991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60.01793088355749</v>
      </c>
      <c r="AA141" s="21">
        <f>EXP(-LN(2)/25)*AA140+(1-EXP(-LN(2)/25))/(LN(2)/25)*Calculateur!V141*Calculateur!X141*VLOOKUP('Données projet'!$B$9,Paramètres!$A$1:$I$89,3,0)*0.475*44/12</f>
        <v>11.649796989660674</v>
      </c>
      <c r="AB141" s="21">
        <f>EXP(-LN(2)/2)*AB140+(1-EXP(-LN(2)/2))/(LN(2)/2)*V141*Y141*VLOOKUP('Données projet'!$B$9,Paramètres!$A$1:$I$89,3,0)*0.475*44/12</f>
        <v>4.394999956876267E-9</v>
      </c>
      <c r="AC141" s="22">
        <f t="shared" si="111"/>
        <v>71.667727877613174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1.7053025658242404E-13</v>
      </c>
      <c r="AJ141" s="13">
        <f>AI141*VLOOKUP('Données projet'!$B$10,Paramètres!$A$1:$I$89,3,0)*VLOOKUP('Données projet'!$B$10,Paramètres!$A$1:$I$89,5,0)</f>
        <v>7.5374373409431432E-14</v>
      </c>
      <c r="AK141" s="13">
        <f t="shared" si="143"/>
        <v>1.1702184453493216E-12</v>
      </c>
      <c r="AL141" s="20">
        <f t="shared" si="112"/>
        <v>2.1694074926714947E-12</v>
      </c>
      <c r="AM141" s="59">
        <f t="shared" si="113"/>
        <v>293.33333333333547</v>
      </c>
      <c r="AN141" s="59">
        <f ca="1">AVERAGE(OFFSET($AM$3,0,0,'Données projet'!$E$10+1,1))-AVERAGE(OFFSET($H$3,0,0,'Données projet'!$E$10+1,1))</f>
        <v>218.3918302549892</v>
      </c>
      <c r="AO141" s="59">
        <f t="shared" si="144"/>
        <v>102.61932145411976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94.469812987546177</v>
      </c>
      <c r="AV141" s="21">
        <f>EXP(-LN(2)/25)*AV140+(1-EXP(-LN(2)/25))/(LN(2)/25)*Calculateur!AQ141*Calculateur!AS141*VLOOKUP('Données projet'!$B$10,Paramètres!$A$1:$I$89,3,0)*0.475*44/12</f>
        <v>26.215184809575305</v>
      </c>
      <c r="AW141" s="21">
        <f>EXP(-LN(2)/2)*AW140+(1-EXP(-LN(2)/2))/(LN(2)/2)*AQ141*AT141*VLOOKUP('Données projet'!$B$10,Paramètres!$A$1:$I$89,3,0)*0.475*44/12</f>
        <v>9.5954386588431625E-2</v>
      </c>
      <c r="AX141" s="21">
        <f t="shared" si="114"/>
        <v>120.78095218370991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112.66486935566058</v>
      </c>
      <c r="BJ141" s="59">
        <f t="shared" si="146"/>
        <v>110.84860075828624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3.4935008266731447</v>
      </c>
      <c r="BQ141" s="21">
        <f>EXP(-LN(2)/25)*BQ140+(1-EXP(-LN(2)/25))/(LN(2)/25)*Calculateur!BL141*Calculateur!BN141*VLOOKUP('Données projet'!$B$11,Paramètres!$A$1:$I$89,3,0)*0.475*44/12</f>
        <v>14.105370739939783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17.598871566612928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3.177547114319168E-13</v>
      </c>
      <c r="P142" s="13">
        <f t="shared" si="141"/>
        <v>4.1725404435445377E-12</v>
      </c>
      <c r="Q142" s="20">
        <f t="shared" si="108"/>
        <v>7.820597394917325E-12</v>
      </c>
      <c r="R142" s="59">
        <f t="shared" si="109"/>
        <v>293.33333333334116</v>
      </c>
      <c r="S142" s="59">
        <f ca="1">AVERAGE(OFFSET($R$3,0,0,'Données projet'!$E$9+1,1))-AVERAGE(OFFSET($H$3,0,0,'Données projet'!$E$9+1,1))</f>
        <v>314.07001555875894</v>
      </c>
      <c r="T142" s="59">
        <f t="shared" si="142"/>
        <v>281.53154885904991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58.841015866254097</v>
      </c>
      <c r="AA142" s="21">
        <f>EXP(-LN(2)/25)*AA141+(1-EXP(-LN(2)/25))/(LN(2)/25)*Calculateur!V142*Calculateur!X142*VLOOKUP('Données projet'!$B$9,Paramètres!$A$1:$I$89,3,0)*0.475*44/12</f>
        <v>11.331232678342205</v>
      </c>
      <c r="AB142" s="21">
        <f>EXP(-LN(2)/2)*AB141+(1-EXP(-LN(2)/2))/(LN(2)/2)*V142*Y142*VLOOKUP('Données projet'!$B$9,Paramètres!$A$1:$I$89,3,0)*0.475*44/12</f>
        <v>3.1077342728217924E-9</v>
      </c>
      <c r="AC142" s="22">
        <f t="shared" si="111"/>
        <v>70.172248547704029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1.7053025658242404E-13</v>
      </c>
      <c r="AJ142" s="13">
        <f>AI142*VLOOKUP('Données projet'!$B$10,Paramètres!$A$1:$I$89,3,0)*VLOOKUP('Données projet'!$B$10,Paramètres!$A$1:$I$89,5,0)</f>
        <v>7.5374373409431432E-14</v>
      </c>
      <c r="AK142" s="13">
        <f t="shared" si="143"/>
        <v>1.1702184453493216E-12</v>
      </c>
      <c r="AL142" s="20">
        <f t="shared" si="112"/>
        <v>2.1694074926714947E-12</v>
      </c>
      <c r="AM142" s="59">
        <f t="shared" si="113"/>
        <v>293.33333333333547</v>
      </c>
      <c r="AN142" s="59">
        <f ca="1">AVERAGE(OFFSET($AM$3,0,0,'Données projet'!$E$10+1,1))-AVERAGE(OFFSET($H$3,0,0,'Données projet'!$E$10+1,1))</f>
        <v>218.3918302549892</v>
      </c>
      <c r="AO142" s="59">
        <f t="shared" si="144"/>
        <v>102.61932145411976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92.617317575756729</v>
      </c>
      <c r="AV142" s="21">
        <f>EXP(-LN(2)/25)*AV141+(1-EXP(-LN(2)/25))/(LN(2)/25)*Calculateur!AQ142*Calculateur!AS142*VLOOKUP('Données projet'!$B$10,Paramètres!$A$1:$I$89,3,0)*0.475*44/12</f>
        <v>25.498329202360814</v>
      </c>
      <c r="AW142" s="21">
        <f>EXP(-LN(2)/2)*AW141+(1-EXP(-LN(2)/2))/(LN(2)/2)*AQ142*AT142*VLOOKUP('Données projet'!$B$10,Paramètres!$A$1:$I$89,3,0)*0.475*44/12</f>
        <v>6.7849997441275511E-2</v>
      </c>
      <c r="AX142" s="21">
        <f t="shared" si="114"/>
        <v>118.18349677555881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112.66486935566058</v>
      </c>
      <c r="BJ142" s="59">
        <f t="shared" si="146"/>
        <v>110.84860075828624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3.424995406287187</v>
      </c>
      <c r="BQ142" s="21">
        <f>EXP(-LN(2)/25)*BQ141+(1-EXP(-LN(2)/25))/(LN(2)/25)*Calculateur!BL142*Calculateur!BN142*VLOOKUP('Données projet'!$B$11,Paramètres!$A$1:$I$89,3,0)*0.475*44/12</f>
        <v>13.719658635286921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17.144654041574107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3.177547114319168E-13</v>
      </c>
      <c r="P143" s="13">
        <f t="shared" si="141"/>
        <v>4.1725404435445377E-12</v>
      </c>
      <c r="Q143" s="20">
        <f t="shared" si="108"/>
        <v>7.820597394917325E-12</v>
      </c>
      <c r="R143" s="59">
        <f t="shared" si="109"/>
        <v>293.33333333334116</v>
      </c>
      <c r="S143" s="59">
        <f ca="1">AVERAGE(OFFSET($R$3,0,0,'Données projet'!$E$9+1,1))-AVERAGE(OFFSET($H$3,0,0,'Données projet'!$E$9+1,1))</f>
        <v>314.07001555875894</v>
      </c>
      <c r="T143" s="59">
        <f t="shared" si="142"/>
        <v>281.53154885904991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57.687179434592743</v>
      </c>
      <c r="AA143" s="21">
        <f>EXP(-LN(2)/25)*AA142+(1-EXP(-LN(2)/25))/(LN(2)/25)*Calculateur!V143*Calculateur!X143*VLOOKUP('Données projet'!$B$9,Paramètres!$A$1:$I$89,3,0)*0.475*44/12</f>
        <v>11.021379524869308</v>
      </c>
      <c r="AB143" s="21">
        <f>EXP(-LN(2)/2)*AB142+(1-EXP(-LN(2)/2))/(LN(2)/2)*V143*Y143*VLOOKUP('Données projet'!$B$9,Paramètres!$A$1:$I$89,3,0)*0.475*44/12</f>
        <v>2.1974999784381335E-9</v>
      </c>
      <c r="AC143" s="22">
        <f t="shared" si="111"/>
        <v>68.708558961659548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1.7053025658242404E-13</v>
      </c>
      <c r="AJ143" s="13">
        <f>AI143*VLOOKUP('Données projet'!$B$10,Paramètres!$A$1:$I$89,3,0)*VLOOKUP('Données projet'!$B$10,Paramètres!$A$1:$I$89,5,0)</f>
        <v>7.5374373409431432E-14</v>
      </c>
      <c r="AK143" s="13">
        <f t="shared" si="143"/>
        <v>1.1702184453493216E-12</v>
      </c>
      <c r="AL143" s="20">
        <f t="shared" si="112"/>
        <v>2.1694074926714947E-12</v>
      </c>
      <c r="AM143" s="59">
        <f t="shared" si="113"/>
        <v>293.33333333333547</v>
      </c>
      <c r="AN143" s="59">
        <f ca="1">AVERAGE(OFFSET($AM$3,0,0,'Données projet'!$E$10+1,1))-AVERAGE(OFFSET($H$3,0,0,'Données projet'!$E$10+1,1))</f>
        <v>218.3918302549892</v>
      </c>
      <c r="AO143" s="59">
        <f t="shared" si="144"/>
        <v>102.61932145411976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90.801148469081838</v>
      </c>
      <c r="AV143" s="21">
        <f>EXP(-LN(2)/25)*AV142+(1-EXP(-LN(2)/25))/(LN(2)/25)*Calculateur!AQ143*Calculateur!AS143*VLOOKUP('Données projet'!$B$10,Paramètres!$A$1:$I$89,3,0)*0.475*44/12</f>
        <v>24.801076049423401</v>
      </c>
      <c r="AW143" s="21">
        <f>EXP(-LN(2)/2)*AW142+(1-EXP(-LN(2)/2))/(LN(2)/2)*AQ143*AT143*VLOOKUP('Données projet'!$B$10,Paramètres!$A$1:$I$89,3,0)*0.475*44/12</f>
        <v>4.7977193294215813E-2</v>
      </c>
      <c r="AX143" s="21">
        <f t="shared" si="114"/>
        <v>115.65020171179945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112.66486935566058</v>
      </c>
      <c r="BJ143" s="59">
        <f t="shared" si="146"/>
        <v>110.84860075828624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3.3578333354108176</v>
      </c>
      <c r="BQ143" s="21">
        <f>EXP(-LN(2)/25)*BQ142+(1-EXP(-LN(2)/25))/(LN(2)/25)*Calculateur!BL143*Calculateur!BN143*VLOOKUP('Données projet'!$B$11,Paramètres!$A$1:$I$89,3,0)*0.475*44/12</f>
        <v>13.344493848419509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16.702327183830327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3.177547114319168E-13</v>
      </c>
      <c r="P144" s="13">
        <f t="shared" si="141"/>
        <v>4.1725404435445377E-12</v>
      </c>
      <c r="Q144" s="20">
        <f t="shared" si="108"/>
        <v>7.820597394917325E-12</v>
      </c>
      <c r="R144" s="59">
        <f t="shared" si="109"/>
        <v>293.33333333334116</v>
      </c>
      <c r="S144" s="59">
        <f ca="1">AVERAGE(OFFSET($R$3,0,0,'Données projet'!$E$9+1,1))-AVERAGE(OFFSET($H$3,0,0,'Données projet'!$E$9+1,1))</f>
        <v>314.07001555875894</v>
      </c>
      <c r="T144" s="59">
        <f t="shared" si="142"/>
        <v>281.53154885904991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56.555969031585533</v>
      </c>
      <c r="AA144" s="21">
        <f>EXP(-LN(2)/25)*AA143+(1-EXP(-LN(2)/25))/(LN(2)/25)*Calculateur!V144*Calculateur!X144*VLOOKUP('Données projet'!$B$9,Paramètres!$A$1:$I$89,3,0)*0.475*44/12</f>
        <v>10.719999322172598</v>
      </c>
      <c r="AB144" s="21">
        <f>EXP(-LN(2)/2)*AB143+(1-EXP(-LN(2)/2))/(LN(2)/2)*V144*Y144*VLOOKUP('Données projet'!$B$9,Paramètres!$A$1:$I$89,3,0)*0.475*44/12</f>
        <v>1.5538671364108962E-9</v>
      </c>
      <c r="AC144" s="22">
        <f t="shared" si="111"/>
        <v>67.275968355312003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1.7053025658242404E-13</v>
      </c>
      <c r="AJ144" s="13">
        <f>AI144*VLOOKUP('Données projet'!$B$10,Paramètres!$A$1:$I$89,3,0)*VLOOKUP('Données projet'!$B$10,Paramètres!$A$1:$I$89,5,0)</f>
        <v>7.5374373409431432E-14</v>
      </c>
      <c r="AK144" s="13">
        <f t="shared" si="143"/>
        <v>1.1702184453493216E-12</v>
      </c>
      <c r="AL144" s="20">
        <f t="shared" si="112"/>
        <v>2.1694074926714947E-12</v>
      </c>
      <c r="AM144" s="59">
        <f t="shared" si="113"/>
        <v>293.33333333333547</v>
      </c>
      <c r="AN144" s="59">
        <f ca="1">AVERAGE(OFFSET($AM$3,0,0,'Données projet'!$E$10+1,1))-AVERAGE(OFFSET($H$3,0,0,'Données projet'!$E$10+1,1))</f>
        <v>218.3918302549892</v>
      </c>
      <c r="AO144" s="59">
        <f t="shared" si="144"/>
        <v>102.61932145411976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89.020593330835069</v>
      </c>
      <c r="AV144" s="21">
        <f>EXP(-LN(2)/25)*AV143+(1-EXP(-LN(2)/25))/(LN(2)/25)*Calculateur!AQ144*Calculateur!AS144*VLOOKUP('Données projet'!$B$10,Paramètres!$A$1:$I$89,3,0)*0.475*44/12</f>
        <v>24.122889320620011</v>
      </c>
      <c r="AW144" s="21">
        <f>EXP(-LN(2)/2)*AW143+(1-EXP(-LN(2)/2))/(LN(2)/2)*AQ144*AT144*VLOOKUP('Données projet'!$B$10,Paramètres!$A$1:$I$89,3,0)*0.475*44/12</f>
        <v>3.3924998720637756E-2</v>
      </c>
      <c r="AX144" s="21">
        <f t="shared" si="114"/>
        <v>113.17740765017572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112.66486935566058</v>
      </c>
      <c r="BJ144" s="59">
        <f t="shared" si="146"/>
        <v>110.84860075828624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3.2919882717795153</v>
      </c>
      <c r="BQ144" s="21">
        <f>EXP(-LN(2)/25)*BQ143+(1-EXP(-LN(2)/25))/(LN(2)/25)*Calculateur!BL144*Calculateur!BN144*VLOOKUP('Données projet'!$B$11,Paramètres!$A$1:$I$89,3,0)*0.475*44/12</f>
        <v>12.979587962378044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16.27157623415756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3.177547114319168E-13</v>
      </c>
      <c r="P145" s="13">
        <f t="shared" si="141"/>
        <v>4.1725404435445377E-12</v>
      </c>
      <c r="Q145" s="20">
        <f t="shared" si="108"/>
        <v>7.820597394917325E-12</v>
      </c>
      <c r="R145" s="59">
        <f t="shared" si="109"/>
        <v>293.33333333334116</v>
      </c>
      <c r="S145" s="59">
        <f ca="1">AVERAGE(OFFSET($R$3,0,0,'Données projet'!$E$9+1,1))-AVERAGE(OFFSET($H$3,0,0,'Données projet'!$E$9+1,1))</f>
        <v>314.07001555875894</v>
      </c>
      <c r="T145" s="59">
        <f t="shared" si="142"/>
        <v>281.53154885904991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55.446940974611081</v>
      </c>
      <c r="AA145" s="21">
        <f>EXP(-LN(2)/25)*AA144+(1-EXP(-LN(2)/25))/(LN(2)/25)*Calculateur!V145*Calculateur!X145*VLOOKUP('Données projet'!$B$9,Paramètres!$A$1:$I$89,3,0)*0.475*44/12</f>
        <v>10.426860376967525</v>
      </c>
      <c r="AB145" s="21">
        <f>EXP(-LN(2)/2)*AB144+(1-EXP(-LN(2)/2))/(LN(2)/2)*V145*Y145*VLOOKUP('Données projet'!$B$9,Paramètres!$A$1:$I$89,3,0)*0.475*44/12</f>
        <v>1.0987499892190668E-9</v>
      </c>
      <c r="AC145" s="22">
        <f t="shared" si="111"/>
        <v>65.873801352677361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1.7053025658242404E-13</v>
      </c>
      <c r="AJ145" s="13">
        <f>AI145*VLOOKUP('Données projet'!$B$10,Paramètres!$A$1:$I$89,3,0)*VLOOKUP('Données projet'!$B$10,Paramètres!$A$1:$I$89,5,0)</f>
        <v>7.5374373409431432E-14</v>
      </c>
      <c r="AK145" s="13">
        <f t="shared" si="143"/>
        <v>1.1702184453493216E-12</v>
      </c>
      <c r="AL145" s="20">
        <f t="shared" si="112"/>
        <v>2.1694074926714947E-12</v>
      </c>
      <c r="AM145" s="59">
        <f t="shared" si="113"/>
        <v>293.33333333333547</v>
      </c>
      <c r="AN145" s="59">
        <f ca="1">AVERAGE(OFFSET($AM$3,0,0,'Données projet'!$E$10+1,1))-AVERAGE(OFFSET($H$3,0,0,'Données projet'!$E$10+1,1))</f>
        <v>218.3918302549892</v>
      </c>
      <c r="AO145" s="59">
        <f t="shared" si="144"/>
        <v>102.61932145411976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87.274953792817925</v>
      </c>
      <c r="AV145" s="21">
        <f>EXP(-LN(2)/25)*AV144+(1-EXP(-LN(2)/25))/(LN(2)/25)*Calculateur!AQ145*Calculateur!AS145*VLOOKUP('Données projet'!$B$10,Paramètres!$A$1:$I$89,3,0)*0.475*44/12</f>
        <v>23.46324764358004</v>
      </c>
      <c r="AW145" s="21">
        <f>EXP(-LN(2)/2)*AW144+(1-EXP(-LN(2)/2))/(LN(2)/2)*AQ145*AT145*VLOOKUP('Données projet'!$B$10,Paramètres!$A$1:$I$89,3,0)*0.475*44/12</f>
        <v>2.3988596647107906E-2</v>
      </c>
      <c r="AX145" s="21">
        <f t="shared" si="114"/>
        <v>110.76219003304507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112.66486935566058</v>
      </c>
      <c r="BJ145" s="59">
        <f t="shared" si="146"/>
        <v>110.84860075828624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3.2274343896844995</v>
      </c>
      <c r="BQ145" s="21">
        <f>EXP(-LN(2)/25)*BQ144+(1-EXP(-LN(2)/25))/(LN(2)/25)*Calculateur!BL145*Calculateur!BN145*VLOOKUP('Données projet'!$B$11,Paramètres!$A$1:$I$89,3,0)*0.475*44/12</f>
        <v>12.62466044697995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15.852094836664449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3.177547114319168E-13</v>
      </c>
      <c r="P146" s="13">
        <f t="shared" si="141"/>
        <v>4.1725404435445377E-12</v>
      </c>
      <c r="Q146" s="20">
        <f t="shared" si="108"/>
        <v>7.820597394917325E-12</v>
      </c>
      <c r="R146" s="59">
        <f t="shared" si="109"/>
        <v>293.33333333334116</v>
      </c>
      <c r="S146" s="59">
        <f ca="1">AVERAGE(OFFSET($R$3,0,0,'Données projet'!$E$9+1,1))-AVERAGE(OFFSET($H$3,0,0,'Données projet'!$E$9+1,1))</f>
        <v>314.07001555875894</v>
      </c>
      <c r="T146" s="59">
        <f t="shared" si="142"/>
        <v>281.53154885904991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54.359660281393573</v>
      </c>
      <c r="AA146" s="21">
        <f>EXP(-LN(2)/25)*AA145+(1-EXP(-LN(2)/25))/(LN(2)/25)*Calculateur!V146*Calculateur!X146*VLOOKUP('Données projet'!$B$9,Paramètres!$A$1:$I$89,3,0)*0.475*44/12</f>
        <v>10.141737331634593</v>
      </c>
      <c r="AB146" s="21">
        <f>EXP(-LN(2)/2)*AB145+(1-EXP(-LN(2)/2))/(LN(2)/2)*V146*Y146*VLOOKUP('Données projet'!$B$9,Paramètres!$A$1:$I$89,3,0)*0.475*44/12</f>
        <v>7.7693356820544811E-10</v>
      </c>
      <c r="AC146" s="22">
        <f t="shared" si="111"/>
        <v>64.501397613805096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1.7053025658242404E-13</v>
      </c>
      <c r="AJ146" s="13">
        <f>AI146*VLOOKUP('Données projet'!$B$10,Paramètres!$A$1:$I$89,3,0)*VLOOKUP('Données projet'!$B$10,Paramètres!$A$1:$I$89,5,0)</f>
        <v>7.5374373409431432E-14</v>
      </c>
      <c r="AK146" s="13">
        <f t="shared" si="143"/>
        <v>1.1702184453493216E-12</v>
      </c>
      <c r="AL146" s="20">
        <f t="shared" si="112"/>
        <v>2.1694074926714947E-12</v>
      </c>
      <c r="AM146" s="59">
        <f t="shared" si="113"/>
        <v>293.33333333333547</v>
      </c>
      <c r="AN146" s="59">
        <f ca="1">AVERAGE(OFFSET($AM$3,0,0,'Données projet'!$E$10+1,1))-AVERAGE(OFFSET($H$3,0,0,'Données projet'!$E$10+1,1))</f>
        <v>218.3918302549892</v>
      </c>
      <c r="AO146" s="59">
        <f t="shared" si="144"/>
        <v>102.61932145411976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85.563545181406312</v>
      </c>
      <c r="AV146" s="21">
        <f>EXP(-LN(2)/25)*AV145+(1-EXP(-LN(2)/25))/(LN(2)/25)*Calculateur!AQ146*Calculateur!AS146*VLOOKUP('Données projet'!$B$10,Paramètres!$A$1:$I$89,3,0)*0.475*44/12</f>
        <v>22.821643902887775</v>
      </c>
      <c r="AW146" s="21">
        <f>EXP(-LN(2)/2)*AW145+(1-EXP(-LN(2)/2))/(LN(2)/2)*AQ146*AT146*VLOOKUP('Données projet'!$B$10,Paramètres!$A$1:$I$89,3,0)*0.475*44/12</f>
        <v>1.6962499360318878E-2</v>
      </c>
      <c r="AX146" s="21">
        <f t="shared" si="114"/>
        <v>108.4021515836544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112.66486935566058</v>
      </c>
      <c r="BJ146" s="59">
        <f t="shared" si="146"/>
        <v>110.84860075828624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3.1641463698433867</v>
      </c>
      <c r="BQ146" s="21">
        <f>EXP(-LN(2)/25)*BQ145+(1-EXP(-LN(2)/25))/(LN(2)/25)*Calculateur!BL146*Calculateur!BN146*VLOOKUP('Données projet'!$B$11,Paramètres!$A$1:$I$89,3,0)*0.475*44/12</f>
        <v>12.279438443155245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15.443584812998632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3.177547114319168E-13</v>
      </c>
      <c r="P147" s="13">
        <f t="shared" si="141"/>
        <v>4.1725404435445377E-12</v>
      </c>
      <c r="Q147" s="20">
        <f t="shared" si="108"/>
        <v>7.820597394917325E-12</v>
      </c>
      <c r="R147" s="59">
        <f t="shared" si="109"/>
        <v>293.33333333334116</v>
      </c>
      <c r="S147" s="59">
        <f ca="1">AVERAGE(OFFSET($R$3,0,0,'Données projet'!$E$9+1,1))-AVERAGE(OFFSET($H$3,0,0,'Données projet'!$E$9+1,1))</f>
        <v>314.07001555875894</v>
      </c>
      <c r="T147" s="59">
        <f t="shared" si="142"/>
        <v>281.53154885904991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53.293700499394319</v>
      </c>
      <c r="AA147" s="21">
        <f>EXP(-LN(2)/25)*AA146+(1-EXP(-LN(2)/25))/(LN(2)/25)*Calculateur!V147*Calculateur!X147*VLOOKUP('Données projet'!$B$9,Paramètres!$A$1:$I$89,3,0)*0.475*44/12</f>
        <v>9.8644109909702582</v>
      </c>
      <c r="AB147" s="21">
        <f>EXP(-LN(2)/2)*AB146+(1-EXP(-LN(2)/2))/(LN(2)/2)*V147*Y147*VLOOKUP('Données projet'!$B$9,Paramètres!$A$1:$I$89,3,0)*0.475*44/12</f>
        <v>5.4937499460953338E-10</v>
      </c>
      <c r="AC147" s="22">
        <f t="shared" si="111"/>
        <v>63.158111490913953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1.7053025658242404E-13</v>
      </c>
      <c r="AJ147" s="13">
        <f>AI147*VLOOKUP('Données projet'!$B$10,Paramètres!$A$1:$I$89,3,0)*VLOOKUP('Données projet'!$B$10,Paramètres!$A$1:$I$89,5,0)</f>
        <v>7.5374373409431432E-14</v>
      </c>
      <c r="AK147" s="13">
        <f t="shared" si="143"/>
        <v>1.1702184453493216E-12</v>
      </c>
      <c r="AL147" s="20">
        <f t="shared" si="112"/>
        <v>2.1694074926714947E-12</v>
      </c>
      <c r="AM147" s="59">
        <f t="shared" si="113"/>
        <v>293.33333333333547</v>
      </c>
      <c r="AN147" s="59">
        <f ca="1">AVERAGE(OFFSET($AM$3,0,0,'Données projet'!$E$10+1,1))-AVERAGE(OFFSET($H$3,0,0,'Données projet'!$E$10+1,1))</f>
        <v>218.3918302549892</v>
      </c>
      <c r="AO147" s="59">
        <f t="shared" si="144"/>
        <v>102.61932145411976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83.885696249008291</v>
      </c>
      <c r="AV147" s="21">
        <f>EXP(-LN(2)/25)*AV146+(1-EXP(-LN(2)/25))/(LN(2)/25)*Calculateur!AQ147*Calculateur!AS147*VLOOKUP('Données projet'!$B$10,Paramètres!$A$1:$I$89,3,0)*0.475*44/12</f>
        <v>22.197584850225216</v>
      </c>
      <c r="AW147" s="21">
        <f>EXP(-LN(2)/2)*AW146+(1-EXP(-LN(2)/2))/(LN(2)/2)*AQ147*AT147*VLOOKUP('Données projet'!$B$10,Paramètres!$A$1:$I$89,3,0)*0.475*44/12</f>
        <v>1.1994298323553953E-2</v>
      </c>
      <c r="AX147" s="21">
        <f t="shared" si="114"/>
        <v>106.09527539755706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112.66486935566058</v>
      </c>
      <c r="BJ147" s="59">
        <f t="shared" si="146"/>
        <v>110.84860075828624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3.1020993894694779</v>
      </c>
      <c r="BQ147" s="21">
        <f>EXP(-LN(2)/25)*BQ146+(1-EXP(-LN(2)/25))/(LN(2)/25)*Calculateur!BL147*Calculateur!BN147*VLOOKUP('Données projet'!$B$11,Paramètres!$A$1:$I$89,3,0)*0.475*44/12</f>
        <v>11.943656553179562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15.045755942649039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3.177547114319168E-13</v>
      </c>
      <c r="P148" s="13">
        <f t="shared" si="141"/>
        <v>4.1725404435445377E-12</v>
      </c>
      <c r="Q148" s="20">
        <f t="shared" si="108"/>
        <v>7.820597394917325E-12</v>
      </c>
      <c r="R148" s="59">
        <f t="shared" si="109"/>
        <v>293.33333333334116</v>
      </c>
      <c r="S148" s="59">
        <f ca="1">AVERAGE(OFFSET($R$3,0,0,'Données projet'!$E$9+1,1))-AVERAGE(OFFSET($H$3,0,0,'Données projet'!$E$9+1,1))</f>
        <v>314.07001555875894</v>
      </c>
      <c r="T148" s="59">
        <f t="shared" si="142"/>
        <v>281.53154885904991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52.248643538548805</v>
      </c>
      <c r="AA148" s="21">
        <f>EXP(-LN(2)/25)*AA147+(1-EXP(-LN(2)/25))/(LN(2)/25)*Calculateur!V148*Calculateur!X148*VLOOKUP('Données projet'!$B$9,Paramètres!$A$1:$I$89,3,0)*0.475*44/12</f>
        <v>9.5946681536753484</v>
      </c>
      <c r="AB148" s="21">
        <f>EXP(-LN(2)/2)*AB147+(1-EXP(-LN(2)/2))/(LN(2)/2)*V148*Y148*VLOOKUP('Données projet'!$B$9,Paramètres!$A$1:$I$89,3,0)*0.475*44/12</f>
        <v>3.8846678410272405E-10</v>
      </c>
      <c r="AC148" s="22">
        <f t="shared" si="111"/>
        <v>61.843311692612623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1.7053025658242404E-13</v>
      </c>
      <c r="AJ148" s="13">
        <f>AI148*VLOOKUP('Données projet'!$B$10,Paramètres!$A$1:$I$89,3,0)*VLOOKUP('Données projet'!$B$10,Paramètres!$A$1:$I$89,5,0)</f>
        <v>7.5374373409431432E-14</v>
      </c>
      <c r="AK148" s="13">
        <f t="shared" si="143"/>
        <v>1.1702184453493216E-12</v>
      </c>
      <c r="AL148" s="20">
        <f t="shared" si="112"/>
        <v>2.1694074926714947E-12</v>
      </c>
      <c r="AM148" s="59">
        <f t="shared" si="113"/>
        <v>293.33333333333547</v>
      </c>
      <c r="AN148" s="59">
        <f ca="1">AVERAGE(OFFSET($AM$3,0,0,'Données projet'!$E$10+1,1))-AVERAGE(OFFSET($H$3,0,0,'Données projet'!$E$10+1,1))</f>
        <v>218.3918302549892</v>
      </c>
      <c r="AO148" s="59">
        <f t="shared" si="144"/>
        <v>102.61932145411976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82.240748910787801</v>
      </c>
      <c r="AV148" s="21">
        <f>EXP(-LN(2)/25)*AV147+(1-EXP(-LN(2)/25))/(LN(2)/25)*Calculateur!AQ148*Calculateur!AS148*VLOOKUP('Données projet'!$B$10,Paramètres!$A$1:$I$89,3,0)*0.475*44/12</f>
        <v>21.590590725175552</v>
      </c>
      <c r="AW148" s="21">
        <f>EXP(-LN(2)/2)*AW147+(1-EXP(-LN(2)/2))/(LN(2)/2)*AQ148*AT148*VLOOKUP('Données projet'!$B$10,Paramètres!$A$1:$I$89,3,0)*0.475*44/12</f>
        <v>8.4812496801594389E-3</v>
      </c>
      <c r="AX148" s="21">
        <f t="shared" si="114"/>
        <v>103.83982088564352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112.66486935566058</v>
      </c>
      <c r="BJ148" s="59">
        <f t="shared" si="146"/>
        <v>110.84860075828624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3.0412691125357805</v>
      </c>
      <c r="BQ148" s="21">
        <f>EXP(-LN(2)/25)*BQ147+(1-EXP(-LN(2)/25))/(LN(2)/25)*Calculateur!BL148*Calculateur!BN148*VLOOKUP('Données projet'!$B$11,Paramètres!$A$1:$I$89,3,0)*0.475*44/12</f>
        <v>11.617056636643266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14.658325749179046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3.177547114319168E-13</v>
      </c>
      <c r="P149" s="13">
        <f t="shared" si="141"/>
        <v>4.1725404435445377E-12</v>
      </c>
      <c r="Q149" s="20">
        <f t="shared" si="108"/>
        <v>7.820597394917325E-12</v>
      </c>
      <c r="R149" s="59">
        <f t="shared" si="109"/>
        <v>293.33333333334116</v>
      </c>
      <c r="S149" s="59">
        <f ca="1">AVERAGE(OFFSET($R$3,0,0,'Données projet'!$E$9+1,1))-AVERAGE(OFFSET($H$3,0,0,'Données projet'!$E$9+1,1))</f>
        <v>314.07001555875894</v>
      </c>
      <c r="T149" s="59">
        <f t="shared" si="142"/>
        <v>281.53154885904991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51.224079507283669</v>
      </c>
      <c r="AA149" s="21">
        <f>EXP(-LN(2)/25)*AA148+(1-EXP(-LN(2)/25))/(LN(2)/25)*Calculateur!V149*Calculateur!X149*VLOOKUP('Données projet'!$B$9,Paramètres!$A$1:$I$89,3,0)*0.475*44/12</f>
        <v>9.3323014484514264</v>
      </c>
      <c r="AB149" s="21">
        <f>EXP(-LN(2)/2)*AB148+(1-EXP(-LN(2)/2))/(LN(2)/2)*V149*Y149*VLOOKUP('Données projet'!$B$9,Paramètres!$A$1:$I$89,3,0)*0.475*44/12</f>
        <v>2.7468749730476669E-10</v>
      </c>
      <c r="AC149" s="22">
        <f t="shared" si="111"/>
        <v>60.556380956009782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1.7053025658242404E-13</v>
      </c>
      <c r="AJ149" s="13">
        <f>AI149*VLOOKUP('Données projet'!$B$10,Paramètres!$A$1:$I$89,3,0)*VLOOKUP('Données projet'!$B$10,Paramètres!$A$1:$I$89,5,0)</f>
        <v>7.5374373409431432E-14</v>
      </c>
      <c r="AK149" s="13">
        <f t="shared" si="143"/>
        <v>1.1702184453493216E-12</v>
      </c>
      <c r="AL149" s="20">
        <f t="shared" si="112"/>
        <v>2.1694074926714947E-12</v>
      </c>
      <c r="AM149" s="59">
        <f t="shared" si="113"/>
        <v>293.33333333333547</v>
      </c>
      <c r="AN149" s="59">
        <f ca="1">AVERAGE(OFFSET($AM$3,0,0,'Données projet'!$E$10+1,1))-AVERAGE(OFFSET($H$3,0,0,'Données projet'!$E$10+1,1))</f>
        <v>218.3918302549892</v>
      </c>
      <c r="AO149" s="59">
        <f t="shared" si="144"/>
        <v>102.61932145411976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80.628057986551013</v>
      </c>
      <c r="AV149" s="21">
        <f>EXP(-LN(2)/25)*AV148+(1-EXP(-LN(2)/25))/(LN(2)/25)*Calculateur!AQ149*Calculateur!AS149*VLOOKUP('Données projet'!$B$10,Paramètres!$A$1:$I$89,3,0)*0.475*44/12</f>
        <v>21.000194886395807</v>
      </c>
      <c r="AW149" s="21">
        <f>EXP(-LN(2)/2)*AW148+(1-EXP(-LN(2)/2))/(LN(2)/2)*AQ149*AT149*VLOOKUP('Données projet'!$B$10,Paramètres!$A$1:$I$89,3,0)*0.475*44/12</f>
        <v>5.9971491617769766E-3</v>
      </c>
      <c r="AX149" s="21">
        <f t="shared" si="114"/>
        <v>101.63425002210859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112.66486935566058</v>
      </c>
      <c r="BJ149" s="59">
        <f t="shared" si="146"/>
        <v>110.84860075828624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2.9816316802299472</v>
      </c>
      <c r="BQ149" s="21">
        <f>EXP(-LN(2)/25)*BQ148+(1-EXP(-LN(2)/25))/(LN(2)/25)*Calculateur!BL149*Calculateur!BN149*VLOOKUP('Données projet'!$B$11,Paramètres!$A$1:$I$89,3,0)*0.475*44/12</f>
        <v>11.299387611999798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14.281019292229745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3.177547114319168E-13</v>
      </c>
      <c r="P150" s="13">
        <f t="shared" si="141"/>
        <v>4.1725404435445377E-12</v>
      </c>
      <c r="Q150" s="20">
        <f t="shared" si="108"/>
        <v>7.820597394917325E-12</v>
      </c>
      <c r="R150" s="59">
        <f t="shared" si="109"/>
        <v>293.33333333334116</v>
      </c>
      <c r="S150" s="59">
        <f ca="1">AVERAGE(OFFSET($R$3,0,0,'Données projet'!$E$9+1,1))-AVERAGE(OFFSET($H$3,0,0,'Données projet'!$E$9+1,1))</f>
        <v>314.07001555875894</v>
      </c>
      <c r="T150" s="59">
        <f t="shared" si="142"/>
        <v>281.53154885904991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50.219606551749287</v>
      </c>
      <c r="AA150" s="21">
        <f>EXP(-LN(2)/25)*AA149+(1-EXP(-LN(2)/25))/(LN(2)/25)*Calculateur!V150*Calculateur!X150*VLOOKUP('Données projet'!$B$9,Paramètres!$A$1:$I$89,3,0)*0.475*44/12</f>
        <v>9.0771091745791175</v>
      </c>
      <c r="AB150" s="21">
        <f>EXP(-LN(2)/2)*AB149+(1-EXP(-LN(2)/2))/(LN(2)/2)*V150*Y150*VLOOKUP('Données projet'!$B$9,Paramètres!$A$1:$I$89,3,0)*0.475*44/12</f>
        <v>1.9423339205136203E-10</v>
      </c>
      <c r="AC150" s="22">
        <f t="shared" si="111"/>
        <v>59.296715726522635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1.7053025658242404E-13</v>
      </c>
      <c r="AJ150" s="13">
        <f>AI150*VLOOKUP('Données projet'!$B$10,Paramètres!$A$1:$I$89,3,0)*VLOOKUP('Données projet'!$B$10,Paramètres!$A$1:$I$89,5,0)</f>
        <v>7.5374373409431432E-14</v>
      </c>
      <c r="AK150" s="13">
        <f t="shared" si="143"/>
        <v>1.1702184453493216E-12</v>
      </c>
      <c r="AL150" s="20">
        <f t="shared" si="112"/>
        <v>2.1694074926714947E-12</v>
      </c>
      <c r="AM150" s="59">
        <f t="shared" si="113"/>
        <v>293.33333333333547</v>
      </c>
      <c r="AN150" s="59">
        <f ca="1">AVERAGE(OFFSET($AM$3,0,0,'Données projet'!$E$10+1,1))-AVERAGE(OFFSET($H$3,0,0,'Données projet'!$E$10+1,1))</f>
        <v>218.3918302549892</v>
      </c>
      <c r="AO150" s="59">
        <f t="shared" si="144"/>
        <v>102.61932145411976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79.046990947694169</v>
      </c>
      <c r="AV150" s="21">
        <f>EXP(-LN(2)/25)*AV149+(1-EXP(-LN(2)/25))/(LN(2)/25)*Calculateur!AQ150*Calculateur!AS150*VLOOKUP('Données projet'!$B$10,Paramètres!$A$1:$I$89,3,0)*0.475*44/12</f>
        <v>20.42594345287506</v>
      </c>
      <c r="AW150" s="21">
        <f>EXP(-LN(2)/2)*AW149+(1-EXP(-LN(2)/2))/(LN(2)/2)*AQ150*AT150*VLOOKUP('Données projet'!$B$10,Paramètres!$A$1:$I$89,3,0)*0.475*44/12</f>
        <v>4.2406248400797195E-3</v>
      </c>
      <c r="AX150" s="21">
        <f t="shared" si="114"/>
        <v>99.477175025409309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112.66486935566058</v>
      </c>
      <c r="BJ150" s="59">
        <f t="shared" si="146"/>
        <v>110.84860075828624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2.9231637015963896</v>
      </c>
      <c r="BQ150" s="21">
        <f>EXP(-LN(2)/25)*BQ149+(1-EXP(-LN(2)/25))/(LN(2)/25)*Calculateur!BL150*Calculateur!BN150*VLOOKUP('Données projet'!$B$11,Paramètres!$A$1:$I$89,3,0)*0.475*44/12</f>
        <v>10.990405263540694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13.913568965137085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3.177547114319168E-13</v>
      </c>
      <c r="P151" s="13">
        <f t="shared" si="141"/>
        <v>4.1725404435445377E-12</v>
      </c>
      <c r="Q151" s="20">
        <f t="shared" si="108"/>
        <v>7.820597394917325E-12</v>
      </c>
      <c r="R151" s="59">
        <f t="shared" si="109"/>
        <v>293.33333333334116</v>
      </c>
      <c r="S151" s="59">
        <f ca="1">AVERAGE(OFFSET($R$3,0,0,'Données projet'!$E$9+1,1))-AVERAGE(OFFSET($H$3,0,0,'Données projet'!$E$9+1,1))</f>
        <v>314.07001555875894</v>
      </c>
      <c r="T151" s="59">
        <f t="shared" si="142"/>
        <v>281.53154885904991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49.234830698204924</v>
      </c>
      <c r="AA151" s="21">
        <f>EXP(-LN(2)/25)*AA150+(1-EXP(-LN(2)/25))/(LN(2)/25)*Calculateur!V151*Calculateur!X151*VLOOKUP('Données projet'!$B$9,Paramètres!$A$1:$I$89,3,0)*0.475*44/12</f>
        <v>8.8288951468558263</v>
      </c>
      <c r="AB151" s="21">
        <f>EXP(-LN(2)/2)*AB150+(1-EXP(-LN(2)/2))/(LN(2)/2)*V151*Y151*VLOOKUP('Données projet'!$B$9,Paramètres!$A$1:$I$89,3,0)*0.475*44/12</f>
        <v>1.3734374865238334E-10</v>
      </c>
      <c r="AC151" s="22">
        <f t="shared" si="111"/>
        <v>58.063725845198093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1.7053025658242404E-13</v>
      </c>
      <c r="AJ151" s="13">
        <f>AI151*VLOOKUP('Données projet'!$B$10,Paramètres!$A$1:$I$89,3,0)*VLOOKUP('Données projet'!$B$10,Paramètres!$A$1:$I$89,5,0)</f>
        <v>7.5374373409431432E-14</v>
      </c>
      <c r="AK151" s="13">
        <f t="shared" si="143"/>
        <v>1.1702184453493216E-12</v>
      </c>
      <c r="AL151" s="20">
        <f t="shared" si="112"/>
        <v>2.1694074926714947E-12</v>
      </c>
      <c r="AM151" s="59">
        <f t="shared" si="113"/>
        <v>293.33333333333547</v>
      </c>
      <c r="AN151" s="59">
        <f ca="1">AVERAGE(OFFSET($AM$3,0,0,'Données projet'!$E$10+1,1))-AVERAGE(OFFSET($H$3,0,0,'Données projet'!$E$10+1,1))</f>
        <v>218.3918302549892</v>
      </c>
      <c r="AO151" s="59">
        <f t="shared" si="144"/>
        <v>102.61932145411976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77.496927669113632</v>
      </c>
      <c r="AV151" s="21">
        <f>EXP(-LN(2)/25)*AV150+(1-EXP(-LN(2)/25))/(LN(2)/25)*Calculateur!AQ151*Calculateur!AS151*VLOOKUP('Données projet'!$B$10,Paramètres!$A$1:$I$89,3,0)*0.475*44/12</f>
        <v>19.86739495500251</v>
      </c>
      <c r="AW151" s="21">
        <f>EXP(-LN(2)/2)*AW150+(1-EXP(-LN(2)/2))/(LN(2)/2)*AQ151*AT151*VLOOKUP('Données projet'!$B$10,Paramètres!$A$1:$I$89,3,0)*0.475*44/12</f>
        <v>2.9985745808884883E-3</v>
      </c>
      <c r="AX151" s="21">
        <f t="shared" si="114"/>
        <v>97.367321198697027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112.66486935566058</v>
      </c>
      <c r="BJ151" s="59">
        <f t="shared" si="146"/>
        <v>110.84860075828624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2.8658422443618905</v>
      </c>
      <c r="BQ151" s="21">
        <f>EXP(-LN(2)/25)*BQ150+(1-EXP(-LN(2)/25))/(LN(2)/25)*Calculateur!BL151*Calculateur!BN151*VLOOKUP('Données projet'!$B$11,Paramètres!$A$1:$I$89,3,0)*0.475*44/12</f>
        <v>10.68987205364888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13.55571429801077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3.177547114319168E-13</v>
      </c>
      <c r="P152" s="13">
        <f t="shared" si="141"/>
        <v>4.1725404435445377E-12</v>
      </c>
      <c r="Q152" s="20">
        <f t="shared" si="108"/>
        <v>7.820597394917325E-12</v>
      </c>
      <c r="R152" s="59">
        <f t="shared" si="109"/>
        <v>293.33333333334116</v>
      </c>
      <c r="S152" s="59">
        <f ca="1">AVERAGE(OFFSET($R$3,0,0,'Données projet'!$E$9+1,1))-AVERAGE(OFFSET($H$3,0,0,'Données projet'!$E$9+1,1))</f>
        <v>314.07001555875894</v>
      </c>
      <c r="T152" s="59">
        <f t="shared" si="142"/>
        <v>281.53154885904991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48.26936569849461</v>
      </c>
      <c r="AA152" s="21">
        <f>EXP(-LN(2)/25)*AA151+(1-EXP(-LN(2)/25))/(LN(2)/25)*Calculateur!V152*Calculateur!X152*VLOOKUP('Données projet'!$B$9,Paramètres!$A$1:$I$89,3,0)*0.475*44/12</f>
        <v>8.5874685447736372</v>
      </c>
      <c r="AB152" s="21">
        <f>EXP(-LN(2)/2)*AB151+(1-EXP(-LN(2)/2))/(LN(2)/2)*V152*Y152*VLOOKUP('Données projet'!$B$9,Paramètres!$A$1:$I$89,3,0)*0.475*44/12</f>
        <v>9.7116696025681013E-11</v>
      </c>
      <c r="AC152" s="22">
        <f t="shared" si="111"/>
        <v>56.856834243365363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1.7053025658242404E-13</v>
      </c>
      <c r="AJ152" s="13">
        <f>AI152*VLOOKUP('Données projet'!$B$10,Paramètres!$A$1:$I$89,3,0)*VLOOKUP('Données projet'!$B$10,Paramètres!$A$1:$I$89,5,0)</f>
        <v>7.5374373409431432E-14</v>
      </c>
      <c r="AK152" s="13">
        <f t="shared" si="143"/>
        <v>1.1702184453493216E-12</v>
      </c>
      <c r="AL152" s="20">
        <f t="shared" si="112"/>
        <v>2.1694074926714947E-12</v>
      </c>
      <c r="AM152" s="59">
        <f t="shared" si="113"/>
        <v>293.33333333333547</v>
      </c>
      <c r="AN152" s="59">
        <f ca="1">AVERAGE(OFFSET($AM$3,0,0,'Données projet'!$E$10+1,1))-AVERAGE(OFFSET($H$3,0,0,'Données projet'!$E$10+1,1))</f>
        <v>218.3918302549892</v>
      </c>
      <c r="AO152" s="59">
        <f t="shared" si="144"/>
        <v>102.61932145411976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75.977260185980825</v>
      </c>
      <c r="AV152" s="21">
        <f>EXP(-LN(2)/25)*AV151+(1-EXP(-LN(2)/25))/(LN(2)/25)*Calculateur!AQ152*Calculateur!AS152*VLOOKUP('Données projet'!$B$10,Paramètres!$A$1:$I$89,3,0)*0.475*44/12</f>
        <v>19.324119995177075</v>
      </c>
      <c r="AW152" s="21">
        <f>EXP(-LN(2)/2)*AW151+(1-EXP(-LN(2)/2))/(LN(2)/2)*AQ152*AT152*VLOOKUP('Données projet'!$B$10,Paramètres!$A$1:$I$89,3,0)*0.475*44/12</f>
        <v>2.1203124200398597E-3</v>
      </c>
      <c r="AX152" s="21">
        <f t="shared" si="114"/>
        <v>95.303500493577943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112.66486935566058</v>
      </c>
      <c r="BJ152" s="59">
        <f t="shared" si="146"/>
        <v>110.84860075828624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2.8096448259411231</v>
      </c>
      <c r="BQ152" s="21">
        <f>EXP(-LN(2)/25)*BQ151+(1-EXP(-LN(2)/25))/(LN(2)/25)*Calculateur!BL152*Calculateur!BN152*VLOOKUP('Données projet'!$B$11,Paramètres!$A$1:$I$89,3,0)*0.475*44/12</f>
        <v>10.397556940185913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13.207201766127035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3.177547114319168E-13</v>
      </c>
      <c r="P153" s="13">
        <f t="shared" si="141"/>
        <v>4.1725404435445377E-12</v>
      </c>
      <c r="Q153" s="20">
        <f t="shared" si="108"/>
        <v>7.820597394917325E-12</v>
      </c>
      <c r="R153" s="59">
        <f t="shared" si="109"/>
        <v>293.33333333334116</v>
      </c>
      <c r="S153" s="59">
        <f ca="1">AVERAGE(OFFSET($R$3,0,0,'Données projet'!$E$9+1,1))-AVERAGE(OFFSET($H$3,0,0,'Données projet'!$E$9+1,1))</f>
        <v>314.07001555875894</v>
      </c>
      <c r="T153" s="59">
        <f t="shared" si="142"/>
        <v>281.53154885904991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47.322832878553108</v>
      </c>
      <c r="AA153" s="21">
        <f>EXP(-LN(2)/25)*AA152+(1-EXP(-LN(2)/25))/(LN(2)/25)*Calculateur!V153*Calculateur!X153*VLOOKUP('Données projet'!$B$9,Paramètres!$A$1:$I$89,3,0)*0.475*44/12</f>
        <v>8.3526437658214583</v>
      </c>
      <c r="AB153" s="21">
        <f>EXP(-LN(2)/2)*AB152+(1-EXP(-LN(2)/2))/(LN(2)/2)*V153*Y153*VLOOKUP('Données projet'!$B$9,Paramètres!$A$1:$I$89,3,0)*0.475*44/12</f>
        <v>6.8671874326191672E-11</v>
      </c>
      <c r="AC153" s="22">
        <f t="shared" si="111"/>
        <v>55.675476644443243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1.7053025658242404E-13</v>
      </c>
      <c r="AJ153" s="13">
        <f>AI153*VLOOKUP('Données projet'!$B$10,Paramètres!$A$1:$I$89,3,0)*VLOOKUP('Données projet'!$B$10,Paramètres!$A$1:$I$89,5,0)</f>
        <v>7.5374373409431432E-14</v>
      </c>
      <c r="AK153" s="13">
        <f t="shared" si="143"/>
        <v>1.1702184453493216E-12</v>
      </c>
      <c r="AL153" s="20">
        <f t="shared" si="112"/>
        <v>2.1694074926714947E-12</v>
      </c>
      <c r="AM153" s="59">
        <f t="shared" si="113"/>
        <v>293.33333333333547</v>
      </c>
      <c r="AN153" s="59">
        <f ca="1">AVERAGE(OFFSET($AM$3,0,0,'Données projet'!$E$10+1,1))-AVERAGE(OFFSET($H$3,0,0,'Données projet'!$E$10+1,1))</f>
        <v>218.3918302549892</v>
      </c>
      <c r="AO153" s="59">
        <f t="shared" si="144"/>
        <v>102.61932145411976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74.48739245528661</v>
      </c>
      <c r="AV153" s="21">
        <f>EXP(-LN(2)/25)*AV152+(1-EXP(-LN(2)/25))/(LN(2)/25)*Calculateur!AQ153*Calculateur!AS153*VLOOKUP('Données projet'!$B$10,Paramètres!$A$1:$I$89,3,0)*0.475*44/12</f>
        <v>18.795700917697651</v>
      </c>
      <c r="AW153" s="21">
        <f>EXP(-LN(2)/2)*AW152+(1-EXP(-LN(2)/2))/(LN(2)/2)*AQ153*AT153*VLOOKUP('Données projet'!$B$10,Paramètres!$A$1:$I$89,3,0)*0.475*44/12</f>
        <v>1.4992872904442441E-3</v>
      </c>
      <c r="AX153" s="21">
        <f t="shared" si="114"/>
        <v>93.284592660274711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112.66486935566058</v>
      </c>
      <c r="BJ153" s="59">
        <f t="shared" si="146"/>
        <v>110.84860075828624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2.7545494046185461</v>
      </c>
      <c r="BQ153" s="21">
        <f>EXP(-LN(2)/25)*BQ152+(1-EXP(-LN(2)/25))/(LN(2)/25)*Calculateur!BL153*Calculateur!BN153*VLOOKUP('Données projet'!$B$11,Paramètres!$A$1:$I$89,3,0)*0.475*44/12</f>
        <v>10.113235198872774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12.867784603491319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3.177547114319168E-13</v>
      </c>
      <c r="P154" s="13">
        <f t="shared" si="141"/>
        <v>4.1725404435445377E-12</v>
      </c>
      <c r="Q154" s="20">
        <f t="shared" ref="Q154:Q203" si="162">(O154+P154)*0.475*44/12</f>
        <v>7.820597394917325E-12</v>
      </c>
      <c r="R154" s="59">
        <f t="shared" si="109"/>
        <v>293.33333333334116</v>
      </c>
      <c r="S154" s="59">
        <f ca="1">AVERAGE(OFFSET($R$3,0,0,'Données projet'!$E$9+1,1))-AVERAGE(OFFSET($H$3,0,0,'Données projet'!$E$9+1,1))</f>
        <v>314.07001555875894</v>
      </c>
      <c r="T154" s="59">
        <f t="shared" si="142"/>
        <v>281.53154885904991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46.394860989882645</v>
      </c>
      <c r="AA154" s="21">
        <f>EXP(-LN(2)/25)*AA153+(1-EXP(-LN(2)/25))/(LN(2)/25)*Calculateur!V154*Calculateur!X154*VLOOKUP('Données projet'!$B$9,Paramètres!$A$1:$I$89,3,0)*0.475*44/12</f>
        <v>8.1242402827986258</v>
      </c>
      <c r="AB154" s="21">
        <f>EXP(-LN(2)/2)*AB153+(1-EXP(-LN(2)/2))/(LN(2)/2)*V154*Y154*VLOOKUP('Données projet'!$B$9,Paramètres!$A$1:$I$89,3,0)*0.475*44/12</f>
        <v>4.8558348012840507E-11</v>
      </c>
      <c r="AC154" s="22">
        <f t="shared" ref="AC154:AC203" si="163">SUM(Z154:AB154)</f>
        <v>54.519101272729827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1.7053025658242404E-13</v>
      </c>
      <c r="AJ154" s="13">
        <f>AI154*VLOOKUP('Données projet'!$B$10,Paramètres!$A$1:$I$89,3,0)*VLOOKUP('Données projet'!$B$10,Paramètres!$A$1:$I$89,5,0)</f>
        <v>7.5374373409431432E-14</v>
      </c>
      <c r="AK154" s="13">
        <f t="shared" ref="AK154:AK203" si="164">EXP(-1.0587+0.8836*LN(AJ154)+0.284)</f>
        <v>1.1702184453493216E-12</v>
      </c>
      <c r="AL154" s="20">
        <f t="shared" ref="AL154:AL203" si="165">(AJ154+AK154)*0.475*44/12</f>
        <v>2.1694074926714947E-12</v>
      </c>
      <c r="AM154" s="59">
        <f t="shared" si="113"/>
        <v>293.33333333333547</v>
      </c>
      <c r="AN154" s="59">
        <f ca="1">AVERAGE(OFFSET($AM$3,0,0,'Données projet'!$E$10+1,1))-AVERAGE(OFFSET($H$3,0,0,'Données projet'!$E$10+1,1))</f>
        <v>218.3918302549892</v>
      </c>
      <c r="AO154" s="59">
        <f t="shared" si="144"/>
        <v>102.61932145411976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73.026740122061724</v>
      </c>
      <c r="AV154" s="21">
        <f>EXP(-LN(2)/25)*AV153+(1-EXP(-LN(2)/25))/(LN(2)/25)*Calculateur!AQ154*Calculateur!AS154*VLOOKUP('Données projet'!$B$10,Paramètres!$A$1:$I$89,3,0)*0.475*44/12</f>
        <v>18.281731487680254</v>
      </c>
      <c r="AW154" s="21">
        <f>EXP(-LN(2)/2)*AW153+(1-EXP(-LN(2)/2))/(LN(2)/2)*AQ154*AT154*VLOOKUP('Données projet'!$B$10,Paramètres!$A$1:$I$89,3,0)*0.475*44/12</f>
        <v>1.0601562100199299E-3</v>
      </c>
      <c r="AX154" s="21">
        <f t="shared" ref="AX154:AX203" si="166">SUM(AU154:AW154)</f>
        <v>91.309531765952002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112.66486935566058</v>
      </c>
      <c r="BJ154" s="59">
        <f t="shared" si="146"/>
        <v>110.84860075828624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2.7005343709032164</v>
      </c>
      <c r="BQ154" s="21">
        <f>EXP(-LN(2)/25)*BQ153+(1-EXP(-LN(2)/25))/(LN(2)/25)*Calculateur!BL154*Calculateur!BN154*VLOOKUP('Données projet'!$B$11,Paramètres!$A$1:$I$89,3,0)*0.475*44/12</f>
        <v>9.836688250527672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12.537222621430889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3.177547114319168E-13</v>
      </c>
      <c r="P155" s="13">
        <f t="shared" si="141"/>
        <v>4.1725404435445377E-12</v>
      </c>
      <c r="Q155" s="20">
        <f t="shared" si="162"/>
        <v>7.820597394917325E-12</v>
      </c>
      <c r="R155" s="59">
        <f t="shared" si="109"/>
        <v>293.33333333334116</v>
      </c>
      <c r="S155" s="59">
        <f ca="1">AVERAGE(OFFSET($R$3,0,0,'Données projet'!$E$9+1,1))-AVERAGE(OFFSET($H$3,0,0,'Données projet'!$E$9+1,1))</f>
        <v>314.07001555875894</v>
      </c>
      <c r="T155" s="59">
        <f t="shared" si="142"/>
        <v>281.53154885904991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45.485086063942049</v>
      </c>
      <c r="AA155" s="21">
        <f>EXP(-LN(2)/25)*AA154+(1-EXP(-LN(2)/25))/(LN(2)/25)*Calculateur!V155*Calculateur!X155*VLOOKUP('Données projet'!$B$9,Paramètres!$A$1:$I$89,3,0)*0.475*44/12</f>
        <v>7.9020825050302692</v>
      </c>
      <c r="AB155" s="21">
        <f>EXP(-LN(2)/2)*AB154+(1-EXP(-LN(2)/2))/(LN(2)/2)*V155*Y155*VLOOKUP('Données projet'!$B$9,Paramètres!$A$1:$I$89,3,0)*0.475*44/12</f>
        <v>3.4335937163095836E-11</v>
      </c>
      <c r="AC155" s="22">
        <f t="shared" si="163"/>
        <v>53.387168569006654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1.7053025658242404E-13</v>
      </c>
      <c r="AJ155" s="13">
        <f>AI155*VLOOKUP('Données projet'!$B$10,Paramètres!$A$1:$I$89,3,0)*VLOOKUP('Données projet'!$B$10,Paramètres!$A$1:$I$89,5,0)</f>
        <v>7.5374373409431432E-14</v>
      </c>
      <c r="AK155" s="13">
        <f t="shared" si="164"/>
        <v>1.1702184453493216E-12</v>
      </c>
      <c r="AL155" s="20">
        <f t="shared" si="165"/>
        <v>2.1694074926714947E-12</v>
      </c>
      <c r="AM155" s="59">
        <f t="shared" si="113"/>
        <v>293.33333333333547</v>
      </c>
      <c r="AN155" s="59">
        <f ca="1">AVERAGE(OFFSET($AM$3,0,0,'Données projet'!$E$10+1,1))-AVERAGE(OFFSET($H$3,0,0,'Données projet'!$E$10+1,1))</f>
        <v>218.3918302549892</v>
      </c>
      <c r="AO155" s="59">
        <f t="shared" si="144"/>
        <v>102.61932145411976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71.594730290181417</v>
      </c>
      <c r="AV155" s="21">
        <f>EXP(-LN(2)/25)*AV154+(1-EXP(-LN(2)/25))/(LN(2)/25)*Calculateur!AQ155*Calculateur!AS155*VLOOKUP('Données projet'!$B$10,Paramètres!$A$1:$I$89,3,0)*0.475*44/12</f>
        <v>17.781816578755162</v>
      </c>
      <c r="AW155" s="21">
        <f>EXP(-LN(2)/2)*AW154+(1-EXP(-LN(2)/2))/(LN(2)/2)*AQ155*AT155*VLOOKUP('Données projet'!$B$10,Paramètres!$A$1:$I$89,3,0)*0.475*44/12</f>
        <v>7.4964364522212207E-4</v>
      </c>
      <c r="AX155" s="21">
        <f t="shared" si="166"/>
        <v>89.377296512581793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112.66486935566058</v>
      </c>
      <c r="BJ155" s="59">
        <f t="shared" si="146"/>
        <v>110.84860075828624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2.6475785390531268</v>
      </c>
      <c r="BQ155" s="21">
        <f>EXP(-LN(2)/25)*BQ154+(1-EXP(-LN(2)/25))/(LN(2)/25)*Calculateur!BL155*Calculateur!BN155*VLOOKUP('Données projet'!$B$11,Paramètres!$A$1:$I$89,3,0)*0.475*44/12</f>
        <v>9.5677034930280396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12.215282032081166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3.177547114319168E-13</v>
      </c>
      <c r="P156" s="13">
        <f t="shared" si="141"/>
        <v>4.1725404435445377E-12</v>
      </c>
      <c r="Q156" s="20">
        <f t="shared" si="162"/>
        <v>7.820597394917325E-12</v>
      </c>
      <c r="R156" s="59">
        <f t="shared" si="109"/>
        <v>293.33333333334116</v>
      </c>
      <c r="S156" s="59">
        <f ca="1">AVERAGE(OFFSET($R$3,0,0,'Données projet'!$E$9+1,1))-AVERAGE(OFFSET($H$3,0,0,'Données projet'!$E$9+1,1))</f>
        <v>314.07001555875894</v>
      </c>
      <c r="T156" s="59">
        <f t="shared" si="142"/>
        <v>281.53154885904991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44.593151269391235</v>
      </c>
      <c r="AA156" s="21">
        <f>EXP(-LN(2)/25)*AA155+(1-EXP(-LN(2)/25))/(LN(2)/25)*Calculateur!V156*Calculateur!X156*VLOOKUP('Données projet'!$B$9,Paramètres!$A$1:$I$89,3,0)*0.475*44/12</f>
        <v>7.685999643377758</v>
      </c>
      <c r="AB156" s="21">
        <f>EXP(-LN(2)/2)*AB155+(1-EXP(-LN(2)/2))/(LN(2)/2)*V156*Y156*VLOOKUP('Données projet'!$B$9,Paramètres!$A$1:$I$89,3,0)*0.475*44/12</f>
        <v>2.4279174006420253E-11</v>
      </c>
      <c r="AC156" s="22">
        <f t="shared" si="163"/>
        <v>52.27915091279327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1.7053025658242404E-13</v>
      </c>
      <c r="AJ156" s="13">
        <f>AI156*VLOOKUP('Données projet'!$B$10,Paramètres!$A$1:$I$89,3,0)*VLOOKUP('Données projet'!$B$10,Paramètres!$A$1:$I$89,5,0)</f>
        <v>7.5374373409431432E-14</v>
      </c>
      <c r="AK156" s="13">
        <f t="shared" si="164"/>
        <v>1.1702184453493216E-12</v>
      </c>
      <c r="AL156" s="20">
        <f t="shared" si="165"/>
        <v>2.1694074926714947E-12</v>
      </c>
      <c r="AM156" s="59">
        <f t="shared" si="113"/>
        <v>293.33333333333547</v>
      </c>
      <c r="AN156" s="59">
        <f ca="1">AVERAGE(OFFSET($AM$3,0,0,'Données projet'!$E$10+1,1))-AVERAGE(OFFSET($H$3,0,0,'Données projet'!$E$10+1,1))</f>
        <v>218.3918302549892</v>
      </c>
      <c r="AO156" s="59">
        <f t="shared" si="144"/>
        <v>102.61932145411976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70.190801297664535</v>
      </c>
      <c r="AV156" s="21">
        <f>EXP(-LN(2)/25)*AV155+(1-EXP(-LN(2)/25))/(LN(2)/25)*Calculateur!AQ156*Calculateur!AS156*VLOOKUP('Données projet'!$B$10,Paramètres!$A$1:$I$89,3,0)*0.475*44/12</f>
        <v>17.295571869304009</v>
      </c>
      <c r="AW156" s="21">
        <f>EXP(-LN(2)/2)*AW155+(1-EXP(-LN(2)/2))/(LN(2)/2)*AQ156*AT156*VLOOKUP('Données projet'!$B$10,Paramètres!$A$1:$I$89,3,0)*0.475*44/12</f>
        <v>5.3007810500996493E-4</v>
      </c>
      <c r="AX156" s="21">
        <f t="shared" si="166"/>
        <v>87.486903245073563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112.66486935566058</v>
      </c>
      <c r="BJ156" s="59">
        <f t="shared" si="146"/>
        <v>110.84860075828624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2.5956611387657493</v>
      </c>
      <c r="BQ156" s="21">
        <f>EXP(-LN(2)/25)*BQ155+(1-EXP(-LN(2)/25))/(LN(2)/25)*Calculateur!BL156*Calculateur!BN156*VLOOKUP('Données projet'!$B$11,Paramètres!$A$1:$I$89,3,0)*0.475*44/12</f>
        <v>9.3060741378675278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11.901735276633277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3.177547114319168E-13</v>
      </c>
      <c r="P157" s="13">
        <f t="shared" si="141"/>
        <v>4.1725404435445377E-12</v>
      </c>
      <c r="Q157" s="20">
        <f t="shared" si="162"/>
        <v>7.820597394917325E-12</v>
      </c>
      <c r="R157" s="59">
        <f t="shared" si="109"/>
        <v>293.33333333334116</v>
      </c>
      <c r="S157" s="59">
        <f ca="1">AVERAGE(OFFSET($R$3,0,0,'Données projet'!$E$9+1,1))-AVERAGE(OFFSET($H$3,0,0,'Données projet'!$E$9+1,1))</f>
        <v>314.07001555875894</v>
      </c>
      <c r="T157" s="59">
        <f t="shared" si="142"/>
        <v>281.53154885904991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43.718706772135057</v>
      </c>
      <c r="AA157" s="21">
        <f>EXP(-LN(2)/25)*AA156+(1-EXP(-LN(2)/25))/(LN(2)/25)*Calculateur!V157*Calculateur!X157*VLOOKUP('Données projet'!$B$9,Paramètres!$A$1:$I$89,3,0)*0.475*44/12</f>
        <v>7.4758255789404382</v>
      </c>
      <c r="AB157" s="21">
        <f>EXP(-LN(2)/2)*AB156+(1-EXP(-LN(2)/2))/(LN(2)/2)*V157*Y157*VLOOKUP('Données projet'!$B$9,Paramètres!$A$1:$I$89,3,0)*0.475*44/12</f>
        <v>1.7167968581547918E-11</v>
      </c>
      <c r="AC157" s="22">
        <f t="shared" si="163"/>
        <v>51.194532351092661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1.7053025658242404E-13</v>
      </c>
      <c r="AJ157" s="13">
        <f>AI157*VLOOKUP('Données projet'!$B$10,Paramètres!$A$1:$I$89,3,0)*VLOOKUP('Données projet'!$B$10,Paramètres!$A$1:$I$89,5,0)</f>
        <v>7.5374373409431432E-14</v>
      </c>
      <c r="AK157" s="13">
        <f t="shared" si="164"/>
        <v>1.1702184453493216E-12</v>
      </c>
      <c r="AL157" s="20">
        <f t="shared" si="165"/>
        <v>2.1694074926714947E-12</v>
      </c>
      <c r="AM157" s="59">
        <f t="shared" si="113"/>
        <v>293.33333333333547</v>
      </c>
      <c r="AN157" s="59">
        <f ca="1">AVERAGE(OFFSET($AM$3,0,0,'Données projet'!$E$10+1,1))-AVERAGE(OFFSET($H$3,0,0,'Données projet'!$E$10+1,1))</f>
        <v>218.3918302549892</v>
      </c>
      <c r="AO157" s="59">
        <f t="shared" si="144"/>
        <v>102.61932145411976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68.814402496378776</v>
      </c>
      <c r="AV157" s="21">
        <f>EXP(-LN(2)/25)*AV156+(1-EXP(-LN(2)/25))/(LN(2)/25)*Calculateur!AQ157*Calculateur!AS157*VLOOKUP('Données projet'!$B$10,Paramètres!$A$1:$I$89,3,0)*0.475*44/12</f>
        <v>16.822623547003296</v>
      </c>
      <c r="AW157" s="21">
        <f>EXP(-LN(2)/2)*AW156+(1-EXP(-LN(2)/2))/(LN(2)/2)*AQ157*AT157*VLOOKUP('Données projet'!$B$10,Paramètres!$A$1:$I$89,3,0)*0.475*44/12</f>
        <v>3.7482182261106104E-4</v>
      </c>
      <c r="AX157" s="21">
        <f t="shared" si="166"/>
        <v>85.637400865204683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112.66486935566058</v>
      </c>
      <c r="BJ157" s="59">
        <f t="shared" si="146"/>
        <v>110.84860075828624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2.5447618070315201</v>
      </c>
      <c r="BQ157" s="21">
        <f>EXP(-LN(2)/25)*BQ156+(1-EXP(-LN(2)/25))/(LN(2)/25)*Calculateur!BL157*Calculateur!BN157*VLOOKUP('Données projet'!$B$11,Paramètres!$A$1:$I$89,3,0)*0.475*44/12</f>
        <v>9.0515990511823698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11.59636085821389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3.177547114319168E-13</v>
      </c>
      <c r="P158" s="13">
        <f t="shared" si="141"/>
        <v>4.1725404435445377E-12</v>
      </c>
      <c r="Q158" s="20">
        <f t="shared" si="162"/>
        <v>7.820597394917325E-12</v>
      </c>
      <c r="R158" s="59">
        <f t="shared" si="109"/>
        <v>293.33333333334116</v>
      </c>
      <c r="S158" s="59">
        <f ca="1">AVERAGE(OFFSET($R$3,0,0,'Données projet'!$E$9+1,1))-AVERAGE(OFFSET($H$3,0,0,'Données projet'!$E$9+1,1))</f>
        <v>314.07001555875894</v>
      </c>
      <c r="T158" s="59">
        <f t="shared" si="142"/>
        <v>281.53154885904991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42.861409598111592</v>
      </c>
      <c r="AA158" s="21">
        <f>EXP(-LN(2)/25)*AA157+(1-EXP(-LN(2)/25))/(LN(2)/25)*Calculateur!V158*Calculateur!X158*VLOOKUP('Données projet'!$B$9,Paramètres!$A$1:$I$89,3,0)*0.475*44/12</f>
        <v>7.2713987353477307</v>
      </c>
      <c r="AB158" s="21">
        <f>EXP(-LN(2)/2)*AB157+(1-EXP(-LN(2)/2))/(LN(2)/2)*V158*Y158*VLOOKUP('Données projet'!$B$9,Paramètres!$A$1:$I$89,3,0)*0.475*44/12</f>
        <v>1.2139587003210127E-11</v>
      </c>
      <c r="AC158" s="22">
        <f t="shared" si="163"/>
        <v>50.132808333471459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1.7053025658242404E-13</v>
      </c>
      <c r="AJ158" s="13">
        <f>AI158*VLOOKUP('Données projet'!$B$10,Paramètres!$A$1:$I$89,3,0)*VLOOKUP('Données projet'!$B$10,Paramètres!$A$1:$I$89,5,0)</f>
        <v>7.5374373409431432E-14</v>
      </c>
      <c r="AK158" s="13">
        <f t="shared" si="164"/>
        <v>1.1702184453493216E-12</v>
      </c>
      <c r="AL158" s="20">
        <f t="shared" si="165"/>
        <v>2.1694074926714947E-12</v>
      </c>
      <c r="AM158" s="59">
        <f t="shared" si="113"/>
        <v>293.33333333333547</v>
      </c>
      <c r="AN158" s="59">
        <f ca="1">AVERAGE(OFFSET($AM$3,0,0,'Données projet'!$E$10+1,1))-AVERAGE(OFFSET($H$3,0,0,'Données projet'!$E$10+1,1))</f>
        <v>218.3918302549892</v>
      </c>
      <c r="AO158" s="59">
        <f t="shared" si="144"/>
        <v>102.61932145411976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67.46499403606586</v>
      </c>
      <c r="AV158" s="21">
        <f>EXP(-LN(2)/25)*AV157+(1-EXP(-LN(2)/25))/(LN(2)/25)*Calculateur!AQ158*Calculateur!AS158*VLOOKUP('Données projet'!$B$10,Paramètres!$A$1:$I$89,3,0)*0.475*44/12</f>
        <v>16.362608021447166</v>
      </c>
      <c r="AW158" s="21">
        <f>EXP(-LN(2)/2)*AW157+(1-EXP(-LN(2)/2))/(LN(2)/2)*AQ158*AT158*VLOOKUP('Données projet'!$B$10,Paramètres!$A$1:$I$89,3,0)*0.475*44/12</f>
        <v>2.6503905250498247E-4</v>
      </c>
      <c r="AX158" s="21">
        <f t="shared" si="166"/>
        <v>83.827867096565527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112.66486935566058</v>
      </c>
      <c r="BJ158" s="59">
        <f t="shared" si="146"/>
        <v>110.84860075828624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2.4948605801470722</v>
      </c>
      <c r="BQ158" s="21">
        <f>EXP(-LN(2)/25)*BQ157+(1-EXP(-LN(2)/25))/(LN(2)/25)*Calculateur!BL158*Calculateur!BN158*VLOOKUP('Données projet'!$B$11,Paramètres!$A$1:$I$89,3,0)*0.475*44/12</f>
        <v>8.8040825991248823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11.298943179271955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3.177547114319168E-13</v>
      </c>
      <c r="P159" s="13">
        <f t="shared" si="141"/>
        <v>4.1725404435445377E-12</v>
      </c>
      <c r="Q159" s="20">
        <f t="shared" si="162"/>
        <v>7.820597394917325E-12</v>
      </c>
      <c r="R159" s="59">
        <f t="shared" si="109"/>
        <v>293.33333333334116</v>
      </c>
      <c r="S159" s="59">
        <f ca="1">AVERAGE(OFFSET($R$3,0,0,'Données projet'!$E$9+1,1))-AVERAGE(OFFSET($H$3,0,0,'Données projet'!$E$9+1,1))</f>
        <v>314.07001555875894</v>
      </c>
      <c r="T159" s="59">
        <f t="shared" si="142"/>
        <v>281.53154885904991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42.020923498771083</v>
      </c>
      <c r="AA159" s="21">
        <f>EXP(-LN(2)/25)*AA158+(1-EXP(-LN(2)/25))/(LN(2)/25)*Calculateur!V159*Calculateur!X159*VLOOKUP('Données projet'!$B$9,Paramètres!$A$1:$I$89,3,0)*0.475*44/12</f>
        <v>7.0725619545434064</v>
      </c>
      <c r="AB159" s="21">
        <f>EXP(-LN(2)/2)*AB158+(1-EXP(-LN(2)/2))/(LN(2)/2)*V159*Y159*VLOOKUP('Données projet'!$B$9,Paramètres!$A$1:$I$89,3,0)*0.475*44/12</f>
        <v>8.583984290773959E-12</v>
      </c>
      <c r="AC159" s="22">
        <f t="shared" si="163"/>
        <v>49.093485453323069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1.7053025658242404E-13</v>
      </c>
      <c r="AJ159" s="13">
        <f>AI159*VLOOKUP('Données projet'!$B$10,Paramètres!$A$1:$I$89,3,0)*VLOOKUP('Données projet'!$B$10,Paramètres!$A$1:$I$89,5,0)</f>
        <v>7.5374373409431432E-14</v>
      </c>
      <c r="AK159" s="13">
        <f t="shared" si="164"/>
        <v>1.1702184453493216E-12</v>
      </c>
      <c r="AL159" s="20">
        <f t="shared" si="165"/>
        <v>2.1694074926714947E-12</v>
      </c>
      <c r="AM159" s="59">
        <f t="shared" si="113"/>
        <v>293.33333333333547</v>
      </c>
      <c r="AN159" s="59">
        <f ca="1">AVERAGE(OFFSET($AM$3,0,0,'Données projet'!$E$10+1,1))-AVERAGE(OFFSET($H$3,0,0,'Données projet'!$E$10+1,1))</f>
        <v>218.3918302549892</v>
      </c>
      <c r="AO159" s="59">
        <f t="shared" si="144"/>
        <v>102.61932145411976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66.142046652601792</v>
      </c>
      <c r="AV159" s="21">
        <f>EXP(-LN(2)/25)*AV158+(1-EXP(-LN(2)/25))/(LN(2)/25)*Calculateur!AQ159*Calculateur!AS159*VLOOKUP('Données projet'!$B$10,Paramètres!$A$1:$I$89,3,0)*0.475*44/12</f>
        <v>15.915171644628535</v>
      </c>
      <c r="AW159" s="21">
        <f>EXP(-LN(2)/2)*AW158+(1-EXP(-LN(2)/2))/(LN(2)/2)*AQ159*AT159*VLOOKUP('Données projet'!$B$10,Paramètres!$A$1:$I$89,3,0)*0.475*44/12</f>
        <v>1.8741091130553052E-4</v>
      </c>
      <c r="AX159" s="21">
        <f t="shared" si="166"/>
        <v>82.05740570814163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112.66486935566058</v>
      </c>
      <c r="BJ159" s="59">
        <f t="shared" si="146"/>
        <v>110.84860075828624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2.4459378858850851</v>
      </c>
      <c r="BQ159" s="21">
        <f>EXP(-LN(2)/25)*BQ158+(1-EXP(-LN(2)/25))/(LN(2)/25)*Calculateur!BL159*Calculateur!BN159*VLOOKUP('Données projet'!$B$11,Paramètres!$A$1:$I$89,3,0)*0.475*44/12</f>
        <v>8.563334497465231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11.009272383350316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3.177547114319168E-13</v>
      </c>
      <c r="P160" s="13">
        <f t="shared" si="141"/>
        <v>4.1725404435445377E-12</v>
      </c>
      <c r="Q160" s="20">
        <f t="shared" si="162"/>
        <v>7.820597394917325E-12</v>
      </c>
      <c r="R160" s="59">
        <f t="shared" si="109"/>
        <v>293.33333333334116</v>
      </c>
      <c r="S160" s="59">
        <f ca="1">AVERAGE(OFFSET($R$3,0,0,'Données projet'!$E$9+1,1))-AVERAGE(OFFSET($H$3,0,0,'Données projet'!$E$9+1,1))</f>
        <v>314.07001555875894</v>
      </c>
      <c r="T160" s="59">
        <f t="shared" si="142"/>
        <v>281.53154885904991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41.196918819192739</v>
      </c>
      <c r="AA160" s="21">
        <f>EXP(-LN(2)/25)*AA159+(1-EXP(-LN(2)/25))/(LN(2)/25)*Calculateur!V160*Calculateur!X160*VLOOKUP('Données projet'!$B$9,Paramètres!$A$1:$I$89,3,0)*0.475*44/12</f>
        <v>6.8791623759665486</v>
      </c>
      <c r="AB160" s="21">
        <f>EXP(-LN(2)/2)*AB159+(1-EXP(-LN(2)/2))/(LN(2)/2)*V160*Y160*VLOOKUP('Données projet'!$B$9,Paramètres!$A$1:$I$89,3,0)*0.475*44/12</f>
        <v>6.0697935016050633E-12</v>
      </c>
      <c r="AC160" s="22">
        <f t="shared" si="163"/>
        <v>48.076081195165358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1.7053025658242404E-13</v>
      </c>
      <c r="AJ160" s="13">
        <f>AI160*VLOOKUP('Données projet'!$B$10,Paramètres!$A$1:$I$89,3,0)*VLOOKUP('Données projet'!$B$10,Paramètres!$A$1:$I$89,5,0)</f>
        <v>7.5374373409431432E-14</v>
      </c>
      <c r="AK160" s="13">
        <f t="shared" si="164"/>
        <v>1.1702184453493216E-12</v>
      </c>
      <c r="AL160" s="20">
        <f t="shared" si="165"/>
        <v>2.1694074926714947E-12</v>
      </c>
      <c r="AM160" s="59">
        <f t="shared" si="113"/>
        <v>293.33333333333547</v>
      </c>
      <c r="AN160" s="59">
        <f ca="1">AVERAGE(OFFSET($AM$3,0,0,'Données projet'!$E$10+1,1))-AVERAGE(OFFSET($H$3,0,0,'Données projet'!$E$10+1,1))</f>
        <v>218.3918302549892</v>
      </c>
      <c r="AO160" s="59">
        <f t="shared" si="144"/>
        <v>102.61932145411976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64.84504146040922</v>
      </c>
      <c r="AV160" s="21">
        <f>EXP(-LN(2)/25)*AV159+(1-EXP(-LN(2)/25))/(LN(2)/25)*Calculateur!AQ160*Calculateur!AS160*VLOOKUP('Données projet'!$B$10,Paramètres!$A$1:$I$89,3,0)*0.475*44/12</f>
        <v>15.479970439063665</v>
      </c>
      <c r="AW160" s="21">
        <f>EXP(-LN(2)/2)*AW159+(1-EXP(-LN(2)/2))/(LN(2)/2)*AQ160*AT160*VLOOKUP('Données projet'!$B$10,Paramètres!$A$1:$I$89,3,0)*0.475*44/12</f>
        <v>1.3251952625249123E-4</v>
      </c>
      <c r="AX160" s="21">
        <f t="shared" si="166"/>
        <v>80.32514441899913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112.66486935566058</v>
      </c>
      <c r="BJ160" s="59">
        <f t="shared" si="146"/>
        <v>110.84860075828624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2.3979745358176787</v>
      </c>
      <c r="BQ160" s="21">
        <f>EXP(-LN(2)/25)*BQ159+(1-EXP(-LN(2)/25))/(LN(2)/25)*Calculateur!BL160*Calculateur!BN160*VLOOKUP('Données projet'!$B$11,Paramètres!$A$1:$I$89,3,0)*0.475*44/12</f>
        <v>8.3291696653058551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10.727144201123533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3.177547114319168E-13</v>
      </c>
      <c r="P161" s="13">
        <f t="shared" si="141"/>
        <v>4.1725404435445377E-12</v>
      </c>
      <c r="Q161" s="20">
        <f t="shared" si="162"/>
        <v>7.820597394917325E-12</v>
      </c>
      <c r="R161" s="59">
        <f t="shared" si="109"/>
        <v>293.33333333334116</v>
      </c>
      <c r="S161" s="59">
        <f ca="1">AVERAGE(OFFSET($R$3,0,0,'Données projet'!$E$9+1,1))-AVERAGE(OFFSET($H$3,0,0,'Données projet'!$E$9+1,1))</f>
        <v>314.07001555875894</v>
      </c>
      <c r="T161" s="59">
        <f t="shared" si="142"/>
        <v>281.53154885904991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40.389072368787701</v>
      </c>
      <c r="AA161" s="21">
        <f>EXP(-LN(2)/25)*AA160+(1-EXP(-LN(2)/25))/(LN(2)/25)*Calculateur!V161*Calculateur!X161*VLOOKUP('Données projet'!$B$9,Paramètres!$A$1:$I$89,3,0)*0.475*44/12</f>
        <v>6.6910513190363163</v>
      </c>
      <c r="AB161" s="21">
        <f>EXP(-LN(2)/2)*AB160+(1-EXP(-LN(2)/2))/(LN(2)/2)*V161*Y161*VLOOKUP('Données projet'!$B$9,Paramètres!$A$1:$I$89,3,0)*0.475*44/12</f>
        <v>4.2919921453869795E-12</v>
      </c>
      <c r="AC161" s="22">
        <f t="shared" si="163"/>
        <v>47.080123687828312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1.7053025658242404E-13</v>
      </c>
      <c r="AJ161" s="13">
        <f>AI161*VLOOKUP('Données projet'!$B$10,Paramètres!$A$1:$I$89,3,0)*VLOOKUP('Données projet'!$B$10,Paramètres!$A$1:$I$89,5,0)</f>
        <v>7.5374373409431432E-14</v>
      </c>
      <c r="AK161" s="13">
        <f t="shared" si="164"/>
        <v>1.1702184453493216E-12</v>
      </c>
      <c r="AL161" s="20">
        <f t="shared" si="165"/>
        <v>2.1694074926714947E-12</v>
      </c>
      <c r="AM161" s="59">
        <f t="shared" si="113"/>
        <v>293.33333333333547</v>
      </c>
      <c r="AN161" s="59">
        <f ca="1">AVERAGE(OFFSET($AM$3,0,0,'Données projet'!$E$10+1,1))-AVERAGE(OFFSET($H$3,0,0,'Données projet'!$E$10+1,1))</f>
        <v>218.3918302549892</v>
      </c>
      <c r="AO161" s="59">
        <f t="shared" si="144"/>
        <v>102.61932145411976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63.573469748940497</v>
      </c>
      <c r="AV161" s="21">
        <f>EXP(-LN(2)/25)*AV160+(1-EXP(-LN(2)/25))/(LN(2)/25)*Calculateur!AQ161*Calculateur!AS161*VLOOKUP('Données projet'!$B$10,Paramètres!$A$1:$I$89,3,0)*0.475*44/12</f>
        <v>15.056669833351204</v>
      </c>
      <c r="AW161" s="21">
        <f>EXP(-LN(2)/2)*AW160+(1-EXP(-LN(2)/2))/(LN(2)/2)*AQ161*AT161*VLOOKUP('Données projet'!$B$10,Paramètres!$A$1:$I$89,3,0)*0.475*44/12</f>
        <v>9.3705455652765259E-5</v>
      </c>
      <c r="AX161" s="21">
        <f t="shared" si="166"/>
        <v>78.630233287747359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112.66486935566058</v>
      </c>
      <c r="BJ161" s="59">
        <f t="shared" si="146"/>
        <v>110.84860075828624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2.350951717790339</v>
      </c>
      <c r="BQ161" s="21">
        <f>EXP(-LN(2)/25)*BQ160+(1-EXP(-LN(2)/25))/(LN(2)/25)*Calculateur!BL161*Calculateur!BN161*VLOOKUP('Données projet'!$B$11,Paramètres!$A$1:$I$89,3,0)*0.475*44/12</f>
        <v>8.1014080827960697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10.452359800586409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3.177547114319168E-13</v>
      </c>
      <c r="P162" s="13">
        <f t="shared" si="141"/>
        <v>4.1725404435445377E-12</v>
      </c>
      <c r="Q162" s="20">
        <f t="shared" si="162"/>
        <v>7.820597394917325E-12</v>
      </c>
      <c r="R162" s="59">
        <f t="shared" si="109"/>
        <v>293.33333333334116</v>
      </c>
      <c r="S162" s="59">
        <f ca="1">AVERAGE(OFFSET($R$3,0,0,'Données projet'!$E$9+1,1))-AVERAGE(OFFSET($H$3,0,0,'Données projet'!$E$9+1,1))</f>
        <v>314.07001555875894</v>
      </c>
      <c r="T162" s="59">
        <f t="shared" si="142"/>
        <v>281.53154885904991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39.597067294537425</v>
      </c>
      <c r="AA162" s="21">
        <f>EXP(-LN(2)/25)*AA161+(1-EXP(-LN(2)/25))/(LN(2)/25)*Calculateur!V162*Calculateur!X162*VLOOKUP('Données projet'!$B$9,Paramètres!$A$1:$I$89,3,0)*0.475*44/12</f>
        <v>6.5080841688501723</v>
      </c>
      <c r="AB162" s="21">
        <f>EXP(-LN(2)/2)*AB161+(1-EXP(-LN(2)/2))/(LN(2)/2)*V162*Y162*VLOOKUP('Données projet'!$B$9,Paramètres!$A$1:$I$89,3,0)*0.475*44/12</f>
        <v>3.0348967508025317E-12</v>
      </c>
      <c r="AC162" s="22">
        <f t="shared" si="163"/>
        <v>46.105151463390634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1.7053025658242404E-13</v>
      </c>
      <c r="AJ162" s="13">
        <f>AI162*VLOOKUP('Données projet'!$B$10,Paramètres!$A$1:$I$89,3,0)*VLOOKUP('Données projet'!$B$10,Paramètres!$A$1:$I$89,5,0)</f>
        <v>7.5374373409431432E-14</v>
      </c>
      <c r="AK162" s="13">
        <f t="shared" si="164"/>
        <v>1.1702184453493216E-12</v>
      </c>
      <c r="AL162" s="20">
        <f t="shared" si="165"/>
        <v>2.1694074926714947E-12</v>
      </c>
      <c r="AM162" s="59">
        <f t="shared" si="113"/>
        <v>293.33333333333547</v>
      </c>
      <c r="AN162" s="59">
        <f ca="1">AVERAGE(OFFSET($AM$3,0,0,'Données projet'!$E$10+1,1))-AVERAGE(OFFSET($H$3,0,0,'Données projet'!$E$10+1,1))</f>
        <v>218.3918302549892</v>
      </c>
      <c r="AO162" s="59">
        <f t="shared" si="144"/>
        <v>102.61932145411976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62.326832783151509</v>
      </c>
      <c r="AV162" s="21">
        <f>EXP(-LN(2)/25)*AV161+(1-EXP(-LN(2)/25))/(LN(2)/25)*Calculateur!AQ162*Calculateur!AS162*VLOOKUP('Données projet'!$B$10,Paramètres!$A$1:$I$89,3,0)*0.475*44/12</f>
        <v>14.644944404962361</v>
      </c>
      <c r="AW162" s="21">
        <f>EXP(-LN(2)/2)*AW161+(1-EXP(-LN(2)/2))/(LN(2)/2)*AQ162*AT162*VLOOKUP('Données projet'!$B$10,Paramètres!$A$1:$I$89,3,0)*0.475*44/12</f>
        <v>6.6259763126245617E-5</v>
      </c>
      <c r="AX162" s="21">
        <f t="shared" si="166"/>
        <v>76.971843447877006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112.66486935566058</v>
      </c>
      <c r="BJ162" s="59">
        <f t="shared" si="146"/>
        <v>110.84860075828624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2.3048509885434285</v>
      </c>
      <c r="BQ162" s="21">
        <f>EXP(-LN(2)/25)*BQ161+(1-EXP(-LN(2)/25))/(LN(2)/25)*Calculateur!BL162*Calculateur!BN162*VLOOKUP('Données projet'!$B$11,Paramètres!$A$1:$I$89,3,0)*0.475*44/12</f>
        <v>7.8798746527374766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10.184725641280906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3.177547114319168E-13</v>
      </c>
      <c r="P163" s="13">
        <f t="shared" si="141"/>
        <v>4.1725404435445377E-12</v>
      </c>
      <c r="Q163" s="20">
        <f t="shared" si="162"/>
        <v>7.820597394917325E-12</v>
      </c>
      <c r="R163" s="59">
        <f t="shared" si="109"/>
        <v>293.33333333334116</v>
      </c>
      <c r="S163" s="59">
        <f ca="1">AVERAGE(OFFSET($R$3,0,0,'Données projet'!$E$9+1,1))-AVERAGE(OFFSET($H$3,0,0,'Données projet'!$E$9+1,1))</f>
        <v>314.07001555875894</v>
      </c>
      <c r="T163" s="59">
        <f t="shared" si="142"/>
        <v>281.53154885904991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38.820592956717803</v>
      </c>
      <c r="AA163" s="21">
        <f>EXP(-LN(2)/25)*AA162+(1-EXP(-LN(2)/25))/(LN(2)/25)*Calculateur!V163*Calculateur!X163*VLOOKUP('Données projet'!$B$9,Paramètres!$A$1:$I$89,3,0)*0.475*44/12</f>
        <v>6.3301202650076922</v>
      </c>
      <c r="AB163" s="21">
        <f>EXP(-LN(2)/2)*AB162+(1-EXP(-LN(2)/2))/(LN(2)/2)*V163*Y163*VLOOKUP('Données projet'!$B$9,Paramètres!$A$1:$I$89,3,0)*0.475*44/12</f>
        <v>2.1459960726934898E-12</v>
      </c>
      <c r="AC163" s="22">
        <f t="shared" si="163"/>
        <v>45.150713221727642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1.7053025658242404E-13</v>
      </c>
      <c r="AJ163" s="13">
        <f>AI163*VLOOKUP('Données projet'!$B$10,Paramètres!$A$1:$I$89,3,0)*VLOOKUP('Données projet'!$B$10,Paramètres!$A$1:$I$89,5,0)</f>
        <v>7.5374373409431432E-14</v>
      </c>
      <c r="AK163" s="13">
        <f t="shared" si="164"/>
        <v>1.1702184453493216E-12</v>
      </c>
      <c r="AL163" s="20">
        <f t="shared" si="165"/>
        <v>2.1694074926714947E-12</v>
      </c>
      <c r="AM163" s="59">
        <f t="shared" si="113"/>
        <v>293.33333333333547</v>
      </c>
      <c r="AN163" s="59">
        <f ca="1">AVERAGE(OFFSET($AM$3,0,0,'Données projet'!$E$10+1,1))-AVERAGE(OFFSET($H$3,0,0,'Données projet'!$E$10+1,1))</f>
        <v>218.3918302549892</v>
      </c>
      <c r="AO163" s="59">
        <f t="shared" si="144"/>
        <v>102.61932145411976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61.104641607888176</v>
      </c>
      <c r="AV163" s="21">
        <f>EXP(-LN(2)/25)*AV162+(1-EXP(-LN(2)/25))/(LN(2)/25)*Calculateur!AQ163*Calculateur!AS163*VLOOKUP('Données projet'!$B$10,Paramètres!$A$1:$I$89,3,0)*0.475*44/12</f>
        <v>14.244477630064511</v>
      </c>
      <c r="AW163" s="21">
        <f>EXP(-LN(2)/2)*AW162+(1-EXP(-LN(2)/2))/(LN(2)/2)*AQ163*AT163*VLOOKUP('Données projet'!$B$10,Paramètres!$A$1:$I$89,3,0)*0.475*44/12</f>
        <v>4.685272782638263E-5</v>
      </c>
      <c r="AX163" s="21">
        <f t="shared" si="166"/>
        <v>75.349166090680512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112.66486935566058</v>
      </c>
      <c r="BJ163" s="59">
        <f t="shared" si="146"/>
        <v>110.84860075828624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2.2596542664783819</v>
      </c>
      <c r="BQ163" s="21">
        <f>EXP(-LN(2)/25)*BQ162+(1-EXP(-LN(2)/25))/(LN(2)/25)*Calculateur!BL163*Calculateur!BN163*VLOOKUP('Données projet'!$B$11,Paramètres!$A$1:$I$89,3,0)*0.475*44/12</f>
        <v>7.6643990659737717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9.9240533324521536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3.177547114319168E-13</v>
      </c>
      <c r="P164" s="13">
        <f t="shared" si="141"/>
        <v>4.1725404435445377E-12</v>
      </c>
      <c r="Q164" s="20">
        <f t="shared" si="162"/>
        <v>7.820597394917325E-12</v>
      </c>
      <c r="R164" s="59">
        <f t="shared" si="109"/>
        <v>293.33333333334116</v>
      </c>
      <c r="S164" s="59">
        <f ca="1">AVERAGE(OFFSET($R$3,0,0,'Données projet'!$E$9+1,1))-AVERAGE(OFFSET($H$3,0,0,'Données projet'!$E$9+1,1))</f>
        <v>314.07001555875894</v>
      </c>
      <c r="T164" s="59">
        <f t="shared" si="142"/>
        <v>281.53154885904991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38.059344807060242</v>
      </c>
      <c r="AA164" s="21">
        <f>EXP(-LN(2)/25)*AA163+(1-EXP(-LN(2)/25))/(LN(2)/25)*Calculateur!V164*Calculateur!X164*VLOOKUP('Données projet'!$B$9,Paramètres!$A$1:$I$89,3,0)*0.475*44/12</f>
        <v>6.1570227934744999</v>
      </c>
      <c r="AB164" s="21">
        <f>EXP(-LN(2)/2)*AB163+(1-EXP(-LN(2)/2))/(LN(2)/2)*V164*Y164*VLOOKUP('Données projet'!$B$9,Paramètres!$A$1:$I$89,3,0)*0.475*44/12</f>
        <v>1.5174483754012658E-12</v>
      </c>
      <c r="AC164" s="22">
        <f t="shared" si="163"/>
        <v>44.216367600536259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1.7053025658242404E-13</v>
      </c>
      <c r="AJ164" s="13">
        <f>AI164*VLOOKUP('Données projet'!$B$10,Paramètres!$A$1:$I$89,3,0)*VLOOKUP('Données projet'!$B$10,Paramètres!$A$1:$I$89,5,0)</f>
        <v>7.5374373409431432E-14</v>
      </c>
      <c r="AK164" s="13">
        <f t="shared" si="164"/>
        <v>1.1702184453493216E-12</v>
      </c>
      <c r="AL164" s="20">
        <f t="shared" si="165"/>
        <v>2.1694074926714947E-12</v>
      </c>
      <c r="AM164" s="59">
        <f t="shared" si="113"/>
        <v>293.33333333333547</v>
      </c>
      <c r="AN164" s="59">
        <f ca="1">AVERAGE(OFFSET($AM$3,0,0,'Données projet'!$E$10+1,1))-AVERAGE(OFFSET($H$3,0,0,'Données projet'!$E$10+1,1))</f>
        <v>218.3918302549892</v>
      </c>
      <c r="AO164" s="59">
        <f t="shared" si="144"/>
        <v>102.61932145411976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59.906416856108748</v>
      </c>
      <c r="AV164" s="21">
        <f>EXP(-LN(2)/25)*AV163+(1-EXP(-LN(2)/25))/(LN(2)/25)*Calculateur!AQ164*Calculateur!AS164*VLOOKUP('Données projet'!$B$10,Paramètres!$A$1:$I$89,3,0)*0.475*44/12</f>
        <v>13.854961640185874</v>
      </c>
      <c r="AW164" s="21">
        <f>EXP(-LN(2)/2)*AW163+(1-EXP(-LN(2)/2))/(LN(2)/2)*AQ164*AT164*VLOOKUP('Données projet'!$B$10,Paramètres!$A$1:$I$89,3,0)*0.475*44/12</f>
        <v>3.3129881563122808E-5</v>
      </c>
      <c r="AX164" s="21">
        <f t="shared" si="166"/>
        <v>73.761411626176184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112.66486935566058</v>
      </c>
      <c r="BJ164" s="59">
        <f t="shared" si="146"/>
        <v>110.84860075828624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2.215343824565752</v>
      </c>
      <c r="BQ164" s="21">
        <f>EXP(-LN(2)/25)*BQ163+(1-EXP(-LN(2)/25))/(LN(2)/25)*Calculateur!BL164*Calculateur!BN164*VLOOKUP('Données projet'!$B$11,Paramètres!$A$1:$I$89,3,0)*0.475*44/12</f>
        <v>7.454815670461489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9.6701594950272405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3.177547114319168E-13</v>
      </c>
      <c r="P165" s="13">
        <f t="shared" si="141"/>
        <v>4.1725404435445377E-12</v>
      </c>
      <c r="Q165" s="20">
        <f t="shared" si="162"/>
        <v>7.820597394917325E-12</v>
      </c>
      <c r="R165" s="59">
        <f t="shared" si="109"/>
        <v>293.33333333334116</v>
      </c>
      <c r="S165" s="59">
        <f ca="1">AVERAGE(OFFSET($R$3,0,0,'Données projet'!$E$9+1,1))-AVERAGE(OFFSET($H$3,0,0,'Données projet'!$E$9+1,1))</f>
        <v>314.07001555875894</v>
      </c>
      <c r="T165" s="59">
        <f t="shared" si="142"/>
        <v>281.53154885904991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37.313024269301941</v>
      </c>
      <c r="AA165" s="21">
        <f>EXP(-LN(2)/25)*AA164+(1-EXP(-LN(2)/25))/(LN(2)/25)*Calculateur!V165*Calculateur!X165*VLOOKUP('Données projet'!$B$9,Paramètres!$A$1:$I$89,3,0)*0.475*44/12</f>
        <v>5.9886586814031828</v>
      </c>
      <c r="AB165" s="21">
        <f>EXP(-LN(2)/2)*AB164+(1-EXP(-LN(2)/2))/(LN(2)/2)*V165*Y165*VLOOKUP('Données projet'!$B$9,Paramètres!$A$1:$I$89,3,0)*0.475*44/12</f>
        <v>1.0729980363467449E-12</v>
      </c>
      <c r="AC165" s="22">
        <f t="shared" si="163"/>
        <v>43.301682950706194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1.7053025658242404E-13</v>
      </c>
      <c r="AJ165" s="13">
        <f>AI165*VLOOKUP('Données projet'!$B$10,Paramètres!$A$1:$I$89,3,0)*VLOOKUP('Données projet'!$B$10,Paramètres!$A$1:$I$89,5,0)</f>
        <v>7.5374373409431432E-14</v>
      </c>
      <c r="AK165" s="13">
        <f t="shared" si="164"/>
        <v>1.1702184453493216E-12</v>
      </c>
      <c r="AL165" s="20">
        <f t="shared" si="165"/>
        <v>2.1694074926714947E-12</v>
      </c>
      <c r="AM165" s="59">
        <f t="shared" si="113"/>
        <v>293.33333333333547</v>
      </c>
      <c r="AN165" s="59">
        <f ca="1">AVERAGE(OFFSET($AM$3,0,0,'Données projet'!$E$10+1,1))-AVERAGE(OFFSET($H$3,0,0,'Données projet'!$E$10+1,1))</f>
        <v>218.3918302549892</v>
      </c>
      <c r="AO165" s="59">
        <f t="shared" si="144"/>
        <v>102.61932145411976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58.731688560866779</v>
      </c>
      <c r="AV165" s="21">
        <f>EXP(-LN(2)/25)*AV164+(1-EXP(-LN(2)/25))/(LN(2)/25)*Calculateur!AQ165*Calculateur!AS165*VLOOKUP('Données projet'!$B$10,Paramètres!$A$1:$I$89,3,0)*0.475*44/12</f>
        <v>13.476096985534223</v>
      </c>
      <c r="AW165" s="21">
        <f>EXP(-LN(2)/2)*AW164+(1-EXP(-LN(2)/2))/(LN(2)/2)*AQ165*AT165*VLOOKUP('Données projet'!$B$10,Paramètres!$A$1:$I$89,3,0)*0.475*44/12</f>
        <v>2.3426363913191315E-5</v>
      </c>
      <c r="AX165" s="21">
        <f t="shared" si="166"/>
        <v>72.207808972764909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112.66486935566058</v>
      </c>
      <c r="BJ165" s="59">
        <f t="shared" si="146"/>
        <v>110.84860075828624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2.171902283392328</v>
      </c>
      <c r="BQ165" s="21">
        <f>EXP(-LN(2)/25)*BQ164+(1-EXP(-LN(2)/25))/(LN(2)/25)*Calculateur!BL165*Calculateur!BN165*VLOOKUP('Données projet'!$B$11,Paramètres!$A$1:$I$89,3,0)*0.475*44/12</f>
        <v>7.2509633439210015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9.42286562731333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3.177547114319168E-13</v>
      </c>
      <c r="P166" s="13">
        <f t="shared" si="141"/>
        <v>4.1725404435445377E-12</v>
      </c>
      <c r="Q166" s="20">
        <f t="shared" si="162"/>
        <v>7.820597394917325E-12</v>
      </c>
      <c r="R166" s="59">
        <f t="shared" si="109"/>
        <v>293.33333333334116</v>
      </c>
      <c r="S166" s="59">
        <f ca="1">AVERAGE(OFFSET($R$3,0,0,'Données projet'!$E$9+1,1))-AVERAGE(OFFSET($H$3,0,0,'Données projet'!$E$9+1,1))</f>
        <v>314.07001555875894</v>
      </c>
      <c r="T166" s="59">
        <f t="shared" si="142"/>
        <v>281.53154885904991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36.581338622078498</v>
      </c>
      <c r="AA166" s="21">
        <f>EXP(-LN(2)/25)*AA165+(1-EXP(-LN(2)/25))/(LN(2)/25)*Calculateur!V166*Calculateur!X166*VLOOKUP('Données projet'!$B$9,Paramètres!$A$1:$I$89,3,0)*0.475*44/12</f>
        <v>5.8248984948303404</v>
      </c>
      <c r="AB166" s="21">
        <f>EXP(-LN(2)/2)*AB165+(1-EXP(-LN(2)/2))/(LN(2)/2)*V166*Y166*VLOOKUP('Données projet'!$B$9,Paramètres!$A$1:$I$89,3,0)*0.475*44/12</f>
        <v>7.5872418770063292E-13</v>
      </c>
      <c r="AC166" s="22">
        <f t="shared" si="163"/>
        <v>42.406237116909601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1.7053025658242404E-13</v>
      </c>
      <c r="AJ166" s="13">
        <f>AI166*VLOOKUP('Données projet'!$B$10,Paramètres!$A$1:$I$89,3,0)*VLOOKUP('Données projet'!$B$10,Paramètres!$A$1:$I$89,5,0)</f>
        <v>7.5374373409431432E-14</v>
      </c>
      <c r="AK166" s="13">
        <f t="shared" si="164"/>
        <v>1.1702184453493216E-12</v>
      </c>
      <c r="AL166" s="20">
        <f t="shared" si="165"/>
        <v>2.1694074926714947E-12</v>
      </c>
      <c r="AM166" s="59">
        <f t="shared" si="113"/>
        <v>293.33333333333547</v>
      </c>
      <c r="AN166" s="59">
        <f ca="1">AVERAGE(OFFSET($AM$3,0,0,'Données projet'!$E$10+1,1))-AVERAGE(OFFSET($H$3,0,0,'Données projet'!$E$10+1,1))</f>
        <v>218.3918302549892</v>
      </c>
      <c r="AO166" s="59">
        <f t="shared" si="144"/>
        <v>102.61932145411976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57.579995970980995</v>
      </c>
      <c r="AV166" s="21">
        <f>EXP(-LN(2)/25)*AV165+(1-EXP(-LN(2)/25))/(LN(2)/25)*Calculateur!AQ166*Calculateur!AS166*VLOOKUP('Données projet'!$B$10,Paramètres!$A$1:$I$89,3,0)*0.475*44/12</f>
        <v>13.107592404787649</v>
      </c>
      <c r="AW166" s="21">
        <f>EXP(-LN(2)/2)*AW165+(1-EXP(-LN(2)/2))/(LN(2)/2)*AQ166*AT166*VLOOKUP('Données projet'!$B$10,Paramètres!$A$1:$I$89,3,0)*0.475*44/12</f>
        <v>1.6564940781561404E-5</v>
      </c>
      <c r="AX166" s="21">
        <f t="shared" si="166"/>
        <v>70.68760494070942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112.66486935566058</v>
      </c>
      <c r="BJ166" s="59">
        <f t="shared" si="146"/>
        <v>110.84860075828624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2.1293126043445914</v>
      </c>
      <c r="BQ166" s="21">
        <f>EXP(-LN(2)/25)*BQ165+(1-EXP(-LN(2)/25))/(LN(2)/25)*Calculateur!BL166*Calculateur!BN166*VLOOKUP('Données projet'!$B$11,Paramètres!$A$1:$I$89,3,0)*0.475*44/12</f>
        <v>7.0526853699698915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9.1819979743144824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3.177547114319168E-13</v>
      </c>
      <c r="P167" s="13">
        <f t="shared" si="141"/>
        <v>4.1725404435445377E-12</v>
      </c>
      <c r="Q167" s="20">
        <f t="shared" si="162"/>
        <v>7.820597394917325E-12</v>
      </c>
      <c r="R167" s="59">
        <f t="shared" si="109"/>
        <v>293.33333333334116</v>
      </c>
      <c r="S167" s="59">
        <f ca="1">AVERAGE(OFFSET($R$3,0,0,'Données projet'!$E$9+1,1))-AVERAGE(OFFSET($H$3,0,0,'Données projet'!$E$9+1,1))</f>
        <v>314.07001555875894</v>
      </c>
      <c r="T167" s="59">
        <f t="shared" si="142"/>
        <v>281.53154885904991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35.864000884112933</v>
      </c>
      <c r="AA167" s="21">
        <f>EXP(-LN(2)/25)*AA166+(1-EXP(-LN(2)/25))/(LN(2)/25)*Calculateur!V167*Calculateur!X167*VLOOKUP('Données projet'!$B$9,Paramètres!$A$1:$I$89,3,0)*0.475*44/12</f>
        <v>5.6656163391711063</v>
      </c>
      <c r="AB167" s="21">
        <f>EXP(-LN(2)/2)*AB166+(1-EXP(-LN(2)/2))/(LN(2)/2)*V167*Y167*VLOOKUP('Données projet'!$B$9,Paramètres!$A$1:$I$89,3,0)*0.475*44/12</f>
        <v>5.3649901817337244E-13</v>
      </c>
      <c r="AC167" s="22">
        <f t="shared" si="163"/>
        <v>41.529617223284582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1.7053025658242404E-13</v>
      </c>
      <c r="AJ167" s="13">
        <f>AI167*VLOOKUP('Données projet'!$B$10,Paramètres!$A$1:$I$89,3,0)*VLOOKUP('Données projet'!$B$10,Paramètres!$A$1:$I$89,5,0)</f>
        <v>7.5374373409431432E-14</v>
      </c>
      <c r="AK167" s="13">
        <f t="shared" si="164"/>
        <v>1.1702184453493216E-12</v>
      </c>
      <c r="AL167" s="20">
        <f t="shared" si="165"/>
        <v>2.1694074926714947E-12</v>
      </c>
      <c r="AM167" s="59">
        <f t="shared" si="113"/>
        <v>293.33333333333547</v>
      </c>
      <c r="AN167" s="59">
        <f ca="1">AVERAGE(OFFSET($AM$3,0,0,'Données projet'!$E$10+1,1))-AVERAGE(OFFSET($H$3,0,0,'Données projet'!$E$10+1,1))</f>
        <v>218.3918302549892</v>
      </c>
      <c r="AO167" s="59">
        <f t="shared" si="144"/>
        <v>102.61932145411976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56.450887370319755</v>
      </c>
      <c r="AV167" s="21">
        <f>EXP(-LN(2)/25)*AV166+(1-EXP(-LN(2)/25))/(LN(2)/25)*Calculateur!AQ167*Calculateur!AS167*VLOOKUP('Données projet'!$B$10,Paramètres!$A$1:$I$89,3,0)*0.475*44/12</f>
        <v>12.749164601180404</v>
      </c>
      <c r="AW167" s="21">
        <f>EXP(-LN(2)/2)*AW166+(1-EXP(-LN(2)/2))/(LN(2)/2)*AQ167*AT167*VLOOKUP('Données projet'!$B$10,Paramètres!$A$1:$I$89,3,0)*0.475*44/12</f>
        <v>1.1713181956595657E-5</v>
      </c>
      <c r="AX167" s="21">
        <f t="shared" si="166"/>
        <v>69.200063684682121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112.66486935566058</v>
      </c>
      <c r="BJ167" s="59">
        <f t="shared" si="146"/>
        <v>110.84860075828624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2.0875580829258413</v>
      </c>
      <c r="BQ167" s="21">
        <f>EXP(-LN(2)/25)*BQ166+(1-EXP(-LN(2)/25))/(LN(2)/25)*Calculateur!BL167*Calculateur!BN167*VLOOKUP('Données projet'!$B$11,Paramètres!$A$1:$I$89,3,0)*0.475*44/12</f>
        <v>6.8598293176434604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8.9473874005693013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3.177547114319168E-13</v>
      </c>
      <c r="P168" s="13">
        <f t="shared" si="141"/>
        <v>4.1725404435445377E-12</v>
      </c>
      <c r="Q168" s="20">
        <f t="shared" si="162"/>
        <v>7.820597394917325E-12</v>
      </c>
      <c r="R168" s="59">
        <f t="shared" si="109"/>
        <v>293.33333333334116</v>
      </c>
      <c r="S168" s="59">
        <f ca="1">AVERAGE(OFFSET($R$3,0,0,'Données projet'!$E$9+1,1))-AVERAGE(OFFSET($H$3,0,0,'Données projet'!$E$9+1,1))</f>
        <v>314.07001555875894</v>
      </c>
      <c r="T168" s="59">
        <f t="shared" si="142"/>
        <v>281.53154885904991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35.160729701656052</v>
      </c>
      <c r="AA168" s="21">
        <f>EXP(-LN(2)/25)*AA167+(1-EXP(-LN(2)/25))/(LN(2)/25)*Calculateur!V168*Calculateur!X168*VLOOKUP('Données projet'!$B$9,Paramètres!$A$1:$I$89,3,0)*0.475*44/12</f>
        <v>5.5106897624346578</v>
      </c>
      <c r="AB168" s="21">
        <f>EXP(-LN(2)/2)*AB167+(1-EXP(-LN(2)/2))/(LN(2)/2)*V168*Y168*VLOOKUP('Données projet'!$B$9,Paramètres!$A$1:$I$89,3,0)*0.475*44/12</f>
        <v>3.7936209385031646E-13</v>
      </c>
      <c r="AC168" s="22">
        <f t="shared" si="163"/>
        <v>40.671419464091088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1.7053025658242404E-13</v>
      </c>
      <c r="AJ168" s="13">
        <f>AI168*VLOOKUP('Données projet'!$B$10,Paramètres!$A$1:$I$89,3,0)*VLOOKUP('Données projet'!$B$10,Paramètres!$A$1:$I$89,5,0)</f>
        <v>7.5374373409431432E-14</v>
      </c>
      <c r="AK168" s="13">
        <f t="shared" si="164"/>
        <v>1.1702184453493216E-12</v>
      </c>
      <c r="AL168" s="20">
        <f t="shared" si="165"/>
        <v>2.1694074926714947E-12</v>
      </c>
      <c r="AM168" s="59">
        <f t="shared" si="113"/>
        <v>293.33333333333547</v>
      </c>
      <c r="AN168" s="59">
        <f ca="1">AVERAGE(OFFSET($AM$3,0,0,'Données projet'!$E$10+1,1))-AVERAGE(OFFSET($H$3,0,0,'Données projet'!$E$10+1,1))</f>
        <v>218.3918302549892</v>
      </c>
      <c r="AO168" s="59">
        <f t="shared" si="144"/>
        <v>102.61932145411976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55.343919900629238</v>
      </c>
      <c r="AV168" s="21">
        <f>EXP(-LN(2)/25)*AV167+(1-EXP(-LN(2)/25))/(LN(2)/25)*Calculateur!AQ168*Calculateur!AS168*VLOOKUP('Données projet'!$B$10,Paramètres!$A$1:$I$89,3,0)*0.475*44/12</f>
        <v>12.400538024711699</v>
      </c>
      <c r="AW168" s="21">
        <f>EXP(-LN(2)/2)*AW167+(1-EXP(-LN(2)/2))/(LN(2)/2)*AQ168*AT168*VLOOKUP('Données projet'!$B$10,Paramètres!$A$1:$I$89,3,0)*0.475*44/12</f>
        <v>8.2824703907807021E-6</v>
      </c>
      <c r="AX168" s="21">
        <f t="shared" si="166"/>
        <v>67.744466207811328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112.66486935566058</v>
      </c>
      <c r="BJ168" s="59">
        <f t="shared" si="146"/>
        <v>110.84860075828624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2.0466223422043699</v>
      </c>
      <c r="BQ168" s="21">
        <f>EXP(-LN(2)/25)*BQ167+(1-EXP(-LN(2)/25))/(LN(2)/25)*Calculateur!BL168*Calculateur!BN168*VLOOKUP('Données projet'!$B$11,Paramètres!$A$1:$I$89,3,0)*0.475*44/12</f>
        <v>6.6722469242097544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8.7188692664141243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3.177547114319168E-13</v>
      </c>
      <c r="P169" s="13">
        <f t="shared" si="141"/>
        <v>4.1725404435445377E-12</v>
      </c>
      <c r="Q169" s="20">
        <f t="shared" si="162"/>
        <v>7.820597394917325E-12</v>
      </c>
      <c r="R169" s="59">
        <f t="shared" si="109"/>
        <v>293.33333333334116</v>
      </c>
      <c r="S169" s="59">
        <f ca="1">AVERAGE(OFFSET($R$3,0,0,'Données projet'!$E$9+1,1))-AVERAGE(OFFSET($H$3,0,0,'Données projet'!$E$9+1,1))</f>
        <v>314.07001555875894</v>
      </c>
      <c r="T169" s="59">
        <f t="shared" si="142"/>
        <v>281.53154885904991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34.471249238134085</v>
      </c>
      <c r="AA169" s="21">
        <f>EXP(-LN(2)/25)*AA168+(1-EXP(-LN(2)/25))/(LN(2)/25)*Calculateur!V169*Calculateur!X169*VLOOKUP('Données projet'!$B$9,Paramètres!$A$1:$I$89,3,0)*0.475*44/12</f>
        <v>5.3599996610863023</v>
      </c>
      <c r="AB169" s="21">
        <f>EXP(-LN(2)/2)*AB168+(1-EXP(-LN(2)/2))/(LN(2)/2)*V169*Y169*VLOOKUP('Données projet'!$B$9,Paramètres!$A$1:$I$89,3,0)*0.475*44/12</f>
        <v>2.6824950908668622E-13</v>
      </c>
      <c r="AC169" s="22">
        <f t="shared" si="163"/>
        <v>39.831248899220654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1.7053025658242404E-13</v>
      </c>
      <c r="AJ169" s="13">
        <f>AI169*VLOOKUP('Données projet'!$B$10,Paramètres!$A$1:$I$89,3,0)*VLOOKUP('Données projet'!$B$10,Paramètres!$A$1:$I$89,5,0)</f>
        <v>7.5374373409431432E-14</v>
      </c>
      <c r="AK169" s="13">
        <f t="shared" si="164"/>
        <v>1.1702184453493216E-12</v>
      </c>
      <c r="AL169" s="20">
        <f t="shared" si="165"/>
        <v>2.1694074926714947E-12</v>
      </c>
      <c r="AM169" s="59">
        <f t="shared" si="113"/>
        <v>293.33333333333547</v>
      </c>
      <c r="AN169" s="59">
        <f ca="1">AVERAGE(OFFSET($AM$3,0,0,'Données projet'!$E$10+1,1))-AVERAGE(OFFSET($H$3,0,0,'Données projet'!$E$10+1,1))</f>
        <v>218.3918302549892</v>
      </c>
      <c r="AO169" s="59">
        <f t="shared" si="144"/>
        <v>102.61932145411976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54.258659387835863</v>
      </c>
      <c r="AV169" s="21">
        <f>EXP(-LN(2)/25)*AV168+(1-EXP(-LN(2)/25))/(LN(2)/25)*Calculateur!AQ169*Calculateur!AS169*VLOOKUP('Données projet'!$B$10,Paramètres!$A$1:$I$89,3,0)*0.475*44/12</f>
        <v>12.061444660310004</v>
      </c>
      <c r="AW169" s="21">
        <f>EXP(-LN(2)/2)*AW168+(1-EXP(-LN(2)/2))/(LN(2)/2)*AQ169*AT169*VLOOKUP('Données projet'!$B$10,Paramètres!$A$1:$I$89,3,0)*0.475*44/12</f>
        <v>5.8565909782978287E-6</v>
      </c>
      <c r="AX169" s="21">
        <f t="shared" si="166"/>
        <v>66.320109904736839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112.66486935566058</v>
      </c>
      <c r="BJ169" s="59">
        <f t="shared" si="146"/>
        <v>110.84860075828624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2.0064893263901098</v>
      </c>
      <c r="BQ169" s="21">
        <f>EXP(-LN(2)/25)*BQ168+(1-EXP(-LN(2)/25))/(LN(2)/25)*Calculateur!BL169*Calculateur!BN169*VLOOKUP('Données projet'!$B$11,Paramètres!$A$1:$I$89,3,0)*0.475*44/12</f>
        <v>6.4897939811890222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8.496283307579132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3.177547114319168E-13</v>
      </c>
      <c r="P170" s="13">
        <f t="shared" si="141"/>
        <v>4.1725404435445377E-12</v>
      </c>
      <c r="Q170" s="20">
        <f t="shared" si="162"/>
        <v>7.820597394917325E-12</v>
      </c>
      <c r="R170" s="59">
        <f t="shared" si="109"/>
        <v>293.33333333334116</v>
      </c>
      <c r="S170" s="59">
        <f ca="1">AVERAGE(OFFSET($R$3,0,0,'Données projet'!$E$9+1,1))-AVERAGE(OFFSET($H$3,0,0,'Données projet'!$E$9+1,1))</f>
        <v>314.07001555875894</v>
      </c>
      <c r="T170" s="59">
        <f t="shared" si="142"/>
        <v>281.53154885904991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33.795289065960226</v>
      </c>
      <c r="AA170" s="21">
        <f>EXP(-LN(2)/25)*AA169+(1-EXP(-LN(2)/25))/(LN(2)/25)*Calculateur!V170*Calculateur!X170*VLOOKUP('Données projet'!$B$9,Paramètres!$A$1:$I$89,3,0)*0.475*44/12</f>
        <v>5.2134301884837653</v>
      </c>
      <c r="AB170" s="21">
        <f>EXP(-LN(2)/2)*AB169+(1-EXP(-LN(2)/2))/(LN(2)/2)*V170*Y170*VLOOKUP('Données projet'!$B$9,Paramètres!$A$1:$I$89,3,0)*0.475*44/12</f>
        <v>1.8968104692515823E-13</v>
      </c>
      <c r="AC170" s="22">
        <f t="shared" si="163"/>
        <v>39.008719254444181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1.7053025658242404E-13</v>
      </c>
      <c r="AJ170" s="13">
        <f>AI170*VLOOKUP('Données projet'!$B$10,Paramètres!$A$1:$I$89,3,0)*VLOOKUP('Données projet'!$B$10,Paramètres!$A$1:$I$89,5,0)</f>
        <v>7.5374373409431432E-14</v>
      </c>
      <c r="AK170" s="13">
        <f t="shared" si="164"/>
        <v>1.1702184453493216E-12</v>
      </c>
      <c r="AL170" s="20">
        <f t="shared" si="165"/>
        <v>2.1694074926714947E-12</v>
      </c>
      <c r="AM170" s="59">
        <f t="shared" si="113"/>
        <v>293.33333333333547</v>
      </c>
      <c r="AN170" s="59">
        <f ca="1">AVERAGE(OFFSET($AM$3,0,0,'Données projet'!$E$10+1,1))-AVERAGE(OFFSET($H$3,0,0,'Données projet'!$E$10+1,1))</f>
        <v>218.3918302549892</v>
      </c>
      <c r="AO170" s="59">
        <f t="shared" si="144"/>
        <v>102.61932145411976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53.194680171754818</v>
      </c>
      <c r="AV170" s="21">
        <f>EXP(-LN(2)/25)*AV169+(1-EXP(-LN(2)/25))/(LN(2)/25)*Calculateur!AQ170*Calculateur!AS170*VLOOKUP('Données projet'!$B$10,Paramètres!$A$1:$I$89,3,0)*0.475*44/12</f>
        <v>11.731623821790018</v>
      </c>
      <c r="AW170" s="21">
        <f>EXP(-LN(2)/2)*AW169+(1-EXP(-LN(2)/2))/(LN(2)/2)*AQ170*AT170*VLOOKUP('Données projet'!$B$10,Paramètres!$A$1:$I$89,3,0)*0.475*44/12</f>
        <v>4.141235195390351E-6</v>
      </c>
      <c r="AX170" s="21">
        <f t="shared" si="166"/>
        <v>64.926308134780029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112.66486935566058</v>
      </c>
      <c r="BJ170" s="59">
        <f t="shared" si="146"/>
        <v>110.84860075828624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1.9671432945372449</v>
      </c>
      <c r="BQ170" s="21">
        <f>EXP(-LN(2)/25)*BQ169+(1-EXP(-LN(2)/25))/(LN(2)/25)*Calculateur!BL170*Calculateur!BN170*VLOOKUP('Données projet'!$B$11,Paramètres!$A$1:$I$89,3,0)*0.475*44/12</f>
        <v>6.3123302234899752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8.2794735180272205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3.177547114319168E-13</v>
      </c>
      <c r="P171" s="13">
        <f t="shared" si="141"/>
        <v>4.1725404435445377E-12</v>
      </c>
      <c r="Q171" s="20">
        <f t="shared" si="162"/>
        <v>7.820597394917325E-12</v>
      </c>
      <c r="R171" s="59">
        <f t="shared" si="109"/>
        <v>293.33333333334116</v>
      </c>
      <c r="S171" s="59">
        <f ca="1">AVERAGE(OFFSET($R$3,0,0,'Données projet'!$E$9+1,1))-AVERAGE(OFFSET($H$3,0,0,'Données projet'!$E$9+1,1))</f>
        <v>314.07001555875894</v>
      </c>
      <c r="T171" s="59">
        <f t="shared" si="142"/>
        <v>281.53154885904991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33.1325840604677</v>
      </c>
      <c r="AA171" s="21">
        <f>EXP(-LN(2)/25)*AA170+(1-EXP(-LN(2)/25))/(LN(2)/25)*Calculateur!V171*Calculateur!X171*VLOOKUP('Données projet'!$B$9,Paramètres!$A$1:$I$89,3,0)*0.475*44/12</f>
        <v>5.0708686658172981</v>
      </c>
      <c r="AB171" s="21">
        <f>EXP(-LN(2)/2)*AB170+(1-EXP(-LN(2)/2))/(LN(2)/2)*V171*Y171*VLOOKUP('Données projet'!$B$9,Paramètres!$A$1:$I$89,3,0)*0.475*44/12</f>
        <v>1.3412475454334311E-13</v>
      </c>
      <c r="AC171" s="22">
        <f t="shared" si="163"/>
        <v>38.203452726285136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1.7053025658242404E-13</v>
      </c>
      <c r="AJ171" s="13">
        <f>AI171*VLOOKUP('Données projet'!$B$10,Paramètres!$A$1:$I$89,3,0)*VLOOKUP('Données projet'!$B$10,Paramètres!$A$1:$I$89,5,0)</f>
        <v>7.5374373409431432E-14</v>
      </c>
      <c r="AK171" s="13">
        <f t="shared" si="164"/>
        <v>1.1702184453493216E-12</v>
      </c>
      <c r="AL171" s="20">
        <f t="shared" si="165"/>
        <v>2.1694074926714947E-12</v>
      </c>
      <c r="AM171" s="59">
        <f t="shared" si="113"/>
        <v>293.33333333333547</v>
      </c>
      <c r="AN171" s="59">
        <f ca="1">AVERAGE(OFFSET($AM$3,0,0,'Données projet'!$E$10+1,1))-AVERAGE(OFFSET($H$3,0,0,'Données projet'!$E$10+1,1))</f>
        <v>218.3918302549892</v>
      </c>
      <c r="AO171" s="59">
        <f t="shared" si="144"/>
        <v>102.61932145411976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52.151564939137877</v>
      </c>
      <c r="AV171" s="21">
        <f>EXP(-LN(2)/25)*AV170+(1-EXP(-LN(2)/25))/(LN(2)/25)*Calculateur!AQ171*Calculateur!AS171*VLOOKUP('Données projet'!$B$10,Paramètres!$A$1:$I$89,3,0)*0.475*44/12</f>
        <v>11.410821951443886</v>
      </c>
      <c r="AW171" s="21">
        <f>EXP(-LN(2)/2)*AW170+(1-EXP(-LN(2)/2))/(LN(2)/2)*AQ171*AT171*VLOOKUP('Données projet'!$B$10,Paramètres!$A$1:$I$89,3,0)*0.475*44/12</f>
        <v>2.9282954891489144E-6</v>
      </c>
      <c r="AX171" s="21">
        <f t="shared" si="166"/>
        <v>63.56238981887725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112.66486935566058</v>
      </c>
      <c r="BJ171" s="59">
        <f t="shared" si="146"/>
        <v>110.84860075828624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1.928568814370305</v>
      </c>
      <c r="BQ171" s="21">
        <f>EXP(-LN(2)/25)*BQ170+(1-EXP(-LN(2)/25))/(LN(2)/25)*Calculateur!BL171*Calculateur!BN171*VLOOKUP('Données projet'!$B$11,Paramètres!$A$1:$I$89,3,0)*0.475*44/12</f>
        <v>6.1397192215776224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8.0682880359479281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3.177547114319168E-13</v>
      </c>
      <c r="P172" s="13">
        <f t="shared" si="141"/>
        <v>4.1725404435445377E-12</v>
      </c>
      <c r="Q172" s="20">
        <f t="shared" si="162"/>
        <v>7.820597394917325E-12</v>
      </c>
      <c r="R172" s="59">
        <f t="shared" si="109"/>
        <v>293.33333333334116</v>
      </c>
      <c r="S172" s="59">
        <f ca="1">AVERAGE(OFFSET($R$3,0,0,'Données projet'!$E$9+1,1))-AVERAGE(OFFSET($H$3,0,0,'Données projet'!$E$9+1,1))</f>
        <v>314.07001555875894</v>
      </c>
      <c r="T172" s="59">
        <f t="shared" si="142"/>
        <v>281.53154885904991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32.482874295922741</v>
      </c>
      <c r="AA172" s="21">
        <f>EXP(-LN(2)/25)*AA171+(1-EXP(-LN(2)/25))/(LN(2)/25)*Calculateur!V172*Calculateur!X172*VLOOKUP('Données projet'!$B$9,Paramètres!$A$1:$I$89,3,0)*0.475*44/12</f>
        <v>4.9322054954851309</v>
      </c>
      <c r="AB172" s="21">
        <f>EXP(-LN(2)/2)*AB171+(1-EXP(-LN(2)/2))/(LN(2)/2)*V172*Y172*VLOOKUP('Données projet'!$B$9,Paramètres!$A$1:$I$89,3,0)*0.475*44/12</f>
        <v>9.4840523462579115E-14</v>
      </c>
      <c r="AC172" s="22">
        <f t="shared" si="163"/>
        <v>37.415079791407962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1.7053025658242404E-13</v>
      </c>
      <c r="AJ172" s="13">
        <f>AI172*VLOOKUP('Données projet'!$B$10,Paramètres!$A$1:$I$89,3,0)*VLOOKUP('Données projet'!$B$10,Paramètres!$A$1:$I$89,5,0)</f>
        <v>7.5374373409431432E-14</v>
      </c>
      <c r="AK172" s="13">
        <f t="shared" si="164"/>
        <v>1.1702184453493216E-12</v>
      </c>
      <c r="AL172" s="20">
        <f t="shared" si="165"/>
        <v>2.1694074926714947E-12</v>
      </c>
      <c r="AM172" s="59">
        <f t="shared" si="113"/>
        <v>293.33333333333547</v>
      </c>
      <c r="AN172" s="59">
        <f ca="1">AVERAGE(OFFSET($AM$3,0,0,'Données projet'!$E$10+1,1))-AVERAGE(OFFSET($H$3,0,0,'Données projet'!$E$10+1,1))</f>
        <v>218.3918302549892</v>
      </c>
      <c r="AO172" s="59">
        <f t="shared" si="144"/>
        <v>102.61932145411976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51.128904559995085</v>
      </c>
      <c r="AV172" s="21">
        <f>EXP(-LN(2)/25)*AV171+(1-EXP(-LN(2)/25))/(LN(2)/25)*Calculateur!AQ172*Calculateur!AS172*VLOOKUP('Données projet'!$B$10,Paramètres!$A$1:$I$89,3,0)*0.475*44/12</f>
        <v>11.098792425112606</v>
      </c>
      <c r="AW172" s="21">
        <f>EXP(-LN(2)/2)*AW171+(1-EXP(-LN(2)/2))/(LN(2)/2)*AQ172*AT172*VLOOKUP('Données projet'!$B$10,Paramètres!$A$1:$I$89,3,0)*0.475*44/12</f>
        <v>2.0706175976951755E-6</v>
      </c>
      <c r="AX172" s="21">
        <f t="shared" si="166"/>
        <v>62.227699055725289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112.66486935566058</v>
      </c>
      <c r="BJ172" s="59">
        <f t="shared" si="146"/>
        <v>110.84860075828624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1.890750756231329</v>
      </c>
      <c r="BQ172" s="21">
        <f>EXP(-LN(2)/25)*BQ171+(1-EXP(-LN(2)/25))/(LN(2)/25)*Calculateur!BL172*Calculateur!BN172*VLOOKUP('Données projet'!$B$11,Paramètres!$A$1:$I$89,3,0)*0.475*44/12</f>
        <v>5.9718282765897808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7.8625790328211096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3.177547114319168E-13</v>
      </c>
      <c r="P173" s="13">
        <f t="shared" si="141"/>
        <v>4.1725404435445377E-12</v>
      </c>
      <c r="Q173" s="20">
        <f t="shared" si="162"/>
        <v>7.820597394917325E-12</v>
      </c>
      <c r="R173" s="59">
        <f t="shared" si="109"/>
        <v>293.33333333334116</v>
      </c>
      <c r="S173" s="59">
        <f ca="1">AVERAGE(OFFSET($R$3,0,0,'Données projet'!$E$9+1,1))-AVERAGE(OFFSET($H$3,0,0,'Données projet'!$E$9+1,1))</f>
        <v>314.07001555875894</v>
      </c>
      <c r="T173" s="59">
        <f t="shared" si="142"/>
        <v>281.53154885904991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31.845904943576684</v>
      </c>
      <c r="AA173" s="21">
        <f>EXP(-LN(2)/25)*AA172+(1-EXP(-LN(2)/25))/(LN(2)/25)*Calculateur!V173*Calculateur!X173*VLOOKUP('Données projet'!$B$9,Paramètres!$A$1:$I$89,3,0)*0.475*44/12</f>
        <v>4.797334076837676</v>
      </c>
      <c r="AB173" s="21">
        <f>EXP(-LN(2)/2)*AB172+(1-EXP(-LN(2)/2))/(LN(2)/2)*V173*Y173*VLOOKUP('Données projet'!$B$9,Paramètres!$A$1:$I$89,3,0)*0.475*44/12</f>
        <v>6.7062377271671555E-14</v>
      </c>
      <c r="AC173" s="22">
        <f t="shared" si="163"/>
        <v>36.643239020414427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1.7053025658242404E-13</v>
      </c>
      <c r="AJ173" s="13">
        <f>AI173*VLOOKUP('Données projet'!$B$10,Paramètres!$A$1:$I$89,3,0)*VLOOKUP('Données projet'!$B$10,Paramètres!$A$1:$I$89,5,0)</f>
        <v>7.5374373409431432E-14</v>
      </c>
      <c r="AK173" s="13">
        <f t="shared" si="164"/>
        <v>1.1702184453493216E-12</v>
      </c>
      <c r="AL173" s="20">
        <f t="shared" si="165"/>
        <v>2.1694074926714947E-12</v>
      </c>
      <c r="AM173" s="59">
        <f t="shared" si="113"/>
        <v>293.33333333333547</v>
      </c>
      <c r="AN173" s="59">
        <f ca="1">AVERAGE(OFFSET($AM$3,0,0,'Données projet'!$E$10+1,1))-AVERAGE(OFFSET($H$3,0,0,'Données projet'!$E$10+1,1))</f>
        <v>218.3918302549892</v>
      </c>
      <c r="AO173" s="59">
        <f t="shared" si="144"/>
        <v>102.61932145411976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50.126297927126046</v>
      </c>
      <c r="AV173" s="21">
        <f>EXP(-LN(2)/25)*AV172+(1-EXP(-LN(2)/25))/(LN(2)/25)*Calculateur!AQ173*Calculateur!AS173*VLOOKUP('Données projet'!$B$10,Paramètres!$A$1:$I$89,3,0)*0.475*44/12</f>
        <v>10.795295362587774</v>
      </c>
      <c r="AW173" s="21">
        <f>EXP(-LN(2)/2)*AW172+(1-EXP(-LN(2)/2))/(LN(2)/2)*AQ173*AT173*VLOOKUP('Données projet'!$B$10,Paramètres!$A$1:$I$89,3,0)*0.475*44/12</f>
        <v>1.4641477445744572E-6</v>
      </c>
      <c r="AX173" s="21">
        <f t="shared" si="166"/>
        <v>60.921594753861562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112.66486935566058</v>
      </c>
      <c r="BJ173" s="59">
        <f t="shared" si="146"/>
        <v>110.84860075828624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1.8536742871457206</v>
      </c>
      <c r="BQ173" s="21">
        <f>EXP(-LN(2)/25)*BQ172+(1-EXP(-LN(2)/25))/(LN(2)/25)*Calculateur!BL173*Calculateur!BN173*VLOOKUP('Données projet'!$B$11,Paramètres!$A$1:$I$89,3,0)*0.475*44/12</f>
        <v>5.808528318321633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7.6622026054673533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3.177547114319168E-13</v>
      </c>
      <c r="P174" s="13">
        <f t="shared" si="141"/>
        <v>4.1725404435445377E-12</v>
      </c>
      <c r="Q174" s="20">
        <f t="shared" si="162"/>
        <v>7.820597394917325E-12</v>
      </c>
      <c r="R174" s="59">
        <f t="shared" si="109"/>
        <v>293.33333333334116</v>
      </c>
      <c r="S174" s="59">
        <f ca="1">AVERAGE(OFFSET($R$3,0,0,'Données projet'!$E$9+1,1))-AVERAGE(OFFSET($H$3,0,0,'Données projet'!$E$9+1,1))</f>
        <v>314.07001555875894</v>
      </c>
      <c r="T174" s="59">
        <f t="shared" si="142"/>
        <v>281.53154885904991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31.221426171717191</v>
      </c>
      <c r="AA174" s="21">
        <f>EXP(-LN(2)/25)*AA173+(1-EXP(-LN(2)/25))/(LN(2)/25)*Calculateur!V174*Calculateur!X174*VLOOKUP('Données projet'!$B$9,Paramètres!$A$1:$I$89,3,0)*0.475*44/12</f>
        <v>4.666150724225715</v>
      </c>
      <c r="AB174" s="21">
        <f>EXP(-LN(2)/2)*AB173+(1-EXP(-LN(2)/2))/(LN(2)/2)*V174*Y174*VLOOKUP('Données projet'!$B$9,Paramètres!$A$1:$I$89,3,0)*0.475*44/12</f>
        <v>4.7420261731289557E-14</v>
      </c>
      <c r="AC174" s="22">
        <f t="shared" si="163"/>
        <v>35.887576895942956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1.7053025658242404E-13</v>
      </c>
      <c r="AJ174" s="13">
        <f>AI174*VLOOKUP('Données projet'!$B$10,Paramètres!$A$1:$I$89,3,0)*VLOOKUP('Données projet'!$B$10,Paramètres!$A$1:$I$89,5,0)</f>
        <v>7.5374373409431432E-14</v>
      </c>
      <c r="AK174" s="13">
        <f t="shared" si="164"/>
        <v>1.1702184453493216E-12</v>
      </c>
      <c r="AL174" s="20">
        <f t="shared" si="165"/>
        <v>2.1694074926714947E-12</v>
      </c>
      <c r="AM174" s="59">
        <f t="shared" si="113"/>
        <v>293.33333333333547</v>
      </c>
      <c r="AN174" s="59">
        <f ca="1">AVERAGE(OFFSET($AM$3,0,0,'Données projet'!$E$10+1,1))-AVERAGE(OFFSET($H$3,0,0,'Données projet'!$E$10+1,1))</f>
        <v>218.3918302549892</v>
      </c>
      <c r="AO174" s="59">
        <f t="shared" si="144"/>
        <v>102.61932145411976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49.143351798797909</v>
      </c>
      <c r="AV174" s="21">
        <f>EXP(-LN(2)/25)*AV173+(1-EXP(-LN(2)/25))/(LN(2)/25)*Calculateur!AQ174*Calculateur!AS174*VLOOKUP('Données projet'!$B$10,Paramètres!$A$1:$I$89,3,0)*0.475*44/12</f>
        <v>10.500097443197902</v>
      </c>
      <c r="AW174" s="21">
        <f>EXP(-LN(2)/2)*AW173+(1-EXP(-LN(2)/2))/(LN(2)/2)*AQ174*AT174*VLOOKUP('Données projet'!$B$10,Paramètres!$A$1:$I$89,3,0)*0.475*44/12</f>
        <v>1.0353087988475878E-6</v>
      </c>
      <c r="AX174" s="21">
        <f t="shared" si="166"/>
        <v>59.643450277304609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112.66486935566058</v>
      </c>
      <c r="BJ174" s="59">
        <f t="shared" si="146"/>
        <v>110.84860075828624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1.8173248650044678</v>
      </c>
      <c r="BQ174" s="21">
        <f>EXP(-LN(2)/25)*BQ173+(1-EXP(-LN(2)/25))/(LN(2)/25)*Calculateur!BL174*Calculateur!BN174*VLOOKUP('Données projet'!$B$11,Paramètres!$A$1:$I$89,3,0)*0.475*44/12</f>
        <v>5.6496938059998989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7.4670186710043662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3.177547114319168E-13</v>
      </c>
      <c r="P175" s="13">
        <f t="shared" si="141"/>
        <v>4.1725404435445377E-12</v>
      </c>
      <c r="Q175" s="20">
        <f t="shared" si="162"/>
        <v>7.820597394917325E-12</v>
      </c>
      <c r="R175" s="59">
        <f t="shared" si="109"/>
        <v>293.33333333334116</v>
      </c>
      <c r="S175" s="59">
        <f ca="1">AVERAGE(OFFSET($R$3,0,0,'Données projet'!$E$9+1,1))-AVERAGE(OFFSET($H$3,0,0,'Données projet'!$E$9+1,1))</f>
        <v>314.07001555875894</v>
      </c>
      <c r="T175" s="59">
        <f t="shared" si="142"/>
        <v>281.53154885904991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30.609193047679423</v>
      </c>
      <c r="AA175" s="21">
        <f>EXP(-LN(2)/25)*AA174+(1-EXP(-LN(2)/25))/(LN(2)/25)*Calculateur!V175*Calculateur!X175*VLOOKUP('Données projet'!$B$9,Paramètres!$A$1:$I$89,3,0)*0.475*44/12</f>
        <v>4.5385545872895605</v>
      </c>
      <c r="AB175" s="21">
        <f>EXP(-LN(2)/2)*AB174+(1-EXP(-LN(2)/2))/(LN(2)/2)*V175*Y175*VLOOKUP('Données projet'!$B$9,Paramètres!$A$1:$I$89,3,0)*0.475*44/12</f>
        <v>3.3531188635835778E-14</v>
      </c>
      <c r="AC175" s="22">
        <f t="shared" si="163"/>
        <v>35.147747634969015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1.7053025658242404E-13</v>
      </c>
      <c r="AJ175" s="13">
        <f>AI175*VLOOKUP('Données projet'!$B$10,Paramètres!$A$1:$I$89,3,0)*VLOOKUP('Données projet'!$B$10,Paramètres!$A$1:$I$89,5,0)</f>
        <v>7.5374373409431432E-14</v>
      </c>
      <c r="AK175" s="13">
        <f t="shared" si="164"/>
        <v>1.1702184453493216E-12</v>
      </c>
      <c r="AL175" s="20">
        <f t="shared" si="165"/>
        <v>2.1694074926714947E-12</v>
      </c>
      <c r="AM175" s="59">
        <f t="shared" si="113"/>
        <v>293.33333333333547</v>
      </c>
      <c r="AN175" s="59">
        <f ca="1">AVERAGE(OFFSET($AM$3,0,0,'Données projet'!$E$10+1,1))-AVERAGE(OFFSET($H$3,0,0,'Données projet'!$E$10+1,1))</f>
        <v>218.3918302549892</v>
      </c>
      <c r="AO175" s="59">
        <f t="shared" si="144"/>
        <v>102.61932145411976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48.179680644508345</v>
      </c>
      <c r="AV175" s="21">
        <f>EXP(-LN(2)/25)*AV174+(1-EXP(-LN(2)/25))/(LN(2)/25)*Calculateur!AQ175*Calculateur!AS175*VLOOKUP('Données projet'!$B$10,Paramètres!$A$1:$I$89,3,0)*0.475*44/12</f>
        <v>10.212971726437528</v>
      </c>
      <c r="AW175" s="21">
        <f>EXP(-LN(2)/2)*AW174+(1-EXP(-LN(2)/2))/(LN(2)/2)*AQ175*AT175*VLOOKUP('Données projet'!$B$10,Paramètres!$A$1:$I$89,3,0)*0.475*44/12</f>
        <v>7.3207387228722859E-7</v>
      </c>
      <c r="AX175" s="21">
        <f t="shared" si="166"/>
        <v>58.392653103019747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112.66486935566058</v>
      </c>
      <c r="BJ175" s="59">
        <f t="shared" si="146"/>
        <v>110.84860075828624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1.7816882328604466</v>
      </c>
      <c r="BQ175" s="21">
        <f>EXP(-LN(2)/25)*BQ174+(1-EXP(-LN(2)/25))/(LN(2)/25)*Calculateur!BL175*Calculateur!BN175*VLOOKUP('Données projet'!$B$11,Paramètres!$A$1:$I$89,3,0)*0.475*44/12</f>
        <v>5.4952026317703471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7.2768908646307935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3.177547114319168E-13</v>
      </c>
      <c r="P176" s="13">
        <f t="shared" si="141"/>
        <v>4.1725404435445377E-12</v>
      </c>
      <c r="Q176" s="20">
        <f t="shared" si="162"/>
        <v>7.820597394917325E-12</v>
      </c>
      <c r="R176" s="59">
        <f t="shared" si="109"/>
        <v>293.33333333334116</v>
      </c>
      <c r="S176" s="59">
        <f ca="1">AVERAGE(OFFSET($R$3,0,0,'Données projet'!$E$9+1,1))-AVERAGE(OFFSET($H$3,0,0,'Données projet'!$E$9+1,1))</f>
        <v>314.07001555875894</v>
      </c>
      <c r="T176" s="59">
        <f t="shared" si="142"/>
        <v>281.53154885904991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30.008965441778702</v>
      </c>
      <c r="AA176" s="21">
        <f>EXP(-LN(2)/25)*AA175+(1-EXP(-LN(2)/25))/(LN(2)/25)*Calculateur!V176*Calculateur!X176*VLOOKUP('Données projet'!$B$9,Paramètres!$A$1:$I$89,3,0)*0.475*44/12</f>
        <v>4.4144475734279149</v>
      </c>
      <c r="AB176" s="21">
        <f>EXP(-LN(2)/2)*AB175+(1-EXP(-LN(2)/2))/(LN(2)/2)*V176*Y176*VLOOKUP('Données projet'!$B$9,Paramètres!$A$1:$I$89,3,0)*0.475*44/12</f>
        <v>2.3710130865644779E-14</v>
      </c>
      <c r="AC176" s="22">
        <f t="shared" si="163"/>
        <v>34.423413015206641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1.7053025658242404E-13</v>
      </c>
      <c r="AJ176" s="13">
        <f>AI176*VLOOKUP('Données projet'!$B$10,Paramètres!$A$1:$I$89,3,0)*VLOOKUP('Données projet'!$B$10,Paramètres!$A$1:$I$89,5,0)</f>
        <v>7.5374373409431432E-14</v>
      </c>
      <c r="AK176" s="13">
        <f t="shared" si="164"/>
        <v>1.1702184453493216E-12</v>
      </c>
      <c r="AL176" s="20">
        <f t="shared" si="165"/>
        <v>2.1694074926714947E-12</v>
      </c>
      <c r="AM176" s="59">
        <f t="shared" si="113"/>
        <v>293.33333333333547</v>
      </c>
      <c r="AN176" s="59">
        <f ca="1">AVERAGE(OFFSET($AM$3,0,0,'Données projet'!$E$10+1,1))-AVERAGE(OFFSET($H$3,0,0,'Données projet'!$E$10+1,1))</f>
        <v>218.3918302549892</v>
      </c>
      <c r="AO176" s="59">
        <f t="shared" si="144"/>
        <v>102.61932145411976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47.234906493773032</v>
      </c>
      <c r="AV176" s="21">
        <f>EXP(-LN(2)/25)*AV175+(1-EXP(-LN(2)/25))/(LN(2)/25)*Calculateur!AQ176*Calculateur!AS176*VLOOKUP('Données projet'!$B$10,Paramètres!$A$1:$I$89,3,0)*0.475*44/12</f>
        <v>9.9336974775012532</v>
      </c>
      <c r="AW176" s="21">
        <f>EXP(-LN(2)/2)*AW175+(1-EXP(-LN(2)/2))/(LN(2)/2)*AQ176*AT176*VLOOKUP('Données projet'!$B$10,Paramètres!$A$1:$I$89,3,0)*0.475*44/12</f>
        <v>5.1765439942379388E-7</v>
      </c>
      <c r="AX176" s="21">
        <f t="shared" si="166"/>
        <v>57.168604488928686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112.66486935566058</v>
      </c>
      <c r="BJ176" s="59">
        <f t="shared" si="146"/>
        <v>110.84860075828624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1.7467504133365703</v>
      </c>
      <c r="BQ176" s="21">
        <f>EXP(-LN(2)/25)*BQ175+(1-EXP(-LN(2)/25))/(LN(2)/25)*Calculateur!BL176*Calculateur!BN176*VLOOKUP('Données projet'!$B$11,Paramètres!$A$1:$I$89,3,0)*0.475*44/12</f>
        <v>5.3449360268244401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7.0916864401610109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3.177547114319168E-13</v>
      </c>
      <c r="P177" s="13">
        <f t="shared" si="141"/>
        <v>4.1725404435445377E-12</v>
      </c>
      <c r="Q177" s="20">
        <f t="shared" si="162"/>
        <v>7.820597394917325E-12</v>
      </c>
      <c r="R177" s="59">
        <f t="shared" si="109"/>
        <v>293.33333333334116</v>
      </c>
      <c r="S177" s="59">
        <f ca="1">AVERAGE(OFFSET($R$3,0,0,'Données projet'!$E$9+1,1))-AVERAGE(OFFSET($H$3,0,0,'Données projet'!$E$9+1,1))</f>
        <v>314.07001555875894</v>
      </c>
      <c r="T177" s="59">
        <f t="shared" si="142"/>
        <v>281.53154885904991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29.420507933127006</v>
      </c>
      <c r="AA177" s="21">
        <f>EXP(-LN(2)/25)*AA176+(1-EXP(-LN(2)/25))/(LN(2)/25)*Calculateur!V177*Calculateur!X177*VLOOKUP('Données projet'!$B$9,Paramètres!$A$1:$I$89,3,0)*0.475*44/12</f>
        <v>4.2937342723868204</v>
      </c>
      <c r="AB177" s="21">
        <f>EXP(-LN(2)/2)*AB176+(1-EXP(-LN(2)/2))/(LN(2)/2)*V177*Y177*VLOOKUP('Données projet'!$B$9,Paramètres!$A$1:$I$89,3,0)*0.475*44/12</f>
        <v>1.6765594317917889E-14</v>
      </c>
      <c r="AC177" s="22">
        <f t="shared" si="163"/>
        <v>33.714242205513841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1.7053025658242404E-13</v>
      </c>
      <c r="AJ177" s="13">
        <f>AI177*VLOOKUP('Données projet'!$B$10,Paramètres!$A$1:$I$89,3,0)*VLOOKUP('Données projet'!$B$10,Paramètres!$A$1:$I$89,5,0)</f>
        <v>7.5374373409431432E-14</v>
      </c>
      <c r="AK177" s="13">
        <f t="shared" si="164"/>
        <v>1.1702184453493216E-12</v>
      </c>
      <c r="AL177" s="20">
        <f t="shared" si="165"/>
        <v>2.1694074926714947E-12</v>
      </c>
      <c r="AM177" s="59">
        <f t="shared" si="113"/>
        <v>293.33333333333547</v>
      </c>
      <c r="AN177" s="59">
        <f ca="1">AVERAGE(OFFSET($AM$3,0,0,'Données projet'!$E$10+1,1))-AVERAGE(OFFSET($H$3,0,0,'Données projet'!$E$10+1,1))</f>
        <v>218.3918302549892</v>
      </c>
      <c r="AO177" s="59">
        <f t="shared" si="144"/>
        <v>102.61932145411976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46.308658787878308</v>
      </c>
      <c r="AV177" s="21">
        <f>EXP(-LN(2)/25)*AV176+(1-EXP(-LN(2)/25))/(LN(2)/25)*Calculateur!AQ177*Calculateur!AS177*VLOOKUP('Données projet'!$B$10,Paramètres!$A$1:$I$89,3,0)*0.475*44/12</f>
        <v>9.6620599975885355</v>
      </c>
      <c r="AW177" s="21">
        <f>EXP(-LN(2)/2)*AW176+(1-EXP(-LN(2)/2))/(LN(2)/2)*AQ177*AT177*VLOOKUP('Données projet'!$B$10,Paramètres!$A$1:$I$89,3,0)*0.475*44/12</f>
        <v>3.6603693614361429E-7</v>
      </c>
      <c r="AX177" s="21">
        <f t="shared" si="166"/>
        <v>55.970719151503779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112.66486935566058</v>
      </c>
      <c r="BJ177" s="59">
        <f t="shared" si="146"/>
        <v>110.84860075828624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1.7124977031435915</v>
      </c>
      <c r="BQ177" s="21">
        <f>EXP(-LN(2)/25)*BQ176+(1-EXP(-LN(2)/25))/(LN(2)/25)*Calculateur!BL177*Calculateur!BN177*VLOOKUP('Données projet'!$B$11,Paramètres!$A$1:$I$89,3,0)*0.475*44/12</f>
        <v>5.1987784700929565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6.9112761732365477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3.177547114319168E-13</v>
      </c>
      <c r="P178" s="13">
        <f t="shared" si="141"/>
        <v>4.1725404435445377E-12</v>
      </c>
      <c r="Q178" s="20">
        <f t="shared" si="162"/>
        <v>7.820597394917325E-12</v>
      </c>
      <c r="R178" s="59">
        <f t="shared" si="109"/>
        <v>293.33333333334116</v>
      </c>
      <c r="S178" s="59">
        <f ca="1">AVERAGE(OFFSET($R$3,0,0,'Données projet'!$E$9+1,1))-AVERAGE(OFFSET($H$3,0,0,'Données projet'!$E$9+1,1))</f>
        <v>314.07001555875894</v>
      </c>
      <c r="T178" s="59">
        <f t="shared" si="142"/>
        <v>281.53154885904991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28.843589717296329</v>
      </c>
      <c r="AA178" s="21">
        <f>EXP(-LN(2)/25)*AA177+(1-EXP(-LN(2)/25))/(LN(2)/25)*Calculateur!V178*Calculateur!X178*VLOOKUP('Données projet'!$B$9,Paramètres!$A$1:$I$89,3,0)*0.475*44/12</f>
        <v>4.1763218829107309</v>
      </c>
      <c r="AB178" s="21">
        <f>EXP(-LN(2)/2)*AB177+(1-EXP(-LN(2)/2))/(LN(2)/2)*V178*Y178*VLOOKUP('Données projet'!$B$9,Paramètres!$A$1:$I$89,3,0)*0.475*44/12</f>
        <v>1.1855065432822389E-14</v>
      </c>
      <c r="AC178" s="22">
        <f t="shared" si="163"/>
        <v>33.019911600207074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1.7053025658242404E-13</v>
      </c>
      <c r="AJ178" s="13">
        <f>AI178*VLOOKUP('Données projet'!$B$10,Paramètres!$A$1:$I$89,3,0)*VLOOKUP('Données projet'!$B$10,Paramètres!$A$1:$I$89,5,0)</f>
        <v>7.5374373409431432E-14</v>
      </c>
      <c r="AK178" s="13">
        <f t="shared" si="164"/>
        <v>1.1702184453493216E-12</v>
      </c>
      <c r="AL178" s="20">
        <f t="shared" si="165"/>
        <v>2.1694074926714947E-12</v>
      </c>
      <c r="AM178" s="59">
        <f t="shared" si="113"/>
        <v>293.33333333333547</v>
      </c>
      <c r="AN178" s="59">
        <f ca="1">AVERAGE(OFFSET($AM$3,0,0,'Données projet'!$E$10+1,1))-AVERAGE(OFFSET($H$3,0,0,'Données projet'!$E$10+1,1))</f>
        <v>218.3918302549892</v>
      </c>
      <c r="AO178" s="59">
        <f t="shared" si="144"/>
        <v>102.61932145411976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45.400574234540862</v>
      </c>
      <c r="AV178" s="21">
        <f>EXP(-LN(2)/25)*AV177+(1-EXP(-LN(2)/25))/(LN(2)/25)*Calculateur!AQ178*Calculateur!AS178*VLOOKUP('Données projet'!$B$10,Paramètres!$A$1:$I$89,3,0)*0.475*44/12</f>
        <v>9.3978504588488239</v>
      </c>
      <c r="AW178" s="21">
        <f>EXP(-LN(2)/2)*AW177+(1-EXP(-LN(2)/2))/(LN(2)/2)*AQ178*AT178*VLOOKUP('Données projet'!$B$10,Paramètres!$A$1:$I$89,3,0)*0.475*44/12</f>
        <v>2.5882719971189694E-7</v>
      </c>
      <c r="AX178" s="21">
        <f t="shared" si="166"/>
        <v>54.798424952216884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112.66486935566058</v>
      </c>
      <c r="BJ178" s="59">
        <f t="shared" si="146"/>
        <v>110.84860075828624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1.6789166677054068</v>
      </c>
      <c r="BQ178" s="21">
        <f>EXP(-LN(2)/25)*BQ177+(1-EXP(-LN(2)/25))/(LN(2)/25)*Calculateur!BL178*Calculateur!BN178*VLOOKUP('Données projet'!$B$11,Paramètres!$A$1:$I$89,3,0)*0.475*44/12</f>
        <v>5.0566175994363869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6.7355342671417935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3.177547114319168E-13</v>
      </c>
      <c r="P179" s="13">
        <f t="shared" si="141"/>
        <v>4.1725404435445377E-12</v>
      </c>
      <c r="Q179" s="20">
        <f t="shared" si="162"/>
        <v>7.820597394917325E-12</v>
      </c>
      <c r="R179" s="59">
        <f t="shared" si="109"/>
        <v>293.33333333334116</v>
      </c>
      <c r="S179" s="59">
        <f ca="1">AVERAGE(OFFSET($R$3,0,0,'Données projet'!$E$9+1,1))-AVERAGE(OFFSET($H$3,0,0,'Données projet'!$E$9+1,1))</f>
        <v>314.07001555875894</v>
      </c>
      <c r="T179" s="59">
        <f t="shared" si="142"/>
        <v>281.53154885904991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28.277984515792724</v>
      </c>
      <c r="AA179" s="21">
        <f>EXP(-LN(2)/25)*AA178+(1-EXP(-LN(2)/25))/(LN(2)/25)*Calculateur!V179*Calculateur!X179*VLOOKUP('Données projet'!$B$9,Paramètres!$A$1:$I$89,3,0)*0.475*44/12</f>
        <v>4.0621201413993147</v>
      </c>
      <c r="AB179" s="21">
        <f>EXP(-LN(2)/2)*AB178+(1-EXP(-LN(2)/2))/(LN(2)/2)*V179*Y179*VLOOKUP('Données projet'!$B$9,Paramètres!$A$1:$I$89,3,0)*0.475*44/12</f>
        <v>8.3827971589589444E-15</v>
      </c>
      <c r="AC179" s="22">
        <f t="shared" si="163"/>
        <v>32.340104657192043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1.7053025658242404E-13</v>
      </c>
      <c r="AJ179" s="13">
        <f>AI179*VLOOKUP('Données projet'!$B$10,Paramètres!$A$1:$I$89,3,0)*VLOOKUP('Données projet'!$B$10,Paramètres!$A$1:$I$89,5,0)</f>
        <v>7.5374373409431432E-14</v>
      </c>
      <c r="AK179" s="13">
        <f t="shared" si="164"/>
        <v>1.1702184453493216E-12</v>
      </c>
      <c r="AL179" s="20">
        <f t="shared" si="165"/>
        <v>2.1694074926714947E-12</v>
      </c>
      <c r="AM179" s="59">
        <f t="shared" si="113"/>
        <v>293.33333333333547</v>
      </c>
      <c r="AN179" s="59">
        <f ca="1">AVERAGE(OFFSET($AM$3,0,0,'Données projet'!$E$10+1,1))-AVERAGE(OFFSET($H$3,0,0,'Données projet'!$E$10+1,1))</f>
        <v>218.3918302549892</v>
      </c>
      <c r="AO179" s="59">
        <f t="shared" si="144"/>
        <v>102.61932145411976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44.510296665417478</v>
      </c>
      <c r="AV179" s="21">
        <f>EXP(-LN(2)/25)*AV178+(1-EXP(-LN(2)/25))/(LN(2)/25)*Calculateur!AQ179*Calculateur!AS179*VLOOKUP('Données projet'!$B$10,Paramètres!$A$1:$I$89,3,0)*0.475*44/12</f>
        <v>9.1408657438401271</v>
      </c>
      <c r="AW179" s="21">
        <f>EXP(-LN(2)/2)*AW178+(1-EXP(-LN(2)/2))/(LN(2)/2)*AQ179*AT179*VLOOKUP('Données projet'!$B$10,Paramètres!$A$1:$I$89,3,0)*0.475*44/12</f>
        <v>1.8301846807180715E-7</v>
      </c>
      <c r="AX179" s="21">
        <f t="shared" si="166"/>
        <v>53.65116259227608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112.66486935566058</v>
      </c>
      <c r="BJ179" s="59">
        <f t="shared" si="146"/>
        <v>110.84860075828624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1.6459941358897556</v>
      </c>
      <c r="BQ179" s="21">
        <f>EXP(-LN(2)/25)*BQ178+(1-EXP(-LN(2)/25))/(LN(2)/25)*Calculateur!BL179*Calculateur!BN179*VLOOKUP('Données projet'!$B$11,Paramètres!$A$1:$I$89,3,0)*0.475*44/12</f>
        <v>4.918344125263836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6.5643382611535914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3.177547114319168E-13</v>
      </c>
      <c r="P180" s="13">
        <f t="shared" si="141"/>
        <v>4.1725404435445377E-12</v>
      </c>
      <c r="Q180" s="20">
        <f t="shared" si="162"/>
        <v>7.820597394917325E-12</v>
      </c>
      <c r="R180" s="59">
        <f t="shared" si="109"/>
        <v>293.33333333334116</v>
      </c>
      <c r="S180" s="59">
        <f ca="1">AVERAGE(OFFSET($R$3,0,0,'Données projet'!$E$9+1,1))-AVERAGE(OFFSET($H$3,0,0,'Données projet'!$E$9+1,1))</f>
        <v>314.07001555875894</v>
      </c>
      <c r="T180" s="59">
        <f t="shared" si="142"/>
        <v>281.53154885904991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27.723470487305498</v>
      </c>
      <c r="AA180" s="21">
        <f>EXP(-LN(2)/25)*AA179+(1-EXP(-LN(2)/25))/(LN(2)/25)*Calculateur!V180*Calculateur!X180*VLOOKUP('Données projet'!$B$9,Paramètres!$A$1:$I$89,3,0)*0.475*44/12</f>
        <v>3.9510412525151364</v>
      </c>
      <c r="AB180" s="21">
        <f>EXP(-LN(2)/2)*AB179+(1-EXP(-LN(2)/2))/(LN(2)/2)*V180*Y180*VLOOKUP('Données projet'!$B$9,Paramètres!$A$1:$I$89,3,0)*0.475*44/12</f>
        <v>5.9275327164111947E-15</v>
      </c>
      <c r="AC180" s="22">
        <f t="shared" si="163"/>
        <v>31.674511739820641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1.7053025658242404E-13</v>
      </c>
      <c r="AJ180" s="13">
        <f>AI180*VLOOKUP('Données projet'!$B$10,Paramètres!$A$1:$I$89,3,0)*VLOOKUP('Données projet'!$B$10,Paramètres!$A$1:$I$89,5,0)</f>
        <v>7.5374373409431432E-14</v>
      </c>
      <c r="AK180" s="13">
        <f t="shared" si="164"/>
        <v>1.1702184453493216E-12</v>
      </c>
      <c r="AL180" s="20">
        <f t="shared" si="165"/>
        <v>2.1694074926714947E-12</v>
      </c>
      <c r="AM180" s="59">
        <f t="shared" si="113"/>
        <v>293.33333333333547</v>
      </c>
      <c r="AN180" s="59">
        <f ca="1">AVERAGE(OFFSET($AM$3,0,0,'Données projet'!$E$10+1,1))-AVERAGE(OFFSET($H$3,0,0,'Données projet'!$E$10+1,1))</f>
        <v>218.3918302549892</v>
      </c>
      <c r="AO180" s="59">
        <f t="shared" si="144"/>
        <v>102.61932145411976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43.637476896408906</v>
      </c>
      <c r="AV180" s="21">
        <f>EXP(-LN(2)/25)*AV179+(1-EXP(-LN(2)/25))/(LN(2)/25)*Calculateur!AQ180*Calculateur!AS180*VLOOKUP('Données projet'!$B$10,Paramètres!$A$1:$I$89,3,0)*0.475*44/12</f>
        <v>8.890908289377581</v>
      </c>
      <c r="AW180" s="21">
        <f>EXP(-LN(2)/2)*AW179+(1-EXP(-LN(2)/2))/(LN(2)/2)*AQ180*AT180*VLOOKUP('Données projet'!$B$10,Paramètres!$A$1:$I$89,3,0)*0.475*44/12</f>
        <v>1.2941359985594847E-7</v>
      </c>
      <c r="AX180" s="21">
        <f t="shared" si="166"/>
        <v>52.52838531520009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112.66486935566058</v>
      </c>
      <c r="BJ180" s="59">
        <f t="shared" si="146"/>
        <v>110.84860075828624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1.613717194842248</v>
      </c>
      <c r="BQ180" s="21">
        <f>EXP(-LN(2)/25)*BQ179+(1-EXP(-LN(2)/25))/(LN(2)/25)*Calculateur!BL180*Calculateur!BN180*VLOOKUP('Données projet'!$B$11,Paramètres!$A$1:$I$89,3,0)*0.475*44/12</f>
        <v>4.7838517465140198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6.3975689413562673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3.177547114319168E-13</v>
      </c>
      <c r="P181" s="13">
        <f t="shared" si="141"/>
        <v>4.1725404435445377E-12</v>
      </c>
      <c r="Q181" s="20">
        <f t="shared" si="162"/>
        <v>7.820597394917325E-12</v>
      </c>
      <c r="R181" s="59">
        <f t="shared" si="109"/>
        <v>293.33333333334116</v>
      </c>
      <c r="S181" s="59">
        <f ca="1">AVERAGE(OFFSET($R$3,0,0,'Données projet'!$E$9+1,1))-AVERAGE(OFFSET($H$3,0,0,'Données projet'!$E$9+1,1))</f>
        <v>314.07001555875894</v>
      </c>
      <c r="T181" s="59">
        <f t="shared" si="142"/>
        <v>281.53154885904991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27.179830140696744</v>
      </c>
      <c r="AA181" s="21">
        <f>EXP(-LN(2)/25)*AA180+(1-EXP(-LN(2)/25))/(LN(2)/25)*Calculateur!V181*Calculateur!X181*VLOOKUP('Données projet'!$B$9,Paramètres!$A$1:$I$89,3,0)*0.475*44/12</f>
        <v>3.8429998216888808</v>
      </c>
      <c r="AB181" s="21">
        <f>EXP(-LN(2)/2)*AB180+(1-EXP(-LN(2)/2))/(LN(2)/2)*V181*Y181*VLOOKUP('Données projet'!$B$9,Paramètres!$A$1:$I$89,3,0)*0.475*44/12</f>
        <v>4.1913985794794722E-15</v>
      </c>
      <c r="AC181" s="22">
        <f t="shared" si="163"/>
        <v>31.022829962385629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1.7053025658242404E-13</v>
      </c>
      <c r="AJ181" s="13">
        <f>AI181*VLOOKUP('Données projet'!$B$10,Paramètres!$A$1:$I$89,3,0)*VLOOKUP('Données projet'!$B$10,Paramètres!$A$1:$I$89,5,0)</f>
        <v>7.5374373409431432E-14</v>
      </c>
      <c r="AK181" s="13">
        <f t="shared" si="164"/>
        <v>1.1702184453493216E-12</v>
      </c>
      <c r="AL181" s="20">
        <f t="shared" si="165"/>
        <v>2.1694074926714947E-12</v>
      </c>
      <c r="AM181" s="59">
        <f t="shared" si="113"/>
        <v>293.33333333333547</v>
      </c>
      <c r="AN181" s="59">
        <f ca="1">AVERAGE(OFFSET($AM$3,0,0,'Données projet'!$E$10+1,1))-AVERAGE(OFFSET($H$3,0,0,'Données projet'!$E$10+1,1))</f>
        <v>218.3918302549892</v>
      </c>
      <c r="AO181" s="59">
        <f t="shared" si="144"/>
        <v>102.61932145411976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42.781772590703099</v>
      </c>
      <c r="AV181" s="21">
        <f>EXP(-LN(2)/25)*AV180+(1-EXP(-LN(2)/25))/(LN(2)/25)*Calculateur!AQ181*Calculateur!AS181*VLOOKUP('Données projet'!$B$10,Paramètres!$A$1:$I$89,3,0)*0.475*44/12</f>
        <v>8.6477859346520045</v>
      </c>
      <c r="AW181" s="21">
        <f>EXP(-LN(2)/2)*AW180+(1-EXP(-LN(2)/2))/(LN(2)/2)*AQ181*AT181*VLOOKUP('Données projet'!$B$10,Paramètres!$A$1:$I$89,3,0)*0.475*44/12</f>
        <v>9.1509234035903574E-8</v>
      </c>
      <c r="AX181" s="21">
        <f t="shared" si="166"/>
        <v>51.429558616864341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112.66486935566058</v>
      </c>
      <c r="BJ181" s="59">
        <f t="shared" si="146"/>
        <v>110.84860075828624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1.5820731849216918</v>
      </c>
      <c r="BQ181" s="21">
        <f>EXP(-LN(2)/25)*BQ180+(1-EXP(-LN(2)/25))/(LN(2)/25)*Calculateur!BL181*Calculateur!BN181*VLOOKUP('Données projet'!$B$11,Paramètres!$A$1:$I$89,3,0)*0.475*44/12</f>
        <v>4.6530370689337639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6.2351102538554555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3.177547114319168E-13</v>
      </c>
      <c r="P182" s="13">
        <f t="shared" si="141"/>
        <v>4.1725404435445377E-12</v>
      </c>
      <c r="Q182" s="20">
        <f t="shared" si="162"/>
        <v>7.820597394917325E-12</v>
      </c>
      <c r="R182" s="59">
        <f t="shared" si="109"/>
        <v>293.33333333334116</v>
      </c>
      <c r="S182" s="59">
        <f ca="1">AVERAGE(OFFSET($R$3,0,0,'Données projet'!$E$9+1,1))-AVERAGE(OFFSET($H$3,0,0,'Données projet'!$E$9+1,1))</f>
        <v>314.07001555875894</v>
      </c>
      <c r="T182" s="59">
        <f t="shared" si="142"/>
        <v>281.53154885904991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26.64685024969712</v>
      </c>
      <c r="AA182" s="21">
        <f>EXP(-LN(2)/25)*AA181+(1-EXP(-LN(2)/25))/(LN(2)/25)*Calculateur!V182*Calculateur!X182*VLOOKUP('Données projet'!$B$9,Paramètres!$A$1:$I$89,3,0)*0.475*44/12</f>
        <v>3.7379127894702209</v>
      </c>
      <c r="AB182" s="21">
        <f>EXP(-LN(2)/2)*AB181+(1-EXP(-LN(2)/2))/(LN(2)/2)*V182*Y182*VLOOKUP('Données projet'!$B$9,Paramètres!$A$1:$I$89,3,0)*0.475*44/12</f>
        <v>2.9637663582055973E-15</v>
      </c>
      <c r="AC182" s="22">
        <f t="shared" si="163"/>
        <v>30.384763039167346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1.7053025658242404E-13</v>
      </c>
      <c r="AJ182" s="13">
        <f>AI182*VLOOKUP('Données projet'!$B$10,Paramètres!$A$1:$I$89,3,0)*VLOOKUP('Données projet'!$B$10,Paramètres!$A$1:$I$89,5,0)</f>
        <v>7.5374373409431432E-14</v>
      </c>
      <c r="AK182" s="13">
        <f t="shared" si="164"/>
        <v>1.1702184453493216E-12</v>
      </c>
      <c r="AL182" s="20">
        <f t="shared" si="165"/>
        <v>2.1694074926714947E-12</v>
      </c>
      <c r="AM182" s="59">
        <f t="shared" si="113"/>
        <v>293.33333333333547</v>
      </c>
      <c r="AN182" s="59">
        <f ca="1">AVERAGE(OFFSET($AM$3,0,0,'Données projet'!$E$10+1,1))-AVERAGE(OFFSET($H$3,0,0,'Données projet'!$E$10+1,1))</f>
        <v>218.3918302549892</v>
      </c>
      <c r="AO182" s="59">
        <f t="shared" si="144"/>
        <v>102.61932145411976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41.942848124504096</v>
      </c>
      <c r="AV182" s="21">
        <f>EXP(-LN(2)/25)*AV181+(1-EXP(-LN(2)/25))/(LN(2)/25)*Calculateur!AQ182*Calculateur!AS182*VLOOKUP('Données projet'!$B$10,Paramètres!$A$1:$I$89,3,0)*0.475*44/12</f>
        <v>8.411311773501648</v>
      </c>
      <c r="AW182" s="21">
        <f>EXP(-LN(2)/2)*AW181+(1-EXP(-LN(2)/2))/(LN(2)/2)*AQ182*AT182*VLOOKUP('Données projet'!$B$10,Paramètres!$A$1:$I$89,3,0)*0.475*44/12</f>
        <v>6.4706799927974235E-8</v>
      </c>
      <c r="AX182" s="21">
        <f t="shared" si="166"/>
        <v>50.354159962712551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112.66486935566058</v>
      </c>
      <c r="BJ182" s="59">
        <f t="shared" si="146"/>
        <v>110.84860075828624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1.5510496947347374</v>
      </c>
      <c r="BQ182" s="21">
        <f>EXP(-LN(2)/25)*BQ181+(1-EXP(-LN(2)/25))/(LN(2)/25)*Calculateur!BL182*Calculateur!BN182*VLOOKUP('Données projet'!$B$11,Paramètres!$A$1:$I$89,3,0)*0.475*44/12</f>
        <v>4.5257995255911849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6.0768492203259221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3.177547114319168E-13</v>
      </c>
      <c r="P183" s="13">
        <f t="shared" si="141"/>
        <v>4.1725404435445377E-12</v>
      </c>
      <c r="Q183" s="20">
        <f t="shared" si="162"/>
        <v>7.820597394917325E-12</v>
      </c>
      <c r="R183" s="59">
        <f t="shared" si="109"/>
        <v>293.33333333334116</v>
      </c>
      <c r="S183" s="59">
        <f ca="1">AVERAGE(OFFSET($R$3,0,0,'Données projet'!$E$9+1,1))-AVERAGE(OFFSET($H$3,0,0,'Données projet'!$E$9+1,1))</f>
        <v>314.07001555875894</v>
      </c>
      <c r="T183" s="59">
        <f t="shared" si="142"/>
        <v>281.53154885904991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26.124321769274363</v>
      </c>
      <c r="AA183" s="21">
        <f>EXP(-LN(2)/25)*AA182+(1-EXP(-LN(2)/25))/(LN(2)/25)*Calculateur!V183*Calculateur!X183*VLOOKUP('Données projet'!$B$9,Paramètres!$A$1:$I$89,3,0)*0.475*44/12</f>
        <v>3.6356993676738671</v>
      </c>
      <c r="AB183" s="21">
        <f>EXP(-LN(2)/2)*AB182+(1-EXP(-LN(2)/2))/(LN(2)/2)*V183*Y183*VLOOKUP('Données projet'!$B$9,Paramètres!$A$1:$I$89,3,0)*0.475*44/12</f>
        <v>2.0956992897397361E-15</v>
      </c>
      <c r="AC183" s="22">
        <f t="shared" si="163"/>
        <v>29.760021136948236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1.7053025658242404E-13</v>
      </c>
      <c r="AJ183" s="13">
        <f>AI183*VLOOKUP('Données projet'!$B$10,Paramètres!$A$1:$I$89,3,0)*VLOOKUP('Données projet'!$B$10,Paramètres!$A$1:$I$89,5,0)</f>
        <v>7.5374373409431432E-14</v>
      </c>
      <c r="AK183" s="13">
        <f t="shared" si="164"/>
        <v>1.1702184453493216E-12</v>
      </c>
      <c r="AL183" s="20">
        <f t="shared" si="165"/>
        <v>2.1694074926714947E-12</v>
      </c>
      <c r="AM183" s="59">
        <f t="shared" si="113"/>
        <v>293.33333333333547</v>
      </c>
      <c r="AN183" s="59">
        <f ca="1">AVERAGE(OFFSET($AM$3,0,0,'Données projet'!$E$10+1,1))-AVERAGE(OFFSET($H$3,0,0,'Données projet'!$E$10+1,1))</f>
        <v>218.3918302549892</v>
      </c>
      <c r="AO183" s="59">
        <f t="shared" si="144"/>
        <v>102.61932145411976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41.120374455393851</v>
      </c>
      <c r="AV183" s="21">
        <f>EXP(-LN(2)/25)*AV182+(1-EXP(-LN(2)/25))/(LN(2)/25)*Calculateur!AQ183*Calculateur!AS183*VLOOKUP('Données projet'!$B$10,Paramètres!$A$1:$I$89,3,0)*0.475*44/12</f>
        <v>8.1813040107235828</v>
      </c>
      <c r="AW183" s="21">
        <f>EXP(-LN(2)/2)*AW182+(1-EXP(-LN(2)/2))/(LN(2)/2)*AQ183*AT183*VLOOKUP('Données projet'!$B$10,Paramètres!$A$1:$I$89,3,0)*0.475*44/12</f>
        <v>4.5754617017951787E-8</v>
      </c>
      <c r="AX183" s="21">
        <f t="shared" si="166"/>
        <v>49.301678511872055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112.66486935566058</v>
      </c>
      <c r="BJ183" s="59">
        <f t="shared" si="146"/>
        <v>110.84860075828624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1.5206345562678887</v>
      </c>
      <c r="BQ183" s="21">
        <f>EXP(-LN(2)/25)*BQ182+(1-EXP(-LN(2)/25))/(LN(2)/25)*Calculateur!BL183*Calculateur!BN183*VLOOKUP('Données projet'!$B$11,Paramètres!$A$1:$I$89,3,0)*0.475*44/12</f>
        <v>4.4020412995624412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5.9226758558303301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3.177547114319168E-13</v>
      </c>
      <c r="P184" s="13">
        <f t="shared" si="141"/>
        <v>4.1725404435445377E-12</v>
      </c>
      <c r="Q184" s="20">
        <f t="shared" si="162"/>
        <v>7.820597394917325E-12</v>
      </c>
      <c r="R184" s="59">
        <f t="shared" si="109"/>
        <v>293.33333333334116</v>
      </c>
      <c r="S184" s="59">
        <f ca="1">AVERAGE(OFFSET($R$3,0,0,'Données projet'!$E$9+1,1))-AVERAGE(OFFSET($H$3,0,0,'Données projet'!$E$9+1,1))</f>
        <v>314.07001555875894</v>
      </c>
      <c r="T184" s="59">
        <f t="shared" si="142"/>
        <v>281.53154885904991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25.612039753641795</v>
      </c>
      <c r="AA184" s="21">
        <f>EXP(-LN(2)/25)*AA183+(1-EXP(-LN(2)/25))/(LN(2)/25)*Calculateur!V184*Calculateur!X184*VLOOKUP('Données projet'!$B$9,Paramètres!$A$1:$I$89,3,0)*0.475*44/12</f>
        <v>3.536280977271705</v>
      </c>
      <c r="AB184" s="21">
        <f>EXP(-LN(2)/2)*AB183+(1-EXP(-LN(2)/2))/(LN(2)/2)*V184*Y184*VLOOKUP('Données projet'!$B$9,Paramètres!$A$1:$I$89,3,0)*0.475*44/12</f>
        <v>1.4818831791027987E-15</v>
      </c>
      <c r="AC184" s="22">
        <f t="shared" si="163"/>
        <v>29.1483207309135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1.7053025658242404E-13</v>
      </c>
      <c r="AJ184" s="13">
        <f>AI184*VLOOKUP('Données projet'!$B$10,Paramètres!$A$1:$I$89,3,0)*VLOOKUP('Données projet'!$B$10,Paramètres!$A$1:$I$89,5,0)</f>
        <v>7.5374373409431432E-14</v>
      </c>
      <c r="AK184" s="13">
        <f t="shared" si="164"/>
        <v>1.1702184453493216E-12</v>
      </c>
      <c r="AL184" s="20">
        <f t="shared" si="165"/>
        <v>2.1694074926714947E-12</v>
      </c>
      <c r="AM184" s="59">
        <f t="shared" si="113"/>
        <v>293.33333333333547</v>
      </c>
      <c r="AN184" s="59">
        <f ca="1">AVERAGE(OFFSET($AM$3,0,0,'Données projet'!$E$10+1,1))-AVERAGE(OFFSET($H$3,0,0,'Données projet'!$E$10+1,1))</f>
        <v>218.3918302549892</v>
      </c>
      <c r="AO184" s="59">
        <f t="shared" si="144"/>
        <v>102.61932145411976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40.314028993275457</v>
      </c>
      <c r="AV184" s="21">
        <f>EXP(-LN(2)/25)*AV183+(1-EXP(-LN(2)/25))/(LN(2)/25)*Calculateur!AQ184*Calculateur!AS184*VLOOKUP('Données projet'!$B$10,Paramètres!$A$1:$I$89,3,0)*0.475*44/12</f>
        <v>7.9575858223142673</v>
      </c>
      <c r="AW184" s="21">
        <f>EXP(-LN(2)/2)*AW183+(1-EXP(-LN(2)/2))/(LN(2)/2)*AQ184*AT184*VLOOKUP('Données projet'!$B$10,Paramètres!$A$1:$I$89,3,0)*0.475*44/12</f>
        <v>3.2353399963987117E-8</v>
      </c>
      <c r="AX184" s="21">
        <f t="shared" si="166"/>
        <v>48.27161484794312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112.66486935566058</v>
      </c>
      <c r="BJ184" s="59">
        <f t="shared" si="146"/>
        <v>110.84860075828624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1.490815840114972</v>
      </c>
      <c r="BQ184" s="21">
        <f>EXP(-LN(2)/25)*BQ183+(1-EXP(-LN(2)/25))/(LN(2)/25)*Calculateur!BL184*Calculateur!BN184*VLOOKUP('Données projet'!$B$11,Paramètres!$A$1:$I$89,3,0)*0.475*44/12</f>
        <v>4.2816672487326155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5.7724830888475873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3.177547114319168E-13</v>
      </c>
      <c r="P185" s="13">
        <f t="shared" si="141"/>
        <v>4.1725404435445377E-12</v>
      </c>
      <c r="Q185" s="20">
        <f t="shared" si="162"/>
        <v>7.820597394917325E-12</v>
      </c>
      <c r="R185" s="59">
        <f t="shared" si="109"/>
        <v>293.33333333334116</v>
      </c>
      <c r="S185" s="59">
        <f ca="1">AVERAGE(OFFSET($R$3,0,0,'Données projet'!$E$9+1,1))-AVERAGE(OFFSET($H$3,0,0,'Données projet'!$E$9+1,1))</f>
        <v>314.07001555875894</v>
      </c>
      <c r="T185" s="59">
        <f t="shared" si="142"/>
        <v>281.53154885904991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25.109803275874604</v>
      </c>
      <c r="AA185" s="21">
        <f>EXP(-LN(2)/25)*AA184+(1-EXP(-LN(2)/25))/(LN(2)/25)*Calculateur!V185*Calculateur!X185*VLOOKUP('Données projet'!$B$9,Paramètres!$A$1:$I$89,3,0)*0.475*44/12</f>
        <v>3.4395811879832761</v>
      </c>
      <c r="AB185" s="21">
        <f>EXP(-LN(2)/2)*AB184+(1-EXP(-LN(2)/2))/(LN(2)/2)*V185*Y185*VLOOKUP('Données projet'!$B$9,Paramètres!$A$1:$I$89,3,0)*0.475*44/12</f>
        <v>1.047849644869868E-15</v>
      </c>
      <c r="AC185" s="22">
        <f t="shared" si="163"/>
        <v>28.54938446385788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1.7053025658242404E-13</v>
      </c>
      <c r="AJ185" s="13">
        <f>AI185*VLOOKUP('Données projet'!$B$10,Paramètres!$A$1:$I$89,3,0)*VLOOKUP('Données projet'!$B$10,Paramètres!$A$1:$I$89,5,0)</f>
        <v>7.5374373409431432E-14</v>
      </c>
      <c r="AK185" s="13">
        <f t="shared" si="164"/>
        <v>1.1702184453493216E-12</v>
      </c>
      <c r="AL185" s="20">
        <f t="shared" si="165"/>
        <v>2.1694074926714947E-12</v>
      </c>
      <c r="AM185" s="59">
        <f t="shared" si="113"/>
        <v>293.33333333333547</v>
      </c>
      <c r="AN185" s="59">
        <f ca="1">AVERAGE(OFFSET($AM$3,0,0,'Données projet'!$E$10+1,1))-AVERAGE(OFFSET($H$3,0,0,'Données projet'!$E$10+1,1))</f>
        <v>218.3918302549892</v>
      </c>
      <c r="AO185" s="59">
        <f t="shared" si="144"/>
        <v>102.61932145411976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39.523495473847035</v>
      </c>
      <c r="AV185" s="21">
        <f>EXP(-LN(2)/25)*AV184+(1-EXP(-LN(2)/25))/(LN(2)/25)*Calculateur!AQ185*Calculateur!AS185*VLOOKUP('Données projet'!$B$10,Paramètres!$A$1:$I$89,3,0)*0.475*44/12</f>
        <v>7.7399852195318326</v>
      </c>
      <c r="AW185" s="21">
        <f>EXP(-LN(2)/2)*AW184+(1-EXP(-LN(2)/2))/(LN(2)/2)*AQ185*AT185*VLOOKUP('Données projet'!$B$10,Paramètres!$A$1:$I$89,3,0)*0.475*44/12</f>
        <v>2.2877308508975893E-8</v>
      </c>
      <c r="AX185" s="21">
        <f t="shared" si="166"/>
        <v>47.263480716256176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112.66486935566058</v>
      </c>
      <c r="BJ185" s="59">
        <f t="shared" si="146"/>
        <v>110.84860075828624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1.4615818507981932</v>
      </c>
      <c r="BQ185" s="21">
        <f>EXP(-LN(2)/25)*BQ184+(1-EXP(-LN(2)/25))/(LN(2)/25)*Calculateur!BL185*Calculateur!BN185*VLOOKUP('Données projet'!$B$11,Paramètres!$A$1:$I$89,3,0)*0.475*44/12</f>
        <v>4.1645848326529276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5.626166683451121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3.177547114319168E-13</v>
      </c>
      <c r="P186" s="13">
        <f t="shared" si="141"/>
        <v>4.1725404435445377E-12</v>
      </c>
      <c r="Q186" s="20">
        <f t="shared" si="162"/>
        <v>7.820597394917325E-12</v>
      </c>
      <c r="R186" s="59">
        <f t="shared" si="109"/>
        <v>293.33333333334116</v>
      </c>
      <c r="S186" s="59">
        <f ca="1">AVERAGE(OFFSET($R$3,0,0,'Données projet'!$E$9+1,1))-AVERAGE(OFFSET($H$3,0,0,'Données projet'!$E$9+1,1))</f>
        <v>314.07001555875894</v>
      </c>
      <c r="T186" s="59">
        <f t="shared" si="142"/>
        <v>281.53154885904991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24.617415349102426</v>
      </c>
      <c r="AA186" s="21">
        <f>EXP(-LN(2)/25)*AA185+(1-EXP(-LN(2)/25))/(LN(2)/25)*Calculateur!V186*Calculateur!X186*VLOOKUP('Données projet'!$B$9,Paramètres!$A$1:$I$89,3,0)*0.475*44/12</f>
        <v>3.3455256595181599</v>
      </c>
      <c r="AB186" s="21">
        <f>EXP(-LN(2)/2)*AB185+(1-EXP(-LN(2)/2))/(LN(2)/2)*V186*Y186*VLOOKUP('Données projet'!$B$9,Paramètres!$A$1:$I$89,3,0)*0.475*44/12</f>
        <v>7.4094158955139933E-16</v>
      </c>
      <c r="AC186" s="22">
        <f t="shared" si="163"/>
        <v>27.962941008620586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1.7053025658242404E-13</v>
      </c>
      <c r="AJ186" s="13">
        <f>AI186*VLOOKUP('Données projet'!$B$10,Paramètres!$A$1:$I$89,3,0)*VLOOKUP('Données projet'!$B$10,Paramètres!$A$1:$I$89,5,0)</f>
        <v>7.5374373409431432E-14</v>
      </c>
      <c r="AK186" s="13">
        <f t="shared" si="164"/>
        <v>1.1702184453493216E-12</v>
      </c>
      <c r="AL186" s="20">
        <f t="shared" si="165"/>
        <v>2.1694074926714947E-12</v>
      </c>
      <c r="AM186" s="59">
        <f t="shared" si="113"/>
        <v>293.33333333333547</v>
      </c>
      <c r="AN186" s="59">
        <f ca="1">AVERAGE(OFFSET($AM$3,0,0,'Données projet'!$E$10+1,1))-AVERAGE(OFFSET($H$3,0,0,'Données projet'!$E$10+1,1))</f>
        <v>218.3918302549892</v>
      </c>
      <c r="AO186" s="59">
        <f t="shared" si="144"/>
        <v>102.61932145411976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38.748463834556773</v>
      </c>
      <c r="AV186" s="21">
        <f>EXP(-LN(2)/25)*AV185+(1-EXP(-LN(2)/25))/(LN(2)/25)*Calculateur!AQ186*Calculateur!AS186*VLOOKUP('Données projet'!$B$10,Paramètres!$A$1:$I$89,3,0)*0.475*44/12</f>
        <v>7.5283349166756022</v>
      </c>
      <c r="AW186" s="21">
        <f>EXP(-LN(2)/2)*AW185+(1-EXP(-LN(2)/2))/(LN(2)/2)*AQ186*AT186*VLOOKUP('Données projet'!$B$10,Paramètres!$A$1:$I$89,3,0)*0.475*44/12</f>
        <v>1.6176699981993559E-8</v>
      </c>
      <c r="AX186" s="21">
        <f t="shared" si="166"/>
        <v>46.276798767409076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112.66486935566058</v>
      </c>
      <c r="BJ186" s="59">
        <f t="shared" si="146"/>
        <v>110.84860075828624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1.4329211221809437</v>
      </c>
      <c r="BQ186" s="21">
        <f>EXP(-LN(2)/25)*BQ185+(1-EXP(-LN(2)/25))/(LN(2)/25)*Calculateur!BL186*Calculateur!BN186*VLOOKUP('Données projet'!$B$11,Paramètres!$A$1:$I$89,3,0)*0.475*44/12</f>
        <v>4.0507040413980349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5.4836251635789788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3.177547114319168E-13</v>
      </c>
      <c r="P187" s="13">
        <f t="shared" si="141"/>
        <v>4.1725404435445377E-12</v>
      </c>
      <c r="Q187" s="20">
        <f t="shared" si="162"/>
        <v>7.820597394917325E-12</v>
      </c>
      <c r="R187" s="59">
        <f t="shared" si="109"/>
        <v>293.33333333334116</v>
      </c>
      <c r="S187" s="59">
        <f ca="1">AVERAGE(OFFSET($R$3,0,0,'Données projet'!$E$9+1,1))-AVERAGE(OFFSET($H$3,0,0,'Données projet'!$E$9+1,1))</f>
        <v>314.07001555875894</v>
      </c>
      <c r="T187" s="59">
        <f t="shared" si="142"/>
        <v>281.53154885904991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24.13468284924727</v>
      </c>
      <c r="AA187" s="21">
        <f>EXP(-LN(2)/25)*AA186+(1-EXP(-LN(2)/25))/(LN(2)/25)*Calculateur!V187*Calculateur!X187*VLOOKUP('Données projet'!$B$9,Paramètres!$A$1:$I$89,3,0)*0.475*44/12</f>
        <v>3.2540420844250879</v>
      </c>
      <c r="AB187" s="21">
        <f>EXP(-LN(2)/2)*AB186+(1-EXP(-LN(2)/2))/(LN(2)/2)*V187*Y187*VLOOKUP('Données projet'!$B$9,Paramètres!$A$1:$I$89,3,0)*0.475*44/12</f>
        <v>5.2392482243493402E-16</v>
      </c>
      <c r="AC187" s="22">
        <f t="shared" si="163"/>
        <v>27.388724933672357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1.7053025658242404E-13</v>
      </c>
      <c r="AJ187" s="13">
        <f>AI187*VLOOKUP('Données projet'!$B$10,Paramètres!$A$1:$I$89,3,0)*VLOOKUP('Données projet'!$B$10,Paramètres!$A$1:$I$89,5,0)</f>
        <v>7.5374373409431432E-14</v>
      </c>
      <c r="AK187" s="13">
        <f t="shared" si="164"/>
        <v>1.1702184453493216E-12</v>
      </c>
      <c r="AL187" s="20">
        <f t="shared" si="165"/>
        <v>2.1694074926714947E-12</v>
      </c>
      <c r="AM187" s="59">
        <f t="shared" si="113"/>
        <v>293.33333333333547</v>
      </c>
      <c r="AN187" s="59">
        <f ca="1">AVERAGE(OFFSET($AM$3,0,0,'Données projet'!$E$10+1,1))-AVERAGE(OFFSET($H$3,0,0,'Données projet'!$E$10+1,1))</f>
        <v>218.3918302549892</v>
      </c>
      <c r="AO187" s="59">
        <f t="shared" si="144"/>
        <v>102.61932145411976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37.98863009299037</v>
      </c>
      <c r="AV187" s="21">
        <f>EXP(-LN(2)/25)*AV186+(1-EXP(-LN(2)/25))/(LN(2)/25)*Calculateur!AQ187*Calculateur!AS187*VLOOKUP('Données projet'!$B$10,Paramètres!$A$1:$I$89,3,0)*0.475*44/12</f>
        <v>7.3224722024811806</v>
      </c>
      <c r="AW187" s="21">
        <f>EXP(-LN(2)/2)*AW186+(1-EXP(-LN(2)/2))/(LN(2)/2)*AQ187*AT187*VLOOKUP('Données projet'!$B$10,Paramètres!$A$1:$I$89,3,0)*0.475*44/12</f>
        <v>1.1438654254487947E-8</v>
      </c>
      <c r="AX187" s="21">
        <f t="shared" si="166"/>
        <v>45.3111023069102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112.66486935566058</v>
      </c>
      <c r="BJ187" s="59">
        <f t="shared" si="146"/>
        <v>110.84860075828624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1.40482241297056</v>
      </c>
      <c r="BQ187" s="21">
        <f>EXP(-LN(2)/25)*BQ186+(1-EXP(-LN(2)/25))/(LN(2)/25)*Calculateur!BL187*Calculateur!BN187*VLOOKUP('Données projet'!$B$11,Paramètres!$A$1:$I$89,3,0)*0.475*44/12</f>
        <v>3.9399373263687383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5.344759739339298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3.177547114319168E-13</v>
      </c>
      <c r="P188" s="13">
        <f t="shared" si="141"/>
        <v>4.1725404435445377E-12</v>
      </c>
      <c r="Q188" s="20">
        <f t="shared" si="162"/>
        <v>7.820597394917325E-12</v>
      </c>
      <c r="R188" s="59">
        <f t="shared" si="109"/>
        <v>293.33333333334116</v>
      </c>
      <c r="S188" s="59">
        <f ca="1">AVERAGE(OFFSET($R$3,0,0,'Données projet'!$E$9+1,1))-AVERAGE(OFFSET($H$3,0,0,'Données projet'!$E$9+1,1))</f>
        <v>314.07001555875894</v>
      </c>
      <c r="T188" s="59">
        <f t="shared" si="142"/>
        <v>281.53154885904991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23.661416439276518</v>
      </c>
      <c r="AA188" s="21">
        <f>EXP(-LN(2)/25)*AA187+(1-EXP(-LN(2)/25))/(LN(2)/25)*Calculateur!V188*Calculateur!X188*VLOOKUP('Données projet'!$B$9,Paramètres!$A$1:$I$89,3,0)*0.475*44/12</f>
        <v>3.1650601325038479</v>
      </c>
      <c r="AB188" s="21">
        <f>EXP(-LN(2)/2)*AB187+(1-EXP(-LN(2)/2))/(LN(2)/2)*V188*Y188*VLOOKUP('Données projet'!$B$9,Paramètres!$A$1:$I$89,3,0)*0.475*44/12</f>
        <v>3.7047079477569967E-16</v>
      </c>
      <c r="AC188" s="22">
        <f t="shared" si="163"/>
        <v>26.826476571780365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1.7053025658242404E-13</v>
      </c>
      <c r="AJ188" s="13">
        <f>AI188*VLOOKUP('Données projet'!$B$10,Paramètres!$A$1:$I$89,3,0)*VLOOKUP('Données projet'!$B$10,Paramètres!$A$1:$I$89,5,0)</f>
        <v>7.5374373409431432E-14</v>
      </c>
      <c r="AK188" s="13">
        <f t="shared" si="164"/>
        <v>1.1702184453493216E-12</v>
      </c>
      <c r="AL188" s="20">
        <f t="shared" si="165"/>
        <v>2.1694074926714947E-12</v>
      </c>
      <c r="AM188" s="59">
        <f t="shared" si="113"/>
        <v>293.33333333333547</v>
      </c>
      <c r="AN188" s="59">
        <f ca="1">AVERAGE(OFFSET($AM$3,0,0,'Données projet'!$E$10+1,1))-AVERAGE(OFFSET($H$3,0,0,'Données projet'!$E$10+1,1))</f>
        <v>218.3918302549892</v>
      </c>
      <c r="AO188" s="59">
        <f t="shared" si="144"/>
        <v>102.61932145411976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37.243696227643262</v>
      </c>
      <c r="AV188" s="21">
        <f>EXP(-LN(2)/25)*AV187+(1-EXP(-LN(2)/25))/(LN(2)/25)*Calculateur!AQ188*Calculateur!AS188*VLOOKUP('Données projet'!$B$10,Paramètres!$A$1:$I$89,3,0)*0.475*44/12</f>
        <v>7.1222388150322553</v>
      </c>
      <c r="AW188" s="21">
        <f>EXP(-LN(2)/2)*AW187+(1-EXP(-LN(2)/2))/(LN(2)/2)*AQ188*AT188*VLOOKUP('Données projet'!$B$10,Paramètres!$A$1:$I$89,3,0)*0.475*44/12</f>
        <v>8.0883499909967794E-9</v>
      </c>
      <c r="AX188" s="21">
        <f t="shared" si="166"/>
        <v>44.365935050763866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112.66486935566058</v>
      </c>
      <c r="BJ188" s="59">
        <f t="shared" si="146"/>
        <v>110.84860075828624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1.3772747023092715</v>
      </c>
      <c r="BQ188" s="21">
        <f>EXP(-LN(2)/25)*BQ187+(1-EXP(-LN(2)/25))/(LN(2)/25)*Calculateur!BL188*Calculateur!BN188*VLOOKUP('Données projet'!$B$11,Paramètres!$A$1:$I$89,3,0)*0.475*44/12</f>
        <v>3.8321995329868859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5.2094742352961578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3.177547114319168E-13</v>
      </c>
      <c r="P189" s="13">
        <f t="shared" si="141"/>
        <v>4.1725404435445377E-12</v>
      </c>
      <c r="Q189" s="20">
        <f t="shared" si="162"/>
        <v>7.820597394917325E-12</v>
      </c>
      <c r="R189" s="59">
        <f t="shared" si="109"/>
        <v>293.33333333334116</v>
      </c>
      <c r="S189" s="59">
        <f ca="1">AVERAGE(OFFSET($R$3,0,0,'Données projet'!$E$9+1,1))-AVERAGE(OFFSET($H$3,0,0,'Données projet'!$E$9+1,1))</f>
        <v>314.07001555875894</v>
      </c>
      <c r="T189" s="59">
        <f t="shared" si="142"/>
        <v>281.53154885904991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23.197430494941287</v>
      </c>
      <c r="AA189" s="21">
        <f>EXP(-LN(2)/25)*AA188+(1-EXP(-LN(2)/25))/(LN(2)/25)*Calculateur!V189*Calculateur!X189*VLOOKUP('Données projet'!$B$9,Paramètres!$A$1:$I$89,3,0)*0.475*44/12</f>
        <v>3.0785113967372517</v>
      </c>
      <c r="AB189" s="21">
        <f>EXP(-LN(2)/2)*AB188+(1-EXP(-LN(2)/2))/(LN(2)/2)*V189*Y189*VLOOKUP('Données projet'!$B$9,Paramètres!$A$1:$I$89,3,0)*0.475*44/12</f>
        <v>2.6196241121746701E-16</v>
      </c>
      <c r="AC189" s="22">
        <f t="shared" si="163"/>
        <v>26.275941891678539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1.7053025658242404E-13</v>
      </c>
      <c r="AJ189" s="13">
        <f>AI189*VLOOKUP('Données projet'!$B$10,Paramètres!$A$1:$I$89,3,0)*VLOOKUP('Données projet'!$B$10,Paramètres!$A$1:$I$89,5,0)</f>
        <v>7.5374373409431432E-14</v>
      </c>
      <c r="AK189" s="13">
        <f t="shared" si="164"/>
        <v>1.1702184453493216E-12</v>
      </c>
      <c r="AL189" s="20">
        <f t="shared" si="165"/>
        <v>2.1694074926714947E-12</v>
      </c>
      <c r="AM189" s="59">
        <f t="shared" si="113"/>
        <v>293.33333333333547</v>
      </c>
      <c r="AN189" s="59">
        <f ca="1">AVERAGE(OFFSET($AM$3,0,0,'Données projet'!$E$10+1,1))-AVERAGE(OFFSET($H$3,0,0,'Données projet'!$E$10+1,1))</f>
        <v>218.3918302549892</v>
      </c>
      <c r="AO189" s="59">
        <f t="shared" si="144"/>
        <v>102.61932145411976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36.51337006103082</v>
      </c>
      <c r="AV189" s="21">
        <f>EXP(-LN(2)/25)*AV188+(1-EXP(-LN(2)/25))/(LN(2)/25)*Calculateur!AQ189*Calculateur!AS189*VLOOKUP('Données projet'!$B$10,Paramètres!$A$1:$I$89,3,0)*0.475*44/12</f>
        <v>6.9274808200929368</v>
      </c>
      <c r="AW189" s="21">
        <f>EXP(-LN(2)/2)*AW188+(1-EXP(-LN(2)/2))/(LN(2)/2)*AQ189*AT189*VLOOKUP('Données projet'!$B$10,Paramètres!$A$1:$I$89,3,0)*0.475*44/12</f>
        <v>5.7193271272439733E-9</v>
      </c>
      <c r="AX189" s="21">
        <f t="shared" si="166"/>
        <v>43.440850886843087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112.66486935566058</v>
      </c>
      <c r="BJ189" s="59">
        <f t="shared" si="146"/>
        <v>110.84860075828624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1.3502671854516066</v>
      </c>
      <c r="BQ189" s="21">
        <f>EXP(-LN(2)/25)*BQ188+(1-EXP(-LN(2)/25))/(LN(2)/25)*Calculateur!BL189*Calculateur!BN189*VLOOKUP('Données projet'!$B$11,Paramètres!$A$1:$I$89,3,0)*0.475*44/12</f>
        <v>3.7274078352307445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5.0776750206823511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3.177547114319168E-13</v>
      </c>
      <c r="P190" s="13">
        <f t="shared" si="141"/>
        <v>4.1725404435445377E-12</v>
      </c>
      <c r="Q190" s="20">
        <f t="shared" si="162"/>
        <v>7.820597394917325E-12</v>
      </c>
      <c r="R190" s="59">
        <f t="shared" si="109"/>
        <v>293.33333333334116</v>
      </c>
      <c r="S190" s="59">
        <f ca="1">AVERAGE(OFFSET($R$3,0,0,'Données projet'!$E$9+1,1))-AVERAGE(OFFSET($H$3,0,0,'Données projet'!$E$9+1,1))</f>
        <v>314.07001555875894</v>
      </c>
      <c r="T190" s="59">
        <f t="shared" si="142"/>
        <v>281.53154885904991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22.742543031970989</v>
      </c>
      <c r="AA190" s="21">
        <f>EXP(-LN(2)/25)*AA189+(1-EXP(-LN(2)/25))/(LN(2)/25)*Calculateur!V190*Calculateur!X190*VLOOKUP('Données projet'!$B$9,Paramètres!$A$1:$I$89,3,0)*0.475*44/12</f>
        <v>2.9943293407015932</v>
      </c>
      <c r="AB190" s="21">
        <f>EXP(-LN(2)/2)*AB189+(1-EXP(-LN(2)/2))/(LN(2)/2)*V190*Y190*VLOOKUP('Données projet'!$B$9,Paramètres!$A$1:$I$89,3,0)*0.475*44/12</f>
        <v>1.8523539738784983E-16</v>
      </c>
      <c r="AC190" s="22">
        <f t="shared" si="163"/>
        <v>25.736872372672583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1.7053025658242404E-13</v>
      </c>
      <c r="AJ190" s="13">
        <f>AI190*VLOOKUP('Données projet'!$B$10,Paramètres!$A$1:$I$89,3,0)*VLOOKUP('Données projet'!$B$10,Paramètres!$A$1:$I$89,5,0)</f>
        <v>7.5374373409431432E-14</v>
      </c>
      <c r="AK190" s="13">
        <f t="shared" si="164"/>
        <v>1.1702184453493216E-12</v>
      </c>
      <c r="AL190" s="20">
        <f t="shared" si="165"/>
        <v>2.1694074926714947E-12</v>
      </c>
      <c r="AM190" s="59">
        <f t="shared" si="113"/>
        <v>293.33333333333547</v>
      </c>
      <c r="AN190" s="59">
        <f ca="1">AVERAGE(OFFSET($AM$3,0,0,'Données projet'!$E$10+1,1))-AVERAGE(OFFSET($H$3,0,0,'Données projet'!$E$10+1,1))</f>
        <v>218.3918302549892</v>
      </c>
      <c r="AO190" s="59">
        <f t="shared" si="144"/>
        <v>102.61932145411976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35.797365145090666</v>
      </c>
      <c r="AV190" s="21">
        <f>EXP(-LN(2)/25)*AV189+(1-EXP(-LN(2)/25))/(LN(2)/25)*Calculateur!AQ190*Calculateur!AS190*VLOOKUP('Données projet'!$B$10,Paramètres!$A$1:$I$89,3,0)*0.475*44/12</f>
        <v>6.7380484927671116</v>
      </c>
      <c r="AW190" s="21">
        <f>EXP(-LN(2)/2)*AW189+(1-EXP(-LN(2)/2))/(LN(2)/2)*AQ190*AT190*VLOOKUP('Données projet'!$B$10,Paramètres!$A$1:$I$89,3,0)*0.475*44/12</f>
        <v>4.0441749954983897E-9</v>
      </c>
      <c r="AX190" s="21">
        <f t="shared" si="166"/>
        <v>42.535413641901954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112.66486935566058</v>
      </c>
      <c r="BJ190" s="59">
        <f t="shared" si="146"/>
        <v>110.84860075828624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1.3237892695265618</v>
      </c>
      <c r="BQ190" s="21">
        <f>EXP(-LN(2)/25)*BQ189+(1-EXP(-LN(2)/25))/(LN(2)/25)*Calculateur!BL190*Calculateur!BN190*VLOOKUP('Données projet'!$B$11,Paramètres!$A$1:$I$89,3,0)*0.475*44/12</f>
        <v>3.6254816719605008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4.9492709414870628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3.177547114319168E-13</v>
      </c>
      <c r="P191" s="13">
        <f t="shared" si="141"/>
        <v>4.1725404435445377E-12</v>
      </c>
      <c r="Q191" s="20">
        <f t="shared" si="162"/>
        <v>7.820597394917325E-12</v>
      </c>
      <c r="R191" s="59">
        <f t="shared" si="109"/>
        <v>293.33333333334116</v>
      </c>
      <c r="S191" s="59">
        <f ca="1">AVERAGE(OFFSET($R$3,0,0,'Données projet'!$E$9+1,1))-AVERAGE(OFFSET($H$3,0,0,'Données projet'!$E$9+1,1))</f>
        <v>314.07001555875894</v>
      </c>
      <c r="T191" s="59">
        <f t="shared" si="142"/>
        <v>281.53154885904991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22.296575634695582</v>
      </c>
      <c r="AA191" s="21">
        <f>EXP(-LN(2)/25)*AA190+(1-EXP(-LN(2)/25))/(LN(2)/25)*Calculateur!V191*Calculateur!X191*VLOOKUP('Données projet'!$B$9,Paramètres!$A$1:$I$89,3,0)*0.475*44/12</f>
        <v>2.9124492474151715</v>
      </c>
      <c r="AB191" s="21">
        <f>EXP(-LN(2)/2)*AB190+(1-EXP(-LN(2)/2))/(LN(2)/2)*V191*Y191*VLOOKUP('Données projet'!$B$9,Paramètres!$A$1:$I$89,3,0)*0.475*44/12</f>
        <v>1.3098120560873351E-16</v>
      </c>
      <c r="AC191" s="22">
        <f t="shared" si="163"/>
        <v>25.209024882110754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1.7053025658242404E-13</v>
      </c>
      <c r="AJ191" s="13">
        <f>AI191*VLOOKUP('Données projet'!$B$10,Paramètres!$A$1:$I$89,3,0)*VLOOKUP('Données projet'!$B$10,Paramètres!$A$1:$I$89,5,0)</f>
        <v>7.5374373409431432E-14</v>
      </c>
      <c r="AK191" s="13">
        <f t="shared" si="164"/>
        <v>1.1702184453493216E-12</v>
      </c>
      <c r="AL191" s="20">
        <f t="shared" si="165"/>
        <v>2.1694074926714947E-12</v>
      </c>
      <c r="AM191" s="59">
        <f t="shared" si="113"/>
        <v>293.33333333333547</v>
      </c>
      <c r="AN191" s="59">
        <f ca="1">AVERAGE(OFFSET($AM$3,0,0,'Données projet'!$E$10+1,1))-AVERAGE(OFFSET($H$3,0,0,'Données projet'!$E$10+1,1))</f>
        <v>218.3918302549892</v>
      </c>
      <c r="AO191" s="59">
        <f t="shared" si="144"/>
        <v>102.61932145411976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35.095400648832225</v>
      </c>
      <c r="AV191" s="21">
        <f>EXP(-LN(2)/25)*AV190+(1-EXP(-LN(2)/25))/(LN(2)/25)*Calculateur!AQ191*Calculateur!AS191*VLOOKUP('Données projet'!$B$10,Paramètres!$A$1:$I$89,3,0)*0.475*44/12</f>
        <v>6.5537962023938245</v>
      </c>
      <c r="AW191" s="21">
        <f>EXP(-LN(2)/2)*AW190+(1-EXP(-LN(2)/2))/(LN(2)/2)*AQ191*AT191*VLOOKUP('Données projet'!$B$10,Paramètres!$A$1:$I$89,3,0)*0.475*44/12</f>
        <v>2.8596635636219867E-9</v>
      </c>
      <c r="AX191" s="21">
        <f t="shared" si="166"/>
        <v>41.649196854085716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112.66486935566058</v>
      </c>
      <c r="BJ191" s="59">
        <f t="shared" si="146"/>
        <v>110.84860075828624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1.2978305693828731</v>
      </c>
      <c r="BQ191" s="21">
        <f>EXP(-LN(2)/25)*BQ190+(1-EXP(-LN(2)/25))/(LN(2)/25)*Calculateur!BL191*Calculateur!BN191*VLOOKUP('Données projet'!$B$11,Paramètres!$A$1:$I$89,3,0)*0.475*44/12</f>
        <v>3.5263426849849457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4.8241732543678193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3.177547114319168E-13</v>
      </c>
      <c r="P192" s="13">
        <f t="shared" si="141"/>
        <v>4.1725404435445377E-12</v>
      </c>
      <c r="Q192" s="20">
        <f t="shared" si="162"/>
        <v>7.820597394917325E-12</v>
      </c>
      <c r="R192" s="59">
        <f t="shared" si="109"/>
        <v>293.33333333334116</v>
      </c>
      <c r="S192" s="59">
        <f ca="1">AVERAGE(OFFSET($R$3,0,0,'Données projet'!$E$9+1,1))-AVERAGE(OFFSET($H$3,0,0,'Données projet'!$E$9+1,1))</f>
        <v>314.07001555875894</v>
      </c>
      <c r="T192" s="59">
        <f t="shared" si="142"/>
        <v>281.53154885904991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21.859353386067493</v>
      </c>
      <c r="AA192" s="21">
        <f>EXP(-LN(2)/25)*AA191+(1-EXP(-LN(2)/25))/(LN(2)/25)*Calculateur!V192*Calculateur!X192*VLOOKUP('Données projet'!$B$9,Paramètres!$A$1:$I$89,3,0)*0.475*44/12</f>
        <v>2.832808169585554</v>
      </c>
      <c r="AB192" s="21">
        <f>EXP(-LN(2)/2)*AB191+(1-EXP(-LN(2)/2))/(LN(2)/2)*V192*Y192*VLOOKUP('Données projet'!$B$9,Paramètres!$A$1:$I$89,3,0)*0.475*44/12</f>
        <v>9.2617698693924917E-17</v>
      </c>
      <c r="AC192" s="22">
        <f t="shared" si="163"/>
        <v>24.692161555653048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1.7053025658242404E-13</v>
      </c>
      <c r="AJ192" s="13">
        <f>AI192*VLOOKUP('Données projet'!$B$10,Paramètres!$A$1:$I$89,3,0)*VLOOKUP('Données projet'!$B$10,Paramètres!$A$1:$I$89,5,0)</f>
        <v>7.5374373409431432E-14</v>
      </c>
      <c r="AK192" s="13">
        <f t="shared" si="164"/>
        <v>1.1702184453493216E-12</v>
      </c>
      <c r="AL192" s="20">
        <f t="shared" si="165"/>
        <v>2.1694074926714947E-12</v>
      </c>
      <c r="AM192" s="59">
        <f t="shared" si="113"/>
        <v>293.33333333333547</v>
      </c>
      <c r="AN192" s="59">
        <f ca="1">AVERAGE(OFFSET($AM$3,0,0,'Données projet'!$E$10+1,1))-AVERAGE(OFFSET($H$3,0,0,'Données projet'!$E$10+1,1))</f>
        <v>218.3918302549892</v>
      </c>
      <c r="AO192" s="59">
        <f t="shared" si="144"/>
        <v>102.61932145411976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34.407201248189345</v>
      </c>
      <c r="AV192" s="21">
        <f>EXP(-LN(2)/25)*AV191+(1-EXP(-LN(2)/25))/(LN(2)/25)*Calculateur!AQ192*Calculateur!AS192*VLOOKUP('Données projet'!$B$10,Paramètres!$A$1:$I$89,3,0)*0.475*44/12</f>
        <v>6.3745823005902018</v>
      </c>
      <c r="AW192" s="21">
        <f>EXP(-LN(2)/2)*AW191+(1-EXP(-LN(2)/2))/(LN(2)/2)*AQ192*AT192*VLOOKUP('Données projet'!$B$10,Paramètres!$A$1:$I$89,3,0)*0.475*44/12</f>
        <v>2.0220874977491948E-9</v>
      </c>
      <c r="AX192" s="21">
        <f t="shared" si="166"/>
        <v>40.781783550801634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112.66486935566058</v>
      </c>
      <c r="BJ192" s="59">
        <f t="shared" si="146"/>
        <v>110.84860075828624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1.2723809035157585</v>
      </c>
      <c r="BQ192" s="21">
        <f>EXP(-LN(2)/25)*BQ191+(1-EXP(-LN(2)/25))/(LN(2)/25)*Calculateur!BL192*Calculateur!BN192*VLOOKUP('Données projet'!$B$11,Paramètres!$A$1:$I$89,3,0)*0.475*44/12</f>
        <v>3.4299146588217302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4.7022955623374889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3.177547114319168E-13</v>
      </c>
      <c r="P193" s="13">
        <f t="shared" si="141"/>
        <v>4.1725404435445377E-12</v>
      </c>
      <c r="Q193" s="20">
        <f t="shared" si="162"/>
        <v>7.820597394917325E-12</v>
      </c>
      <c r="R193" s="59">
        <f t="shared" si="109"/>
        <v>293.33333333334116</v>
      </c>
      <c r="S193" s="59">
        <f ca="1">AVERAGE(OFFSET($R$3,0,0,'Données projet'!$E$9+1,1))-AVERAGE(OFFSET($H$3,0,0,'Données projet'!$E$9+1,1))</f>
        <v>314.07001555875894</v>
      </c>
      <c r="T193" s="59">
        <f t="shared" si="142"/>
        <v>281.53154885904991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21.430704799055761</v>
      </c>
      <c r="AA193" s="21">
        <f>EXP(-LN(2)/25)*AA192+(1-EXP(-LN(2)/25))/(LN(2)/25)*Calculateur!V193*Calculateur!X193*VLOOKUP('Données projet'!$B$9,Paramètres!$A$1:$I$89,3,0)*0.475*44/12</f>
        <v>2.7553448812173298</v>
      </c>
      <c r="AB193" s="21">
        <f>EXP(-LN(2)/2)*AB192+(1-EXP(-LN(2)/2))/(LN(2)/2)*V193*Y193*VLOOKUP('Données projet'!$B$9,Paramètres!$A$1:$I$89,3,0)*0.475*44/12</f>
        <v>6.5490602804366753E-17</v>
      </c>
      <c r="AC193" s="22">
        <f t="shared" si="163"/>
        <v>24.18604968027309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1.7053025658242404E-13</v>
      </c>
      <c r="AJ193" s="13">
        <f>AI193*VLOOKUP('Données projet'!$B$10,Paramètres!$A$1:$I$89,3,0)*VLOOKUP('Données projet'!$B$10,Paramètres!$A$1:$I$89,5,0)</f>
        <v>7.5374373409431432E-14</v>
      </c>
      <c r="AK193" s="13">
        <f t="shared" si="164"/>
        <v>1.1702184453493216E-12</v>
      </c>
      <c r="AL193" s="20">
        <f t="shared" si="165"/>
        <v>2.1694074926714947E-12</v>
      </c>
      <c r="AM193" s="59">
        <f t="shared" si="113"/>
        <v>293.33333333333547</v>
      </c>
      <c r="AN193" s="59">
        <f ca="1">AVERAGE(OFFSET($AM$3,0,0,'Données projet'!$E$10+1,1))-AVERAGE(OFFSET($H$3,0,0,'Données projet'!$E$10+1,1))</f>
        <v>218.3918302549892</v>
      </c>
      <c r="AO193" s="59">
        <f t="shared" si="144"/>
        <v>102.61932145411976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33.732497018032888</v>
      </c>
      <c r="AV193" s="21">
        <f>EXP(-LN(2)/25)*AV192+(1-EXP(-LN(2)/25))/(LN(2)/25)*Calculateur!AQ193*Calculateur!AS193*VLOOKUP('Données projet'!$B$10,Paramètres!$A$1:$I$89,3,0)*0.475*44/12</f>
        <v>6.2002690123558493</v>
      </c>
      <c r="AW193" s="21">
        <f>EXP(-LN(2)/2)*AW192+(1-EXP(-LN(2)/2))/(LN(2)/2)*AQ193*AT193*VLOOKUP('Données projet'!$B$10,Paramètres!$A$1:$I$89,3,0)*0.475*44/12</f>
        <v>1.4298317818109933E-9</v>
      </c>
      <c r="AX193" s="21">
        <f t="shared" si="166"/>
        <v>39.932766031818566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112.66486935566058</v>
      </c>
      <c r="BJ193" s="59">
        <f t="shared" si="146"/>
        <v>110.84860075828624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1.2474302900735346</v>
      </c>
      <c r="BQ193" s="21">
        <f>EXP(-LN(2)/25)*BQ192+(1-EXP(-LN(2)/25))/(LN(2)/25)*Calculateur!BL193*Calculateur!BN193*VLOOKUP('Données projet'!$B$11,Paramètres!$A$1:$I$89,3,0)*0.475*44/12</f>
        <v>3.3361234621048772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4.5835537521784122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3.177547114319168E-13</v>
      </c>
      <c r="P194" s="13">
        <f t="shared" si="141"/>
        <v>4.1725404435445377E-12</v>
      </c>
      <c r="Q194" s="20">
        <f t="shared" si="162"/>
        <v>7.820597394917325E-12</v>
      </c>
      <c r="R194" s="59">
        <f t="shared" si="109"/>
        <v>293.33333333334116</v>
      </c>
      <c r="S194" s="59">
        <f ca="1">AVERAGE(OFFSET($R$3,0,0,'Données projet'!$E$9+1,1))-AVERAGE(OFFSET($H$3,0,0,'Données projet'!$E$9+1,1))</f>
        <v>314.07001555875894</v>
      </c>
      <c r="T194" s="59">
        <f t="shared" si="142"/>
        <v>281.53154885904991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21.010461749385506</v>
      </c>
      <c r="AA194" s="21">
        <f>EXP(-LN(2)/25)*AA193+(1-EXP(-LN(2)/25))/(LN(2)/25)*Calculateur!V194*Calculateur!X194*VLOOKUP('Données projet'!$B$9,Paramètres!$A$1:$I$89,3,0)*0.475*44/12</f>
        <v>2.6799998305431521</v>
      </c>
      <c r="AB194" s="21">
        <f>EXP(-LN(2)/2)*AB193+(1-EXP(-LN(2)/2))/(LN(2)/2)*V194*Y194*VLOOKUP('Données projet'!$B$9,Paramètres!$A$1:$I$89,3,0)*0.475*44/12</f>
        <v>4.6308849346962458E-17</v>
      </c>
      <c r="AC194" s="22">
        <f t="shared" si="163"/>
        <v>23.690461579928659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1.7053025658242404E-13</v>
      </c>
      <c r="AJ194" s="13">
        <f>AI194*VLOOKUP('Données projet'!$B$10,Paramètres!$A$1:$I$89,3,0)*VLOOKUP('Données projet'!$B$10,Paramètres!$A$1:$I$89,5,0)</f>
        <v>7.5374373409431432E-14</v>
      </c>
      <c r="AK194" s="13">
        <f t="shared" si="164"/>
        <v>1.1702184453493216E-12</v>
      </c>
      <c r="AL194" s="20">
        <f t="shared" si="165"/>
        <v>2.1694074926714947E-12</v>
      </c>
      <c r="AM194" s="59">
        <f t="shared" si="113"/>
        <v>293.33333333333547</v>
      </c>
      <c r="AN194" s="59">
        <f ca="1">AVERAGE(OFFSET($AM$3,0,0,'Données projet'!$E$10+1,1))-AVERAGE(OFFSET($H$3,0,0,'Données projet'!$E$10+1,1))</f>
        <v>218.3918302549892</v>
      </c>
      <c r="AO194" s="59">
        <f t="shared" si="144"/>
        <v>102.61932145411976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33.071023326300853</v>
      </c>
      <c r="AV194" s="21">
        <f>EXP(-LN(2)/25)*AV193+(1-EXP(-LN(2)/25))/(LN(2)/25)*Calculateur!AQ194*Calculateur!AS194*VLOOKUP('Données projet'!$B$10,Paramètres!$A$1:$I$89,3,0)*0.475*44/12</f>
        <v>6.0307223301550019</v>
      </c>
      <c r="AW194" s="21">
        <f>EXP(-LN(2)/2)*AW193+(1-EXP(-LN(2)/2))/(LN(2)/2)*AQ194*AT194*VLOOKUP('Données projet'!$B$10,Paramètres!$A$1:$I$89,3,0)*0.475*44/12</f>
        <v>1.0110437488745974E-9</v>
      </c>
      <c r="AX194" s="21">
        <f t="shared" si="166"/>
        <v>39.1017456574669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112.66486935566058</v>
      </c>
      <c r="BJ194" s="59">
        <f t="shared" si="146"/>
        <v>110.84860075828624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1.222968942942541</v>
      </c>
      <c r="BQ194" s="21">
        <f>EXP(-LN(2)/25)*BQ193+(1-EXP(-LN(2)/25))/(LN(2)/25)*Calculateur!BL194*Calculateur!BN194*VLOOKUP('Données projet'!$B$11,Paramètres!$A$1:$I$89,3,0)*0.475*44/12</f>
        <v>3.2448969905945111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4.4678659335370519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3.177547114319168E-13</v>
      </c>
      <c r="P195" s="13">
        <f t="shared" si="141"/>
        <v>4.1725404435445377E-12</v>
      </c>
      <c r="Q195" s="20">
        <f t="shared" si="162"/>
        <v>7.820597394917325E-12</v>
      </c>
      <c r="R195" s="59">
        <f t="shared" ref="R195:R203" si="191">Q195+(I195+J195)*44/12</f>
        <v>293.33333333334116</v>
      </c>
      <c r="S195" s="59">
        <f ca="1">AVERAGE(OFFSET($R$3,0,0,'Données projet'!$E$9+1,1))-AVERAGE(OFFSET($H$3,0,0,'Données projet'!$E$9+1,1))</f>
        <v>314.07001555875894</v>
      </c>
      <c r="T195" s="59">
        <f t="shared" si="142"/>
        <v>281.53154885904991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20.598459409596337</v>
      </c>
      <c r="AA195" s="21">
        <f>EXP(-LN(2)/25)*AA194+(1-EXP(-LN(2)/25))/(LN(2)/25)*Calculateur!V195*Calculateur!X195*VLOOKUP('Données projet'!$B$9,Paramètres!$A$1:$I$89,3,0)*0.475*44/12</f>
        <v>2.6067150942418835</v>
      </c>
      <c r="AB195" s="21">
        <f>EXP(-LN(2)/2)*AB194+(1-EXP(-LN(2)/2))/(LN(2)/2)*V195*Y195*VLOOKUP('Données projet'!$B$9,Paramètres!$A$1:$I$89,3,0)*0.475*44/12</f>
        <v>3.2745301402183376E-17</v>
      </c>
      <c r="AC195" s="22">
        <f t="shared" si="163"/>
        <v>23.205174503838222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1.7053025658242404E-13</v>
      </c>
      <c r="AJ195" s="13">
        <f>AI195*VLOOKUP('Données projet'!$B$10,Paramètres!$A$1:$I$89,3,0)*VLOOKUP('Données projet'!$B$10,Paramètres!$A$1:$I$89,5,0)</f>
        <v>7.5374373409431432E-14</v>
      </c>
      <c r="AK195" s="13">
        <f t="shared" si="164"/>
        <v>1.1702184453493216E-12</v>
      </c>
      <c r="AL195" s="20">
        <f t="shared" si="165"/>
        <v>2.1694074926714947E-12</v>
      </c>
      <c r="AM195" s="59">
        <f t="shared" si="113"/>
        <v>293.33333333333547</v>
      </c>
      <c r="AN195" s="59">
        <f ca="1">AVERAGE(OFFSET($AM$3,0,0,'Données projet'!$E$10+1,1))-AVERAGE(OFFSET($H$3,0,0,'Données projet'!$E$10+1,1))</f>
        <v>218.3918302549892</v>
      </c>
      <c r="AO195" s="59">
        <f t="shared" si="144"/>
        <v>102.61932145411976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32.422520730204567</v>
      </c>
      <c r="AV195" s="21">
        <f>EXP(-LN(2)/25)*AV194+(1-EXP(-LN(2)/25))/(LN(2)/25)*Calculateur!AQ195*Calculateur!AS195*VLOOKUP('Données projet'!$B$10,Paramètres!$A$1:$I$89,3,0)*0.475*44/12</f>
        <v>5.8658119108950091</v>
      </c>
      <c r="AW195" s="21">
        <f>EXP(-LN(2)/2)*AW194+(1-EXP(-LN(2)/2))/(LN(2)/2)*AQ195*AT195*VLOOKUP('Données projet'!$B$10,Paramètres!$A$1:$I$89,3,0)*0.475*44/12</f>
        <v>7.1491589090549667E-10</v>
      </c>
      <c r="AX195" s="21">
        <f t="shared" si="166"/>
        <v>38.288332641814492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112.66486935566058</v>
      </c>
      <c r="BJ195" s="59">
        <f t="shared" si="146"/>
        <v>110.84860075828624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1.1989872679088378</v>
      </c>
      <c r="BQ195" s="21">
        <f>EXP(-LN(2)/25)*BQ194+(1-EXP(-LN(2)/25))/(LN(2)/25)*Calculateur!BL195*Calculateur!BN195*VLOOKUP('Données projet'!$B$11,Paramètres!$A$1:$I$89,3,0)*0.475*44/12</f>
        <v>3.1561651117449876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4.3551523796538252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3.177547114319168E-13</v>
      </c>
      <c r="P196" s="13">
        <f t="shared" si="141"/>
        <v>4.1725404435445377E-12</v>
      </c>
      <c r="Q196" s="20">
        <f t="shared" si="162"/>
        <v>7.820597394917325E-12</v>
      </c>
      <c r="R196" s="59">
        <f t="shared" si="191"/>
        <v>293.33333333334116</v>
      </c>
      <c r="S196" s="59">
        <f ca="1">AVERAGE(OFFSET($R$3,0,0,'Données projet'!$E$9+1,1))-AVERAGE(OFFSET($H$3,0,0,'Données projet'!$E$9+1,1))</f>
        <v>314.07001555875894</v>
      </c>
      <c r="T196" s="59">
        <f t="shared" si="142"/>
        <v>281.53154885904991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20.194536184393819</v>
      </c>
      <c r="AA196" s="21">
        <f>EXP(-LN(2)/25)*AA195+(1-EXP(-LN(2)/25))/(LN(2)/25)*Calculateur!V196*Calculateur!X196*VLOOKUP('Données projet'!$B$9,Paramètres!$A$1:$I$89,3,0)*0.475*44/12</f>
        <v>2.5354343329086499</v>
      </c>
      <c r="AB196" s="21">
        <f>EXP(-LN(2)/2)*AB195+(1-EXP(-LN(2)/2))/(LN(2)/2)*V196*Y196*VLOOKUP('Données projet'!$B$9,Paramètres!$A$1:$I$89,3,0)*0.475*44/12</f>
        <v>2.3154424673481229E-17</v>
      </c>
      <c r="AC196" s="22">
        <f t="shared" si="163"/>
        <v>22.729970517302469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1.7053025658242404E-13</v>
      </c>
      <c r="AJ196" s="13">
        <f>AI196*VLOOKUP('Données projet'!$B$10,Paramètres!$A$1:$I$89,3,0)*VLOOKUP('Données projet'!$B$10,Paramètres!$A$1:$I$89,5,0)</f>
        <v>7.5374373409431432E-14</v>
      </c>
      <c r="AK196" s="13">
        <f t="shared" si="164"/>
        <v>1.1702184453493216E-12</v>
      </c>
      <c r="AL196" s="20">
        <f t="shared" si="165"/>
        <v>2.1694074926714947E-12</v>
      </c>
      <c r="AM196" s="59">
        <f t="shared" ref="AM196:AM203" si="193">AL196+(AD196+AE196)*44/12</f>
        <v>293.33333333333547</v>
      </c>
      <c r="AN196" s="59">
        <f ca="1">AVERAGE(OFFSET($AM$3,0,0,'Données projet'!$E$10+1,1))-AVERAGE(OFFSET($H$3,0,0,'Données projet'!$E$10+1,1))</f>
        <v>218.3918302549892</v>
      </c>
      <c r="AO196" s="59">
        <f t="shared" si="144"/>
        <v>102.61932145411976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31.786734874470206</v>
      </c>
      <c r="AV196" s="21">
        <f>EXP(-LN(2)/25)*AV195+(1-EXP(-LN(2)/25))/(LN(2)/25)*Calculateur!AQ196*Calculateur!AS196*VLOOKUP('Données projet'!$B$10,Paramètres!$A$1:$I$89,3,0)*0.475*44/12</f>
        <v>5.7054109757219429</v>
      </c>
      <c r="AW196" s="21">
        <f>EXP(-LN(2)/2)*AW195+(1-EXP(-LN(2)/2))/(LN(2)/2)*AQ196*AT196*VLOOKUP('Données projet'!$B$10,Paramètres!$A$1:$I$89,3,0)*0.475*44/12</f>
        <v>5.0552187443729871E-10</v>
      </c>
      <c r="AX196" s="21">
        <f t="shared" si="166"/>
        <v>37.492145850697668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112.66486935566058</v>
      </c>
      <c r="BJ196" s="59">
        <f t="shared" si="146"/>
        <v>110.84860075828624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1.1754758588951681</v>
      </c>
      <c r="BQ196" s="21">
        <f>EXP(-LN(2)/25)*BQ195+(1-EXP(-LN(2)/25))/(LN(2)/25)*Calculateur!BL196*Calculateur!BN196*VLOOKUP('Données projet'!$B$11,Paramètres!$A$1:$I$89,3,0)*0.475*44/12</f>
        <v>3.0698596107888112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4.2453354696839796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3.177547114319168E-13</v>
      </c>
      <c r="P197" s="13">
        <f t="shared" ref="P197:P203" si="203">EXP(-1.0587+0.8836*LN(O197)+0.284)</f>
        <v>4.1725404435445377E-12</v>
      </c>
      <c r="Q197" s="20">
        <f t="shared" si="162"/>
        <v>7.820597394917325E-12</v>
      </c>
      <c r="R197" s="59">
        <f t="shared" si="191"/>
        <v>293.33333333334116</v>
      </c>
      <c r="S197" s="59">
        <f ca="1">AVERAGE(OFFSET($R$3,0,0,'Données projet'!$E$9+1,1))-AVERAGE(OFFSET($H$3,0,0,'Données projet'!$E$9+1,1))</f>
        <v>314.07001555875894</v>
      </c>
      <c r="T197" s="59">
        <f t="shared" ref="T197:T203" si="204">$T$3</f>
        <v>281.53154885904991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19.79853364726868</v>
      </c>
      <c r="AA197" s="21">
        <f>EXP(-LN(2)/25)*AA196+(1-EXP(-LN(2)/25))/(LN(2)/25)*Calculateur!V197*Calculateur!X197*VLOOKUP('Données projet'!$B$9,Paramètres!$A$1:$I$89,3,0)*0.475*44/12</f>
        <v>2.4661027477425663</v>
      </c>
      <c r="AB197" s="21">
        <f>EXP(-LN(2)/2)*AB196+(1-EXP(-LN(2)/2))/(LN(2)/2)*V197*Y197*VLOOKUP('Données projet'!$B$9,Paramètres!$A$1:$I$89,3,0)*0.475*44/12</f>
        <v>1.6372650701091688E-17</v>
      </c>
      <c r="AC197" s="22">
        <f t="shared" si="163"/>
        <v>22.264636395011248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1.7053025658242404E-13</v>
      </c>
      <c r="AJ197" s="13">
        <f>AI197*VLOOKUP('Données projet'!$B$10,Paramètres!$A$1:$I$89,3,0)*VLOOKUP('Données projet'!$B$10,Paramètres!$A$1:$I$89,5,0)</f>
        <v>7.5374373409431432E-14</v>
      </c>
      <c r="AK197" s="13">
        <f t="shared" si="164"/>
        <v>1.1702184453493216E-12</v>
      </c>
      <c r="AL197" s="20">
        <f t="shared" si="165"/>
        <v>2.1694074926714947E-12</v>
      </c>
      <c r="AM197" s="59">
        <f t="shared" si="193"/>
        <v>293.33333333333547</v>
      </c>
      <c r="AN197" s="59">
        <f ca="1">AVERAGE(OFFSET($AM$3,0,0,'Données projet'!$E$10+1,1))-AVERAGE(OFFSET($H$3,0,0,'Données projet'!$E$10+1,1))</f>
        <v>218.3918302549892</v>
      </c>
      <c r="AO197" s="59">
        <f t="shared" ref="AO197:AO203" si="205">$AO$3</f>
        <v>102.61932145411976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31.163416391575712</v>
      </c>
      <c r="AV197" s="21">
        <f>EXP(-LN(2)/25)*AV196+(1-EXP(-LN(2)/25))/(LN(2)/25)*Calculateur!AQ197*Calculateur!AS197*VLOOKUP('Données projet'!$B$10,Paramètres!$A$1:$I$89,3,0)*0.475*44/12</f>
        <v>5.549396212556303</v>
      </c>
      <c r="AW197" s="21">
        <f>EXP(-LN(2)/2)*AW196+(1-EXP(-LN(2)/2))/(LN(2)/2)*AQ197*AT197*VLOOKUP('Données projet'!$B$10,Paramètres!$A$1:$I$89,3,0)*0.475*44/12</f>
        <v>3.5745794545274833E-10</v>
      </c>
      <c r="AX197" s="21">
        <f t="shared" si="166"/>
        <v>36.712812604489471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112.66486935566058</v>
      </c>
      <c r="BJ197" s="59">
        <f t="shared" ref="BJ197:BJ203" si="206">$BJ$3</f>
        <v>110.84860075828624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1.1524254942717129</v>
      </c>
      <c r="BQ197" s="21">
        <f>EXP(-LN(2)/25)*BQ196+(1-EXP(-LN(2)/25))/(LN(2)/25)*Calculateur!BL197*Calculateur!BN197*VLOOKUP('Données projet'!$B$11,Paramètres!$A$1:$I$89,3,0)*0.475*44/12</f>
        <v>2.9859141382948904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4.1383396325666038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3.177547114319168E-13</v>
      </c>
      <c r="P198" s="13">
        <f t="shared" si="203"/>
        <v>4.1725404435445377E-12</v>
      </c>
      <c r="Q198" s="20">
        <f t="shared" si="162"/>
        <v>7.820597394917325E-12</v>
      </c>
      <c r="R198" s="59">
        <f t="shared" si="191"/>
        <v>293.33333333334116</v>
      </c>
      <c r="S198" s="59">
        <f ca="1">AVERAGE(OFFSET($R$3,0,0,'Données projet'!$E$9+1,1))-AVERAGE(OFFSET($H$3,0,0,'Données projet'!$E$9+1,1))</f>
        <v>314.07001555875894</v>
      </c>
      <c r="T198" s="59">
        <f t="shared" si="204"/>
        <v>281.53154885904991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19.41029647835887</v>
      </c>
      <c r="AA198" s="21">
        <f>EXP(-LN(2)/25)*AA197+(1-EXP(-LN(2)/25))/(LN(2)/25)*Calculateur!V198*Calculateur!X198*VLOOKUP('Données projet'!$B$9,Paramètres!$A$1:$I$89,3,0)*0.475*44/12</f>
        <v>2.3986670384188389</v>
      </c>
      <c r="AB198" s="21">
        <f>EXP(-LN(2)/2)*AB197+(1-EXP(-LN(2)/2))/(LN(2)/2)*V198*Y198*VLOOKUP('Données projet'!$B$9,Paramètres!$A$1:$I$89,3,0)*0.475*44/12</f>
        <v>1.1577212336740615E-17</v>
      </c>
      <c r="AC198" s="22">
        <f t="shared" si="163"/>
        <v>21.808963516777709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1.7053025658242404E-13</v>
      </c>
      <c r="AJ198" s="13">
        <f>AI198*VLOOKUP('Données projet'!$B$10,Paramètres!$A$1:$I$89,3,0)*VLOOKUP('Données projet'!$B$10,Paramètres!$A$1:$I$89,5,0)</f>
        <v>7.5374373409431432E-14</v>
      </c>
      <c r="AK198" s="13">
        <f t="shared" si="164"/>
        <v>1.1702184453493216E-12</v>
      </c>
      <c r="AL198" s="20">
        <f t="shared" si="165"/>
        <v>2.1694074926714947E-12</v>
      </c>
      <c r="AM198" s="59">
        <f t="shared" si="193"/>
        <v>293.33333333333547</v>
      </c>
      <c r="AN198" s="59">
        <f ca="1">AVERAGE(OFFSET($AM$3,0,0,'Données projet'!$E$10+1,1))-AVERAGE(OFFSET($H$3,0,0,'Données projet'!$E$10+1,1))</f>
        <v>218.3918302549892</v>
      </c>
      <c r="AO198" s="59">
        <f t="shared" si="205"/>
        <v>102.61932145411976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30.552320803944045</v>
      </c>
      <c r="AV198" s="21">
        <f>EXP(-LN(2)/25)*AV197+(1-EXP(-LN(2)/25))/(LN(2)/25)*Calculateur!AQ198*Calculateur!AS198*VLOOKUP('Données projet'!$B$10,Paramètres!$A$1:$I$89,3,0)*0.475*44/12</f>
        <v>5.3976476812938872</v>
      </c>
      <c r="AW198" s="21">
        <f>EXP(-LN(2)/2)*AW197+(1-EXP(-LN(2)/2))/(LN(2)/2)*AQ198*AT198*VLOOKUP('Données projet'!$B$10,Paramètres!$A$1:$I$89,3,0)*0.475*44/12</f>
        <v>2.5276093721864936E-10</v>
      </c>
      <c r="AX198" s="21">
        <f t="shared" si="166"/>
        <v>35.949968485490693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112.66486935566058</v>
      </c>
      <c r="BJ198" s="59">
        <f t="shared" si="206"/>
        <v>110.84860075828624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1.1298271332391896</v>
      </c>
      <c r="BQ198" s="21">
        <f>EXP(-LN(2)/25)*BQ197+(1-EXP(-LN(2)/25))/(LN(2)/25)*Calculateur!BL198*Calculateur!BN198*VLOOKUP('Données projet'!$B$11,Paramètres!$A$1:$I$89,3,0)*0.475*44/12</f>
        <v>2.9042641591608165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4.0340912924000065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3.177547114319168E-13</v>
      </c>
      <c r="P199" s="13">
        <f t="shared" si="203"/>
        <v>4.1725404435445377E-12</v>
      </c>
      <c r="Q199" s="20">
        <f t="shared" si="162"/>
        <v>7.820597394917325E-12</v>
      </c>
      <c r="R199" s="59">
        <f t="shared" si="191"/>
        <v>293.33333333334116</v>
      </c>
      <c r="S199" s="59">
        <f ca="1">AVERAGE(OFFSET($R$3,0,0,'Données projet'!$E$9+1,1))-AVERAGE(OFFSET($H$3,0,0,'Données projet'!$E$9+1,1))</f>
        <v>314.07001555875894</v>
      </c>
      <c r="T199" s="59">
        <f t="shared" si="204"/>
        <v>281.53154885904991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19.029672403530089</v>
      </c>
      <c r="AA199" s="21">
        <f>EXP(-LN(2)/25)*AA198+(1-EXP(-LN(2)/25))/(LN(2)/25)*Calculateur!V199*Calculateur!X199*VLOOKUP('Données projet'!$B$9,Paramètres!$A$1:$I$89,3,0)*0.475*44/12</f>
        <v>2.3330753621128584</v>
      </c>
      <c r="AB199" s="21">
        <f>EXP(-LN(2)/2)*AB198+(1-EXP(-LN(2)/2))/(LN(2)/2)*V199*Y199*VLOOKUP('Données projet'!$B$9,Paramètres!$A$1:$I$89,3,0)*0.475*44/12</f>
        <v>8.1863253505458441E-18</v>
      </c>
      <c r="AC199" s="22">
        <f t="shared" si="163"/>
        <v>21.362747765642947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1.7053025658242404E-13</v>
      </c>
      <c r="AJ199" s="13">
        <f>AI199*VLOOKUP('Données projet'!$B$10,Paramètres!$A$1:$I$89,3,0)*VLOOKUP('Données projet'!$B$10,Paramètres!$A$1:$I$89,5,0)</f>
        <v>7.5374373409431432E-14</v>
      </c>
      <c r="AK199" s="13">
        <f t="shared" si="164"/>
        <v>1.1702184453493216E-12</v>
      </c>
      <c r="AL199" s="20">
        <f t="shared" si="165"/>
        <v>2.1694074926714947E-12</v>
      </c>
      <c r="AM199" s="59">
        <f t="shared" si="193"/>
        <v>293.33333333333547</v>
      </c>
      <c r="AN199" s="59">
        <f ca="1">AVERAGE(OFFSET($AM$3,0,0,'Données projet'!$E$10+1,1))-AVERAGE(OFFSET($H$3,0,0,'Données projet'!$E$10+1,1))</f>
        <v>218.3918302549892</v>
      </c>
      <c r="AO199" s="59">
        <f t="shared" si="205"/>
        <v>102.61932145411976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29.953208428054332</v>
      </c>
      <c r="AV199" s="21">
        <f>EXP(-LN(2)/25)*AV198+(1-EXP(-LN(2)/25))/(LN(2)/25)*Calculateur!AQ199*Calculateur!AS199*VLOOKUP('Données projet'!$B$10,Paramètres!$A$1:$I$89,3,0)*0.475*44/12</f>
        <v>5.2500487215989509</v>
      </c>
      <c r="AW199" s="21">
        <f>EXP(-LN(2)/2)*AW198+(1-EXP(-LN(2)/2))/(LN(2)/2)*AQ199*AT199*VLOOKUP('Données projet'!$B$10,Paramètres!$A$1:$I$89,3,0)*0.475*44/12</f>
        <v>1.7872897272637417E-10</v>
      </c>
      <c r="AX199" s="21">
        <f t="shared" si="166"/>
        <v>35.203257149832012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112.66486935566058</v>
      </c>
      <c r="BJ199" s="59">
        <f t="shared" si="206"/>
        <v>110.84860075828624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1.1076719122828749</v>
      </c>
      <c r="BQ199" s="21">
        <f>EXP(-LN(2)/25)*BQ198+(1-EXP(-LN(2)/25))/(LN(2)/25)*Calculateur!BL199*Calculateur!BN199*VLOOKUP('Données projet'!$B$11,Paramètres!$A$1:$I$89,3,0)*0.475*44/12</f>
        <v>2.8248469029999494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3.9325188152828243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3.177547114319168E-13</v>
      </c>
      <c r="P200" s="13">
        <f t="shared" si="203"/>
        <v>4.1725404435445377E-12</v>
      </c>
      <c r="Q200" s="20">
        <f t="shared" si="162"/>
        <v>7.820597394917325E-12</v>
      </c>
      <c r="R200" s="59">
        <f t="shared" si="191"/>
        <v>293.33333333334116</v>
      </c>
      <c r="S200" s="59">
        <f ca="1">AVERAGE(OFFSET($R$3,0,0,'Données projet'!$E$9+1,1))-AVERAGE(OFFSET($H$3,0,0,'Données projet'!$E$9+1,1))</f>
        <v>314.07001555875894</v>
      </c>
      <c r="T200" s="59">
        <f t="shared" si="204"/>
        <v>281.53154885904991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18.656512134650939</v>
      </c>
      <c r="AA200" s="21">
        <f>EXP(-LN(2)/25)*AA199+(1-EXP(-LN(2)/25))/(LN(2)/25)*Calculateur!V200*Calculateur!X200*VLOOKUP('Données projet'!$B$9,Paramètres!$A$1:$I$89,3,0)*0.475*44/12</f>
        <v>2.2692772936447811</v>
      </c>
      <c r="AB200" s="21">
        <f>EXP(-LN(2)/2)*AB199+(1-EXP(-LN(2)/2))/(LN(2)/2)*V200*Y200*VLOOKUP('Données projet'!$B$9,Paramètres!$A$1:$I$89,3,0)*0.475*44/12</f>
        <v>5.7886061683703073E-18</v>
      </c>
      <c r="AC200" s="22">
        <f t="shared" si="163"/>
        <v>20.925789428295719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1.7053025658242404E-13</v>
      </c>
      <c r="AJ200" s="13">
        <f>AI200*VLOOKUP('Données projet'!$B$10,Paramètres!$A$1:$I$89,3,0)*VLOOKUP('Données projet'!$B$10,Paramètres!$A$1:$I$89,5,0)</f>
        <v>7.5374373409431432E-14</v>
      </c>
      <c r="AK200" s="13">
        <f t="shared" si="164"/>
        <v>1.1702184453493216E-12</v>
      </c>
      <c r="AL200" s="20">
        <f t="shared" si="165"/>
        <v>2.1694074926714947E-12</v>
      </c>
      <c r="AM200" s="59">
        <f t="shared" si="193"/>
        <v>293.33333333333547</v>
      </c>
      <c r="AN200" s="59">
        <f ca="1">AVERAGE(OFFSET($AM$3,0,0,'Données projet'!$E$10+1,1))-AVERAGE(OFFSET($H$3,0,0,'Données projet'!$E$10+1,1))</f>
        <v>218.3918302549892</v>
      </c>
      <c r="AO200" s="59">
        <f t="shared" si="205"/>
        <v>102.61932145411976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29.36584428043335</v>
      </c>
      <c r="AV200" s="21">
        <f>EXP(-LN(2)/25)*AV199+(1-EXP(-LN(2)/25))/(LN(2)/25)*Calculateur!AQ200*Calculateur!AS200*VLOOKUP('Données projet'!$B$10,Paramètres!$A$1:$I$89,3,0)*0.475*44/12</f>
        <v>5.1064858632187642</v>
      </c>
      <c r="AW200" s="21">
        <f>EXP(-LN(2)/2)*AW199+(1-EXP(-LN(2)/2))/(LN(2)/2)*AQ200*AT200*VLOOKUP('Données projet'!$B$10,Paramètres!$A$1:$I$89,3,0)*0.475*44/12</f>
        <v>1.2638046860932468E-10</v>
      </c>
      <c r="AX200" s="21">
        <f t="shared" si="166"/>
        <v>34.472330143778493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112.66486935566058</v>
      </c>
      <c r="BJ200" s="59">
        <f t="shared" si="206"/>
        <v>110.84860075828624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1.0859511416961629</v>
      </c>
      <c r="BQ200" s="21">
        <f>EXP(-LN(2)/25)*BQ199+(1-EXP(-LN(2)/25))/(LN(2)/25)*Calculateur!BL200*Calculateur!BN200*VLOOKUP('Données projet'!$B$11,Paramètres!$A$1:$I$89,3,0)*0.475*44/12</f>
        <v>2.7476013158851735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3.8335524575813364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3.177547114319168E-13</v>
      </c>
      <c r="P201" s="13">
        <f t="shared" si="203"/>
        <v>4.1725404435445377E-12</v>
      </c>
      <c r="Q201" s="20">
        <f t="shared" si="162"/>
        <v>7.820597394917325E-12</v>
      </c>
      <c r="R201" s="59">
        <f t="shared" si="191"/>
        <v>293.33333333334116</v>
      </c>
      <c r="S201" s="59">
        <f ca="1">AVERAGE(OFFSET($R$3,0,0,'Données projet'!$E$9+1,1))-AVERAGE(OFFSET($H$3,0,0,'Données projet'!$E$9+1,1))</f>
        <v>314.07001555875894</v>
      </c>
      <c r="T201" s="59">
        <f t="shared" si="204"/>
        <v>281.53154885904991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18.290669311039217</v>
      </c>
      <c r="AA201" s="21">
        <f>EXP(-LN(2)/25)*AA200+(1-EXP(-LN(2)/25))/(LN(2)/25)*Calculateur!V201*Calculateur!X201*VLOOKUP('Données projet'!$B$9,Paramètres!$A$1:$I$89,3,0)*0.475*44/12</f>
        <v>2.2072237867139584</v>
      </c>
      <c r="AB201" s="21">
        <f>EXP(-LN(2)/2)*AB200+(1-EXP(-LN(2)/2))/(LN(2)/2)*V201*Y201*VLOOKUP('Données projet'!$B$9,Paramètres!$A$1:$I$89,3,0)*0.475*44/12</f>
        <v>4.0931626752729221E-18</v>
      </c>
      <c r="AC201" s="22">
        <f t="shared" si="163"/>
        <v>20.497893097753174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1.7053025658242404E-13</v>
      </c>
      <c r="AJ201" s="13">
        <f>AI201*VLOOKUP('Données projet'!$B$10,Paramètres!$A$1:$I$89,3,0)*VLOOKUP('Données projet'!$B$10,Paramètres!$A$1:$I$89,5,0)</f>
        <v>7.5374373409431432E-14</v>
      </c>
      <c r="AK201" s="13">
        <f t="shared" si="164"/>
        <v>1.1702184453493216E-12</v>
      </c>
      <c r="AL201" s="20">
        <f t="shared" si="165"/>
        <v>2.1694074926714947E-12</v>
      </c>
      <c r="AM201" s="59">
        <f t="shared" si="193"/>
        <v>293.33333333333547</v>
      </c>
      <c r="AN201" s="59">
        <f ca="1">AVERAGE(OFFSET($AM$3,0,0,'Données projet'!$E$10+1,1))-AVERAGE(OFFSET($H$3,0,0,'Données projet'!$E$10+1,1))</f>
        <v>218.3918302549892</v>
      </c>
      <c r="AO201" s="59">
        <f t="shared" si="205"/>
        <v>102.61932145411976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28.789997985490459</v>
      </c>
      <c r="AV201" s="21">
        <f>EXP(-LN(2)/25)*AV200+(1-EXP(-LN(2)/25))/(LN(2)/25)*Calculateur!AQ201*Calculateur!AS201*VLOOKUP('Données projet'!$B$10,Paramètres!$A$1:$I$89,3,0)*0.475*44/12</f>
        <v>4.9668487387506266</v>
      </c>
      <c r="AW201" s="21">
        <f>EXP(-LN(2)/2)*AW200+(1-EXP(-LN(2)/2))/(LN(2)/2)*AQ201*AT201*VLOOKUP('Données projet'!$B$10,Paramètres!$A$1:$I$89,3,0)*0.475*44/12</f>
        <v>8.9364486363187084E-11</v>
      </c>
      <c r="AX201" s="21">
        <f t="shared" si="166"/>
        <v>33.756846724330451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112.66486935566058</v>
      </c>
      <c r="BJ201" s="59">
        <f t="shared" si="206"/>
        <v>110.84860075828624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1.0646563021722946</v>
      </c>
      <c r="BQ201" s="21">
        <f>EXP(-LN(2)/25)*BQ200+(1-EXP(-LN(2)/25))/(LN(2)/25)*Calculateur!BL201*Calculateur!BN201*VLOOKUP('Données projet'!$B$11,Paramètres!$A$1:$I$89,3,0)*0.475*44/12</f>
        <v>2.6724680134122201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3.7371243155845146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3.177547114319168E-13</v>
      </c>
      <c r="P202" s="13">
        <f t="shared" si="203"/>
        <v>4.1725404435445377E-12</v>
      </c>
      <c r="Q202" s="20">
        <f t="shared" si="162"/>
        <v>7.820597394917325E-12</v>
      </c>
      <c r="R202" s="59">
        <f t="shared" si="191"/>
        <v>293.33333333334116</v>
      </c>
      <c r="S202" s="59">
        <f ca="1">AVERAGE(OFFSET($R$3,0,0,'Données projet'!$E$9+1,1))-AVERAGE(OFFSET($H$3,0,0,'Données projet'!$E$9+1,1))</f>
        <v>314.07001555875894</v>
      </c>
      <c r="T202" s="59">
        <f t="shared" si="204"/>
        <v>281.53154885904991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17.932000442056435</v>
      </c>
      <c r="AA202" s="21">
        <f>EXP(-LN(2)/25)*AA201+(1-EXP(-LN(2)/25))/(LN(2)/25)*Calculateur!V202*Calculateur!X202*VLOOKUP('Données projet'!$B$9,Paramètres!$A$1:$I$89,3,0)*0.475*44/12</f>
        <v>2.1468671361934111</v>
      </c>
      <c r="AB202" s="21">
        <f>EXP(-LN(2)/2)*AB201+(1-EXP(-LN(2)/2))/(LN(2)/2)*V202*Y202*VLOOKUP('Données projet'!$B$9,Paramètres!$A$1:$I$89,3,0)*0.475*44/12</f>
        <v>2.8943030841851536E-18</v>
      </c>
      <c r="AC202" s="22">
        <f t="shared" si="163"/>
        <v>20.078867578249845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1.7053025658242404E-13</v>
      </c>
      <c r="AJ202" s="13">
        <f>AI202*VLOOKUP('Données projet'!$B$10,Paramètres!$A$1:$I$89,3,0)*VLOOKUP('Données projet'!$B$10,Paramètres!$A$1:$I$89,5,0)</f>
        <v>7.5374373409431432E-14</v>
      </c>
      <c r="AK202" s="13">
        <f t="shared" si="164"/>
        <v>1.1702184453493216E-12</v>
      </c>
      <c r="AL202" s="20">
        <f t="shared" si="165"/>
        <v>2.1694074926714947E-12</v>
      </c>
      <c r="AM202" s="59">
        <f t="shared" si="193"/>
        <v>293.33333333333547</v>
      </c>
      <c r="AN202" s="59">
        <f ca="1">AVERAGE(OFFSET($AM$3,0,0,'Données projet'!$E$10+1,1))-AVERAGE(OFFSET($H$3,0,0,'Données projet'!$E$10+1,1))</f>
        <v>218.3918302549892</v>
      </c>
      <c r="AO202" s="59">
        <f t="shared" si="205"/>
        <v>102.61932145411976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28.225443685159838</v>
      </c>
      <c r="AV202" s="21">
        <f>EXP(-LN(2)/25)*AV201+(1-EXP(-LN(2)/25))/(LN(2)/25)*Calculateur!AQ202*Calculateur!AS202*VLOOKUP('Données projet'!$B$10,Paramètres!$A$1:$I$89,3,0)*0.475*44/12</f>
        <v>4.8310299987942678</v>
      </c>
      <c r="AW202" s="21">
        <f>EXP(-LN(2)/2)*AW201+(1-EXP(-LN(2)/2))/(LN(2)/2)*AQ202*AT202*VLOOKUP('Données projet'!$B$10,Paramètres!$A$1:$I$89,3,0)*0.475*44/12</f>
        <v>6.3190234304662339E-11</v>
      </c>
      <c r="AX202" s="21">
        <f t="shared" si="166"/>
        <v>33.056473684017298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112.66486935566058</v>
      </c>
      <c r="BJ202" s="59">
        <f t="shared" si="206"/>
        <v>110.84860075828624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1.0437790414629196</v>
      </c>
      <c r="BQ202" s="21">
        <f>EXP(-LN(2)/25)*BQ201+(1-EXP(-LN(2)/25))/(LN(2)/25)*Calculateur!BL202*Calculateur!BN202*VLOOKUP('Données projet'!$B$11,Paramètres!$A$1:$I$89,3,0)*0.475*44/12</f>
        <v>2.5993892350464782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3.6431682765093978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3.177547114319168E-13</v>
      </c>
      <c r="P203" s="13">
        <f t="shared" si="203"/>
        <v>4.1725404435445377E-12</v>
      </c>
      <c r="Q203" s="20">
        <f t="shared" si="162"/>
        <v>7.820597394917325E-12</v>
      </c>
      <c r="R203" s="59">
        <f t="shared" si="191"/>
        <v>293.33333333334116</v>
      </c>
      <c r="S203" s="59">
        <f ca="1">AVERAGE(OFFSET($R$3,0,0,'Données projet'!$E$9+1,1))-AVERAGE(OFFSET($H$3,0,0,'Données projet'!$E$9+1,1))</f>
        <v>314.07001555875894</v>
      </c>
      <c r="T203" s="59">
        <f t="shared" si="204"/>
        <v>281.53154885904991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17.580364850827994</v>
      </c>
      <c r="AA203" s="21">
        <f>EXP(-LN(2)/25)*AA202+(1-EXP(-LN(2)/25))/(LN(2)/25)*Calculateur!V203*Calculateur!X203*VLOOKUP('Données projet'!$B$9,Paramètres!$A$1:$I$89,3,0)*0.475*44/12</f>
        <v>2.0881609414553663</v>
      </c>
      <c r="AB203" s="21">
        <f>EXP(-LN(2)/2)*AB202+(1-EXP(-LN(2)/2))/(LN(2)/2)*V203*Y203*VLOOKUP('Données projet'!$B$9,Paramètres!$A$1:$I$89,3,0)*0.475*44/12</f>
        <v>2.046581337636461E-18</v>
      </c>
      <c r="AC203" s="22">
        <f t="shared" si="163"/>
        <v>19.668525792283361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1.7053025658242404E-13</v>
      </c>
      <c r="AJ203" s="13">
        <f>AI203*VLOOKUP('Données projet'!$B$10,Paramètres!$A$1:$I$89,3,0)*VLOOKUP('Données projet'!$B$10,Paramètres!$A$1:$I$89,5,0)</f>
        <v>7.5374373409431432E-14</v>
      </c>
      <c r="AK203" s="13">
        <f t="shared" si="164"/>
        <v>1.1702184453493216E-12</v>
      </c>
      <c r="AL203" s="20">
        <f t="shared" si="165"/>
        <v>2.1694074926714947E-12</v>
      </c>
      <c r="AM203" s="59">
        <f t="shared" si="193"/>
        <v>293.33333333333547</v>
      </c>
      <c r="AN203" s="59">
        <f ca="1">AVERAGE(OFFSET($AM$3,0,0,'Données projet'!$E$10+1,1))-AVERAGE(OFFSET($H$3,0,0,'Données projet'!$E$10+1,1))</f>
        <v>218.3918302549892</v>
      </c>
      <c r="AO203" s="59">
        <f t="shared" si="205"/>
        <v>102.61932145411976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27.67195995031458</v>
      </c>
      <c r="AV203" s="21">
        <f>EXP(-LN(2)/25)*AV202+(1-EXP(-LN(2)/25))/(LN(2)/25)*Calculateur!AQ203*Calculateur!AS203*VLOOKUP('Données projet'!$B$10,Paramètres!$A$1:$I$89,3,0)*0.475*44/12</f>
        <v>4.6989252294244119</v>
      </c>
      <c r="AW203" s="21">
        <f>EXP(-LN(2)/2)*AW202+(1-EXP(-LN(2)/2))/(LN(2)/2)*AQ203*AT203*VLOOKUP('Données projet'!$B$10,Paramètres!$A$1:$I$89,3,0)*0.475*44/12</f>
        <v>4.4682243181593542E-11</v>
      </c>
      <c r="AX203" s="21">
        <f t="shared" si="166"/>
        <v>32.37088517978367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112.66486935566058</v>
      </c>
      <c r="BJ203" s="59">
        <f t="shared" si="206"/>
        <v>110.84860075828624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1.0233111711021838</v>
      </c>
      <c r="BQ203" s="21">
        <f>EXP(-LN(2)/25)*BQ202+(1-EXP(-LN(2)/25))/(LN(2)/25)*Calculateur!BL203*Calculateur!BN203*VLOOKUP('Données projet'!$B$11,Paramètres!$A$1:$I$89,3,0)*0.475*44/12</f>
        <v>2.5283087997181934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3.5516199708203775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1.2855297099408214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1.1796834870079891</v>
      </c>
      <c r="BA205" s="82">
        <f>EXP(LN('Données projet'!B88)/'Données projet'!A88)</f>
        <v>1.2770702581475548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4" bestFit="1" customWidth="1"/>
    <col min="2" max="2" width="27.7304687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73046875" style="4" bestFit="1" customWidth="1"/>
    <col min="7" max="7" width="11.3984375" style="4" bestFit="1" customWidth="1"/>
    <col min="8" max="8" width="39" style="4" bestFit="1" customWidth="1"/>
    <col min="9" max="9" width="16.73046875" style="4" customWidth="1"/>
    <col min="10" max="14" width="11.3984375" style="4"/>
    <col min="15" max="15" width="23.3984375" style="4" bestFit="1" customWidth="1"/>
    <col min="16" max="16384" width="11.39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8" zoomScale="90" zoomScaleNormal="90" workbookViewId="0">
      <selection activeCell="P32" sqref="A23:P32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2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1.8542000000000001</v>
      </c>
      <c r="C6" s="147">
        <f ca="1">IF(OR('Données projet'!B9="",'Données projet'!C9="",'Données projet'!C9=0%),0,Calculateur!S3)</f>
        <v>314.07001555875894</v>
      </c>
      <c r="D6" s="147">
        <f>IF(OR('Données projet'!B9="",'Données projet'!C9="",'Données projet'!C9=0%),0,Calculateur!T3)</f>
        <v>281.53154885904991</v>
      </c>
      <c r="E6" s="147">
        <f ca="1">MIN(C6,D6)</f>
        <v>281.53154885904991</v>
      </c>
      <c r="F6" s="147">
        <f ca="1">E6*B6</f>
        <v>522.01579789445032</v>
      </c>
      <c r="G6" s="147">
        <f ca="1">F6*(100%-'Données projet'!$C$24)*(100%-'Données projet'!$C$25)*(100%-'Données projet'!$C$26)*(100%-'Données projet'!$C$27)</f>
        <v>469.8142181050053</v>
      </c>
      <c r="H6" s="148">
        <f>IF(OR('Données projet'!B9="",'Données projet'!C9="",'Données projet'!C9=0%),0,AVERAGE(Calculateur!$AC$3:$AC$33)*B6)</f>
        <v>16.962258822582125</v>
      </c>
      <c r="I6" s="149">
        <f>H6*(100%-'Données projet'!$C$24)*(100%-'Données projet'!$C$25)*(100%-'Données projet'!$C$26)*(100%-'Données projet'!$C$27)</f>
        <v>15.266032940323914</v>
      </c>
      <c r="J6" s="150">
        <f>IF(OR('Données projet'!B9="",'Données projet'!C9="",'Données projet'!C9=0%),0,SUM(Calculateur!$V$3:$V$33)*VLOOKUP('Données projet'!$B$9,Paramètres!$A$1:$I$89,9,0)*B6)</f>
        <v>105.43574543999999</v>
      </c>
      <c r="K6" s="151">
        <f>J6*(100%-'Données projet'!$C$24)*(100%-'Données projet'!$C$25)*(100%-'Données projet'!$C$26)*(100%-'Données projet'!$C$27)</f>
        <v>94.892170895999996</v>
      </c>
      <c r="L6" s="152">
        <f ca="1">G6+I6+K6</f>
        <v>579.97242194132923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Séquoia toujours vert</v>
      </c>
      <c r="B7" s="154">
        <f>'Données projet'!D10</f>
        <v>0.40640000000000004</v>
      </c>
      <c r="C7" s="147">
        <f ca="1">IF(OR('Données projet'!B10="",'Données projet'!C10="",'Données projet'!C10=0%),0,Calculateur!AN3)</f>
        <v>218.3918302549892</v>
      </c>
      <c r="D7" s="147">
        <f>IF(OR('Données projet'!B10="",'Données projet'!C10="",'Données projet'!C10=0%),0,Calculateur!AO3)</f>
        <v>102.61932145411976</v>
      </c>
      <c r="E7" s="147">
        <f t="shared" ref="E7:E15" ca="1" si="0">MIN(C7,D7)</f>
        <v>102.61932145411976</v>
      </c>
      <c r="F7" s="147">
        <f t="shared" ref="F7:F15" ca="1" si="1">E7*B7</f>
        <v>41.704492238954273</v>
      </c>
      <c r="G7" s="147">
        <f ca="1">F7*(100%-'Données projet'!$C$24)*(100%-'Données projet'!$C$25)*(100%-'Données projet'!$C$26)*(100%-'Données projet'!$C$27)</f>
        <v>37.534043015058849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37.534043015058849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rouge d'Amérique</v>
      </c>
      <c r="B8" s="154">
        <f>'Données projet'!D11</f>
        <v>0.27939999999999998</v>
      </c>
      <c r="C8" s="147">
        <f ca="1">IF(OR('Données projet'!B11="",'Données projet'!C11="",'Données projet'!C11=0%),0,Calculateur!BI3)</f>
        <v>112.66486935566058</v>
      </c>
      <c r="D8" s="147">
        <f>IF(OR('Données projet'!B11="",'Données projet'!C11="",'Données projet'!C11=0%),0,Calculateur!BJ3)</f>
        <v>110.84860075828624</v>
      </c>
      <c r="E8" s="147">
        <f t="shared" ca="1" si="0"/>
        <v>110.84860075828624</v>
      </c>
      <c r="F8" s="147">
        <f t="shared" ca="1" si="1"/>
        <v>30.971099051865174</v>
      </c>
      <c r="G8" s="147">
        <f ca="1">F8*(100%-'Données projet'!$C$24)*(100%-'Données projet'!$C$25)*(100%-'Données projet'!$C$26)*(100%-'Données projet'!$C$27)</f>
        <v>27.873989146678657</v>
      </c>
      <c r="H8" s="155">
        <f>IF(OR('Données projet'!B11="",'Données projet'!C11="",'Données projet'!C11=0%),0,AVERAGE(Calculateur!$BS$3:$BS$33)*B8)</f>
        <v>0.48423694525172584</v>
      </c>
      <c r="I8" s="149">
        <f>H8*(100%-'Données projet'!$C$24)*(100%-'Données projet'!$C$25)*(100%-'Données projet'!$C$26)*(100%-'Données projet'!$C$27)</f>
        <v>0.43581325072655325</v>
      </c>
      <c r="J8" s="150">
        <f>IF(OR('Données projet'!B11="",'Données projet'!C11="",'Données projet'!C11=0%),0,SUM(Calculateur!$BL$3:$BL$33)*VLOOKUP('Données projet'!$B$11,Paramètres!$A$1:$I$89,9,0)*B8)</f>
        <v>3.0447435897435891</v>
      </c>
      <c r="K8" s="151">
        <f>J8*(100%-'Données projet'!$C$24)*(100%-'Données projet'!$C$25)*(100%-'Données projet'!$C$26)*(100%-'Données projet'!$C$27)</f>
        <v>2.74026923076923</v>
      </c>
      <c r="L8" s="152">
        <f t="shared" ca="1" si="2"/>
        <v>31.05007162817444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594.69138918526971</v>
      </c>
      <c r="G16" s="166">
        <f t="shared" ca="1" si="3"/>
        <v>535.22225026674278</v>
      </c>
      <c r="H16" s="167">
        <f t="shared" si="3"/>
        <v>17.446495767833852</v>
      </c>
      <c r="I16" s="167">
        <f t="shared" si="3"/>
        <v>15.701846191050468</v>
      </c>
      <c r="J16" s="168">
        <f t="shared" si="3"/>
        <v>108.48048902974358</v>
      </c>
      <c r="K16" s="168">
        <f t="shared" si="3"/>
        <v>97.632440126769225</v>
      </c>
      <c r="L16" s="169">
        <f t="shared" ca="1" si="3"/>
        <v>648.55653658456254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Séquoia toujours vert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8" zoomScale="80" zoomScaleNormal="80" workbookViewId="0">
      <selection activeCell="J25" sqref="J25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1" customWidth="1"/>
    <col min="7" max="7" width="17.59765625" style="1" customWidth="1"/>
    <col min="8" max="8" width="21.7304687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4826.6239248403972</v>
      </c>
      <c r="U10" s="178">
        <f>'Données projet'!D9</f>
        <v>1.8542000000000001</v>
      </c>
      <c r="V10" s="177">
        <f>U10*T10</f>
        <v>8949.526081439064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Séquoia toujours vert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1110.9917033403974</v>
      </c>
      <c r="U11" s="178">
        <f>'Données projet'!D10</f>
        <v>0.40640000000000004</v>
      </c>
      <c r="V11" s="177">
        <f t="shared" ref="V11" si="0">U11*T11</f>
        <v>451.50702823753755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330.91953589708123</v>
      </c>
      <c r="U12" s="178">
        <f>'Données projet'!D11</f>
        <v>0.27939999999999998</v>
      </c>
      <c r="V12" s="177">
        <f t="shared" ref="V12:V19" si="1">U12*T12</f>
        <v>92.45891832964449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70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69.999999999999943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839.99999999999932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3600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21</v>
      </c>
      <c r="B23" s="181">
        <f>'Données projet'!D36</f>
        <v>64.599999999999994</v>
      </c>
      <c r="C23" s="193">
        <v>16.875</v>
      </c>
      <c r="D23" s="182">
        <f>B23*C23</f>
        <v>1090.125</v>
      </c>
      <c r="E23" s="193">
        <v>60</v>
      </c>
      <c r="F23" s="230"/>
      <c r="H23" s="190">
        <v>5</v>
      </c>
      <c r="I23" s="191">
        <v>600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-4121.0805616644902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28</v>
      </c>
      <c r="B24" s="181">
        <f>'Données projet'!D37</f>
        <v>67.639999999999986</v>
      </c>
      <c r="C24" s="193">
        <v>16.875</v>
      </c>
      <c r="D24" s="182">
        <f t="shared" ref="D24:D42" si="2">B24*C24</f>
        <v>1141.4249999999997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97.942835151294716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35</v>
      </c>
      <c r="B25" s="181">
        <f>'Données projet'!D38</f>
        <v>86.700000000000045</v>
      </c>
      <c r="C25" s="193">
        <v>41</v>
      </c>
      <c r="D25" s="182">
        <f t="shared" si="2"/>
        <v>3554.7000000000016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-4219.0233968157845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42</v>
      </c>
      <c r="B26" s="181">
        <f>'Données projet'!D39</f>
        <v>100.04000000000002</v>
      </c>
      <c r="C26" s="193">
        <v>41</v>
      </c>
      <c r="D26" s="182">
        <f t="shared" si="2"/>
        <v>4101.6400000000012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49</v>
      </c>
      <c r="B27" s="181">
        <f>'Données projet'!D40</f>
        <v>112.69999999999999</v>
      </c>
      <c r="C27" s="193">
        <v>41</v>
      </c>
      <c r="D27" s="182">
        <f t="shared" si="2"/>
        <v>4620.7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56</v>
      </c>
      <c r="B28" s="181">
        <f>'Données projet'!D41</f>
        <v>94.669999999999959</v>
      </c>
      <c r="C28" s="193">
        <v>41</v>
      </c>
      <c r="D28" s="182">
        <f t="shared" si="2"/>
        <v>3881.4699999999984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63</v>
      </c>
      <c r="B29" s="181">
        <f>'Données projet'!D42</f>
        <v>99.599999999999966</v>
      </c>
      <c r="C29" s="193">
        <v>41</v>
      </c>
      <c r="D29" s="182">
        <f t="shared" si="2"/>
        <v>4083.5999999999985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70</v>
      </c>
      <c r="B30" s="181">
        <f>'Données projet'!D43</f>
        <v>586.86</v>
      </c>
      <c r="C30" s="193">
        <v>60</v>
      </c>
      <c r="D30" s="182">
        <f t="shared" si="2"/>
        <v>35211.599999999999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Séquoia toujours vert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34</v>
      </c>
      <c r="B54" s="181">
        <f>'Données projet'!D62</f>
        <v>94.509999999999991</v>
      </c>
      <c r="C54" s="191">
        <v>16.875</v>
      </c>
      <c r="D54" s="179">
        <f>B54*C54</f>
        <v>1594.8562499999998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43</v>
      </c>
      <c r="B55" s="181">
        <f>'Données projet'!D63</f>
        <v>72.429999999999978</v>
      </c>
      <c r="C55" s="191">
        <v>16.875</v>
      </c>
      <c r="D55" s="179">
        <f t="shared" ref="D55:D73" si="4">B55*C55</f>
        <v>1222.2562499999997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52</v>
      </c>
      <c r="B56" s="181">
        <f>'Données projet'!D64</f>
        <v>61.259999999999991</v>
      </c>
      <c r="C56" s="191">
        <v>41</v>
      </c>
      <c r="D56" s="179">
        <f t="shared" si="4"/>
        <v>2511.66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62</v>
      </c>
      <c r="B57" s="181">
        <f>'Données projet'!D65</f>
        <v>66.019999999999982</v>
      </c>
      <c r="C57" s="191">
        <v>41</v>
      </c>
      <c r="D57" s="179">
        <f t="shared" si="4"/>
        <v>2706.8199999999993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72</v>
      </c>
      <c r="B58" s="181">
        <f>'Données projet'!D66</f>
        <v>64.210000000000036</v>
      </c>
      <c r="C58" s="191">
        <v>41</v>
      </c>
      <c r="D58" s="179">
        <f t="shared" si="4"/>
        <v>2632.6100000000015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84</v>
      </c>
      <c r="B59" s="181">
        <f>'Données projet'!D67</f>
        <v>70.220000000000027</v>
      </c>
      <c r="C59" s="191">
        <v>41</v>
      </c>
      <c r="D59" s="179">
        <f t="shared" si="4"/>
        <v>2879.0200000000013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96</v>
      </c>
      <c r="B60" s="181">
        <f>'Données projet'!D68</f>
        <v>74.37</v>
      </c>
      <c r="C60" s="191">
        <v>41</v>
      </c>
      <c r="D60" s="179">
        <f t="shared" si="4"/>
        <v>3049.17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108</v>
      </c>
      <c r="B61" s="181">
        <f>'Données projet'!D69</f>
        <v>65.25</v>
      </c>
      <c r="C61" s="191">
        <v>41</v>
      </c>
      <c r="D61" s="179">
        <f t="shared" si="4"/>
        <v>2675.25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120</v>
      </c>
      <c r="B62" s="181">
        <f>'Données projet'!D70</f>
        <v>489.81</v>
      </c>
      <c r="C62" s="191">
        <v>41</v>
      </c>
      <c r="D62" s="179">
        <f t="shared" si="4"/>
        <v>20082.21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10</v>
      </c>
      <c r="B85" s="181">
        <f>'Données projet'!D88</f>
        <v>0</v>
      </c>
      <c r="C85" s="191">
        <v>13.5625</v>
      </c>
      <c r="D85" s="179">
        <f>B85*C85</f>
        <v>0</v>
      </c>
      <c r="E85" s="193">
        <v>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15</v>
      </c>
      <c r="B86" s="181">
        <f>'Données projet'!D89</f>
        <v>0</v>
      </c>
      <c r="C86" s="191">
        <v>13.5625</v>
      </c>
      <c r="D86" s="179">
        <f t="shared" ref="D86:D104" si="6">B86*C86</f>
        <v>0</v>
      </c>
      <c r="E86" s="193">
        <v>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20</v>
      </c>
      <c r="B87" s="181">
        <f>'Données projet'!D90</f>
        <v>18.589743589743588</v>
      </c>
      <c r="C87" s="191">
        <v>13.5625</v>
      </c>
      <c r="D87" s="179">
        <f t="shared" si="6"/>
        <v>252.1233974358974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25</v>
      </c>
      <c r="B88" s="181">
        <f>'Données projet'!D91</f>
        <v>12.179487179487179</v>
      </c>
      <c r="C88" s="191">
        <v>13.5625</v>
      </c>
      <c r="D88" s="179">
        <f t="shared" si="6"/>
        <v>165.18429487179486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30</v>
      </c>
      <c r="B89" s="181">
        <f>'Données projet'!D92</f>
        <v>12.820512820512819</v>
      </c>
      <c r="C89" s="191">
        <v>13.5625</v>
      </c>
      <c r="D89" s="179">
        <f t="shared" si="6"/>
        <v>173.87820512820511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35</v>
      </c>
      <c r="B90" s="181">
        <f>'Données projet'!D93</f>
        <v>12.820512820512819</v>
      </c>
      <c r="C90" s="191">
        <v>13.5625</v>
      </c>
      <c r="D90" s="179">
        <f t="shared" si="6"/>
        <v>173.87820512820511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40</v>
      </c>
      <c r="B91" s="181">
        <f>'Données projet'!D94</f>
        <v>12.820512820512819</v>
      </c>
      <c r="C91" s="191">
        <v>13.5625</v>
      </c>
      <c r="D91" s="179">
        <f t="shared" si="6"/>
        <v>173.87820512820511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45</v>
      </c>
      <c r="B92" s="181">
        <f>'Données projet'!D95</f>
        <v>12.179487179487179</v>
      </c>
      <c r="C92" s="191">
        <v>13.5625</v>
      </c>
      <c r="D92" s="179">
        <f t="shared" si="6"/>
        <v>165.18429487179486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50</v>
      </c>
      <c r="B93" s="181">
        <f>'Données projet'!D96</f>
        <v>11.538461538461538</v>
      </c>
      <c r="C93" s="191">
        <v>13.5625</v>
      </c>
      <c r="D93" s="179">
        <f t="shared" si="6"/>
        <v>156.49038461538461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55</v>
      </c>
      <c r="B94" s="181">
        <f>'Données projet'!D97</f>
        <v>10.897435897435898</v>
      </c>
      <c r="C94" s="191">
        <v>13.5625</v>
      </c>
      <c r="D94" s="179">
        <f t="shared" si="6"/>
        <v>147.79647435897436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60</v>
      </c>
      <c r="B95" s="181">
        <f>'Données projet'!D98</f>
        <v>10.256410256410255</v>
      </c>
      <c r="C95" s="191">
        <v>13.5625</v>
      </c>
      <c r="D95" s="179">
        <f t="shared" si="6"/>
        <v>139.10256410256409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65</v>
      </c>
      <c r="B96" s="181">
        <f>'Données projet'!D99</f>
        <v>9.615384615384615</v>
      </c>
      <c r="C96" s="191">
        <v>32.787500000000001</v>
      </c>
      <c r="D96" s="179">
        <f t="shared" si="6"/>
        <v>315.26442307692309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70</v>
      </c>
      <c r="B97" s="181">
        <f>'Données projet'!D100</f>
        <v>8.9743589743589745</v>
      </c>
      <c r="C97" s="191">
        <v>32.787500000000001</v>
      </c>
      <c r="D97" s="179">
        <f t="shared" si="6"/>
        <v>294.24679487179486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75</v>
      </c>
      <c r="B98" s="181">
        <f>'Données projet'!D101</f>
        <v>7.6923076923076916</v>
      </c>
      <c r="C98" s="191">
        <v>32.787500000000001</v>
      </c>
      <c r="D98" s="179">
        <f t="shared" si="6"/>
        <v>252.21153846153845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80</v>
      </c>
      <c r="B99" s="181">
        <f>'Données projet'!D102</f>
        <v>7.0512820512820511</v>
      </c>
      <c r="C99" s="191">
        <v>32.787500000000001</v>
      </c>
      <c r="D99" s="179">
        <f t="shared" si="6"/>
        <v>231.19391025641025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85</v>
      </c>
      <c r="B100" s="181">
        <f>'Données projet'!D103</f>
        <v>6.4102564102564097</v>
      </c>
      <c r="C100" s="191">
        <v>32.787500000000001</v>
      </c>
      <c r="D100" s="179">
        <f t="shared" si="6"/>
        <v>210.17628205128204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90</v>
      </c>
      <c r="B101" s="181">
        <f>'Données projet'!D104</f>
        <v>6.4102564102564097</v>
      </c>
      <c r="C101" s="191">
        <v>32.787500000000001</v>
      </c>
      <c r="D101" s="179">
        <f t="shared" si="6"/>
        <v>210.17628205128204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95</v>
      </c>
      <c r="B102" s="181">
        <f>'Données projet'!D105</f>
        <v>7.0512820512820511</v>
      </c>
      <c r="C102" s="191">
        <v>32.787500000000001</v>
      </c>
      <c r="D102" s="179">
        <f t="shared" si="6"/>
        <v>231.19391025641025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100</v>
      </c>
      <c r="B103" s="181">
        <f>'Données projet'!D106</f>
        <v>142.94871794871796</v>
      </c>
      <c r="C103" s="191">
        <v>32.787500000000001</v>
      </c>
      <c r="D103" s="179">
        <f t="shared" si="6"/>
        <v>4686.9310897435898</v>
      </c>
      <c r="E103" s="193">
        <v>60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EEDB085B-B1A8-4186-AB51-70DE94BDB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2025-01-31T15:37:33Z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