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AMONTERALIE(81) - GF DE BOTE\Dossier à déposer\"/>
    </mc:Choice>
  </mc:AlternateContent>
  <xr:revisionPtr revIDLastSave="0" documentId="13_ncr:1_{B64B1B11-E918-40D0-98EB-067B3E4FE18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<sst xmlns="http://schemas.openxmlformats.org/spreadsheetml/2006/main" count="1165" uniqueCount="324">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</sst>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90" zoomScaleNormal="90" workbookViewId="0">
      <selection activeCell="C30" sqref="C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2.35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1</v>
      </c>
      <c r="D9" s="36">
        <f t="shared" ref="D9:D18" si="0">C9*$C$5</f>
        <v>2.35</v>
      </c>
      <c r="E9" s="37">
        <v>82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2.35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22</v>
      </c>
      <c r="B36" s="63">
        <v>123</v>
      </c>
      <c r="C36" s="63">
        <v>1</v>
      </c>
      <c r="D36" s="63">
        <v>16</v>
      </c>
      <c r="E36" s="54"/>
      <c r="F36" s="54"/>
      <c r="G36" s="54">
        <v>1</v>
      </c>
      <c r="H36" s="54"/>
      <c r="I36" s="52">
        <f>IFERROR(B36/A36,"")</f>
        <v>5.5909090909090908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144</v>
      </c>
      <c r="C37" s="63">
        <v>2</v>
      </c>
      <c r="D37" s="63">
        <v>17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194</v>
      </c>
      <c r="C38" s="63">
        <v>3</v>
      </c>
      <c r="D38" s="63">
        <v>34</v>
      </c>
      <c r="E38" s="54">
        <v>0.4</v>
      </c>
      <c r="F38" s="54"/>
      <c r="G38" s="54">
        <v>0.6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233</v>
      </c>
      <c r="C39" s="63">
        <v>4</v>
      </c>
      <c r="D39" s="63">
        <v>41</v>
      </c>
      <c r="E39" s="54">
        <v>0.45</v>
      </c>
      <c r="F39" s="54"/>
      <c r="G39" s="54">
        <v>0.55000000000000004</v>
      </c>
      <c r="H39" s="5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264</v>
      </c>
      <c r="C40" s="63">
        <v>5</v>
      </c>
      <c r="D40" s="63">
        <v>41</v>
      </c>
      <c r="E40" s="54"/>
      <c r="F40" s="54"/>
      <c r="G40" s="54"/>
      <c r="H40" s="54"/>
      <c r="I40" s="52">
        <f t="shared" si="1"/>
        <v>14.4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306</v>
      </c>
      <c r="C41" s="63">
        <v>6</v>
      </c>
      <c r="D41" s="63">
        <v>53</v>
      </c>
      <c r="E41" s="54"/>
      <c r="F41" s="54"/>
      <c r="G41" s="54"/>
      <c r="H41" s="54"/>
      <c r="I41" s="56">
        <f t="shared" si="1"/>
        <v>16.600000000000001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340</v>
      </c>
      <c r="C42" s="63">
        <v>7</v>
      </c>
      <c r="D42" s="63">
        <v>53</v>
      </c>
      <c r="E42" s="54"/>
      <c r="F42" s="54"/>
      <c r="G42" s="54"/>
      <c r="H42" s="54"/>
      <c r="I42" s="56">
        <f t="shared" si="1"/>
        <v>17.399999999999999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58</v>
      </c>
      <c r="B43" s="63">
        <v>428</v>
      </c>
      <c r="C43" s="63">
        <v>8</v>
      </c>
      <c r="D43" s="63">
        <v>78</v>
      </c>
      <c r="E43" s="54"/>
      <c r="F43" s="54"/>
      <c r="G43" s="54"/>
      <c r="H43" s="54"/>
      <c r="I43" s="52">
        <f t="shared" si="1"/>
        <v>17.625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66</v>
      </c>
      <c r="B44" s="63">
        <v>483</v>
      </c>
      <c r="C44" s="63">
        <v>9</v>
      </c>
      <c r="D44" s="63">
        <v>65</v>
      </c>
      <c r="E44" s="54"/>
      <c r="F44" s="54"/>
      <c r="G44" s="54"/>
      <c r="H44" s="54"/>
      <c r="I44" s="52">
        <f t="shared" si="1"/>
        <v>16.625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74</v>
      </c>
      <c r="B45" s="63">
        <v>521</v>
      </c>
      <c r="C45" s="63">
        <v>10</v>
      </c>
      <c r="D45" s="63">
        <v>37</v>
      </c>
      <c r="E45" s="54"/>
      <c r="F45" s="54"/>
      <c r="G45" s="54"/>
      <c r="H45" s="54"/>
      <c r="I45" s="52">
        <f t="shared" si="1"/>
        <v>12.875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82</v>
      </c>
      <c r="B46" s="63">
        <v>555</v>
      </c>
      <c r="C46" s="63">
        <v>11</v>
      </c>
      <c r="D46" s="63">
        <v>555</v>
      </c>
      <c r="E46" s="54"/>
      <c r="F46" s="54"/>
      <c r="G46" s="54"/>
      <c r="H46" s="54"/>
      <c r="I46" s="52">
        <f t="shared" si="1"/>
        <v>8.875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287.69656598881124</v>
      </c>
      <c r="T3" s="62">
        <f>IF('Données projet'!E9&gt;30,$R$33-$H$33,LOOKUP('Données projet'!$E$9,$A$3:$A$203,R3:R203)-LOOKUP('Données projet'!$E$9,$A$3:$A$203,$H$3:$H$203))</f>
        <v>221.9773436301067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5.5909090909090908</v>
      </c>
      <c r="N4" s="14">
        <f>IF('Données projet'!$A$36&gt;35,N3+M4-V3,IF(A4&lt;'Données projet'!$A$36,$K$205^A4,IF(A4='Données projet'!$A$36,'Données projet'!$B$36,N3+M4-V3)))</f>
        <v>1.244502252163008</v>
      </c>
      <c r="O4" s="14">
        <f>N4*VLOOKUP('Données projet'!$B$9,Paramètres!$A$1:$I$89,3,0)*VLOOKUP('Données projet'!$B$9,Paramètres!$A$1:$I$89,5,0)</f>
        <v>0.74421234679347892</v>
      </c>
      <c r="P4" s="14">
        <f>EXP(-1.0587+0.8836*LN(O4)+0.284)</f>
        <v>0.3549632728022305</v>
      </c>
      <c r="Q4" s="22">
        <f t="shared" ref="Q4:Q34" si="2">(O4+P4)*0.475*44/12</f>
        <v>1.9143975374625271</v>
      </c>
      <c r="R4" s="62">
        <f t="shared" si="0"/>
        <v>295.24773087079586</v>
      </c>
      <c r="S4" s="62">
        <f ca="1">AVERAGE(OFFSET($R$3,0,0,'Données projet'!$E$9+1,1))-AVERAGE(OFFSET($H$3,0,0,'Données projet'!$E$9+1,1))</f>
        <v>287.69656598881124</v>
      </c>
      <c r="T4" s="62">
        <f>$T$3</f>
        <v>221.9773436301067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5.5909090909090908</v>
      </c>
      <c r="N5" s="14">
        <f>IF('Données projet'!$A$36&gt;35,N4+M5-V4,IF(A5&lt;'Données projet'!$A$36,$K$205^A5,IF(A5='Données projet'!$A$36,'Données projet'!$B$36,N4+M5-V4)))</f>
        <v>1.5487858556387992</v>
      </c>
      <c r="O5" s="14">
        <f>N5*VLOOKUP('Données projet'!$B$9,Paramètres!$A$1:$I$89,3,0)*VLOOKUP('Données projet'!$B$9,Paramètres!$A$1:$I$89,5,0)</f>
        <v>0.92617394167200195</v>
      </c>
      <c r="P5" s="14">
        <f t="shared" ref="P5:P68" si="33">EXP(-1.0587+0.8836*LN(O5)+0.284)</f>
        <v>0.43064718121421069</v>
      </c>
      <c r="Q5" s="22">
        <f t="shared" si="2"/>
        <v>2.3631301223601535</v>
      </c>
      <c r="R5" s="62">
        <f t="shared" si="0"/>
        <v>295.69646345569345</v>
      </c>
      <c r="S5" s="62">
        <f ca="1">AVERAGE(OFFSET($R$3,0,0,'Données projet'!$E$9+1,1))-AVERAGE(OFFSET($H$3,0,0,'Données projet'!$E$9+1,1))</f>
        <v>287.69656598881124</v>
      </c>
      <c r="T5" s="62">
        <f t="shared" ref="T5:T68" si="34">$T$3</f>
        <v>221.9773436301067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5.5909090909090908</v>
      </c>
      <c r="N6" s="14">
        <f>IF('Données projet'!$A$36&gt;35,N5+M6-V5,IF(A6&lt;'Données projet'!$A$36,$K$205^A6,IF(A6='Données projet'!$A$36,'Données projet'!$B$36,N5+M6-V5)))</f>
        <v>1.927467485460697</v>
      </c>
      <c r="O6" s="14">
        <f>N6*VLOOKUP('Données projet'!$B$9,Paramètres!$A$1:$I$89,3,0)*VLOOKUP('Données projet'!$B$9,Paramètres!$A$1:$I$89,5,0)</f>
        <v>1.152625556305497</v>
      </c>
      <c r="P6" s="14">
        <f t="shared" si="33"/>
        <v>0.52246812247269758</v>
      </c>
      <c r="Q6" s="22">
        <f t="shared" si="2"/>
        <v>2.9174548238720219</v>
      </c>
      <c r="R6" s="62">
        <f t="shared" si="0"/>
        <v>296.25078815720536</v>
      </c>
      <c r="S6" s="62">
        <f ca="1">AVERAGE(OFFSET($R$3,0,0,'Données projet'!$E$9+1,1))-AVERAGE(OFFSET($H$3,0,0,'Données projet'!$E$9+1,1))</f>
        <v>287.69656598881124</v>
      </c>
      <c r="T6" s="62">
        <f t="shared" si="34"/>
        <v>221.9773436301067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5.5909090909090908</v>
      </c>
      <c r="N7" s="14">
        <f>IF('Données projet'!$A$36&gt;35,N6+M7-V6,IF(A7&lt;'Données projet'!$A$36,$K$205^A7,IF(A7='Données projet'!$A$36,'Données projet'!$B$36,N6+M7-V6)))</f>
        <v>2.3987376266268075</v>
      </c>
      <c r="O7" s="14">
        <f>N7*VLOOKUP('Données projet'!$B$9,Paramètres!$A$1:$I$89,3,0)*VLOOKUP('Données projet'!$B$9,Paramètres!$A$1:$I$89,5,0)</f>
        <v>1.4344451007228309</v>
      </c>
      <c r="P7" s="14">
        <f t="shared" si="33"/>
        <v>0.63386677286612625</v>
      </c>
      <c r="Q7" s="22">
        <f t="shared" si="2"/>
        <v>3.6023098465007668</v>
      </c>
      <c r="R7" s="62">
        <f t="shared" si="0"/>
        <v>296.93564317983407</v>
      </c>
      <c r="S7" s="62">
        <f ca="1">AVERAGE(OFFSET($R$3,0,0,'Données projet'!$E$9+1,1))-AVERAGE(OFFSET($H$3,0,0,'Données projet'!$E$9+1,1))</f>
        <v>287.69656598881124</v>
      </c>
      <c r="T7" s="62">
        <f t="shared" si="34"/>
        <v>221.9773436301067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5.5909090909090908</v>
      </c>
      <c r="N8" s="14">
        <f>IF('Données projet'!$A$36&gt;35,N7+M8-V7,IF(A8&lt;'Données projet'!$A$36,$K$205^A8,IF(A8='Données projet'!$A$36,'Données projet'!$B$36,N7+M8-V7)))</f>
        <v>2.9852343786852105</v>
      </c>
      <c r="O8" s="14">
        <f>N8*VLOOKUP('Données projet'!$B$9,Paramètres!$A$1:$I$89,3,0)*VLOOKUP('Données projet'!$B$9,Paramètres!$A$1:$I$89,5,0)</f>
        <v>1.785170158453756</v>
      </c>
      <c r="P8" s="14">
        <f t="shared" si="33"/>
        <v>0.7690174164926461</v>
      </c>
      <c r="Q8" s="22">
        <f t="shared" si="2"/>
        <v>4.4485433596983173</v>
      </c>
      <c r="R8" s="62">
        <f t="shared" si="0"/>
        <v>297.78187669303162</v>
      </c>
      <c r="S8" s="62">
        <f ca="1">AVERAGE(OFFSET($R$3,0,0,'Données projet'!$E$9+1,1))-AVERAGE(OFFSET($H$3,0,0,'Données projet'!$E$9+1,1))</f>
        <v>287.69656598881124</v>
      </c>
      <c r="T8" s="62">
        <f t="shared" si="34"/>
        <v>221.9773436301067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5.5909090909090908</v>
      </c>
      <c r="N9" s="14">
        <f>IF('Données projet'!$A$36&gt;35,N8+M9-V8,IF(A9&lt;'Données projet'!$A$36,$K$205^A9,IF(A9='Données projet'!$A$36,'Données projet'!$B$36,N8+M9-V8)))</f>
        <v>3.7151309075081826</v>
      </c>
      <c r="O9" s="14">
        <f>N9*VLOOKUP('Données projet'!$B$9,Paramètres!$A$1:$I$89,3,0)*VLOOKUP('Données projet'!$B$9,Paramètres!$A$1:$I$89,5,0)</f>
        <v>2.2216482826898933</v>
      </c>
      <c r="P9" s="14">
        <f t="shared" si="33"/>
        <v>0.93298436230530435</v>
      </c>
      <c r="Q9" s="22">
        <f t="shared" si="2"/>
        <v>5.4943185233666361</v>
      </c>
      <c r="R9" s="62">
        <f t="shared" si="0"/>
        <v>298.82765185669996</v>
      </c>
      <c r="S9" s="62">
        <f ca="1">AVERAGE(OFFSET($R$3,0,0,'Données projet'!$E$9+1,1))-AVERAGE(OFFSET($H$3,0,0,'Données projet'!$E$9+1,1))</f>
        <v>287.69656598881124</v>
      </c>
      <c r="T9" s="62">
        <f t="shared" si="34"/>
        <v>221.9773436301067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5.5909090909090908</v>
      </c>
      <c r="N10" s="14">
        <f>IF('Données projet'!$A$36&gt;35,N9+M10-V9,IF(A10&lt;'Données projet'!$A$36,$K$205^A10,IF(A10='Données projet'!$A$36,'Données projet'!$B$36,N9+M10-V9)))</f>
        <v>4.6234887814743333</v>
      </c>
      <c r="O10" s="14">
        <f>N10*VLOOKUP('Données projet'!$B$9,Paramètres!$A$1:$I$89,3,0)*VLOOKUP('Données projet'!$B$9,Paramètres!$A$1:$I$89,5,0)</f>
        <v>2.7648462913216516</v>
      </c>
      <c r="P10" s="14">
        <f t="shared" si="33"/>
        <v>1.1319117118000401</v>
      </c>
      <c r="Q10" s="22">
        <f t="shared" si="2"/>
        <v>6.7868535221036126</v>
      </c>
      <c r="R10" s="62">
        <f t="shared" si="0"/>
        <v>300.12018685543694</v>
      </c>
      <c r="S10" s="62">
        <f ca="1">AVERAGE(OFFSET($R$3,0,0,'Données projet'!$E$9+1,1))-AVERAGE(OFFSET($H$3,0,0,'Données projet'!$E$9+1,1))</f>
        <v>287.69656598881124</v>
      </c>
      <c r="T10" s="62">
        <f t="shared" si="34"/>
        <v>221.9773436301067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5.5909090909090908</v>
      </c>
      <c r="N11" s="14">
        <f>IF('Données projet'!$A$36&gt;35,N10+M11-V10,IF(A11&lt;'Données projet'!$A$36,$K$205^A11,IF(A11='Données projet'!$A$36,'Données projet'!$B$36,N10+M11-V10)))</f>
        <v>5.7539422013952093</v>
      </c>
      <c r="O11" s="14">
        <f>N11*VLOOKUP('Données projet'!$B$9,Paramètres!$A$1:$I$89,3,0)*VLOOKUP('Données projet'!$B$9,Paramètres!$A$1:$I$89,5,0)</f>
        <v>3.4408574364343356</v>
      </c>
      <c r="P11" s="14">
        <f t="shared" si="33"/>
        <v>1.3732535882427113</v>
      </c>
      <c r="Q11" s="22">
        <f t="shared" si="2"/>
        <v>8.3845767013125236</v>
      </c>
      <c r="R11" s="62">
        <f t="shared" si="0"/>
        <v>301.71791003464585</v>
      </c>
      <c r="S11" s="62">
        <f ca="1">AVERAGE(OFFSET($R$3,0,0,'Données projet'!$E$9+1,1))-AVERAGE(OFFSET($H$3,0,0,'Données projet'!$E$9+1,1))</f>
        <v>287.69656598881124</v>
      </c>
      <c r="T11" s="62">
        <f t="shared" si="34"/>
        <v>221.9773436301067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5.5909090909090908</v>
      </c>
      <c r="N12" s="14">
        <f>IF('Données projet'!$A$36&gt;35,N11+M12-V11,IF(A12&lt;'Données projet'!$A$36,$K$205^A12,IF(A12='Données projet'!$A$36,'Données projet'!$B$36,N11+M12-V11)))</f>
        <v>7.1607940284521145</v>
      </c>
      <c r="O12" s="14">
        <f>N12*VLOOKUP('Données projet'!$B$9,Paramètres!$A$1:$I$89,3,0)*VLOOKUP('Données projet'!$B$9,Paramètres!$A$1:$I$89,5,0)</f>
        <v>4.2821548290143649</v>
      </c>
      <c r="P12" s="14">
        <f t="shared" si="33"/>
        <v>1.6660534544894132</v>
      </c>
      <c r="Q12" s="22">
        <f t="shared" si="2"/>
        <v>10.359796093769079</v>
      </c>
      <c r="R12" s="62">
        <f t="shared" si="0"/>
        <v>303.69312942710241</v>
      </c>
      <c r="S12" s="62">
        <f ca="1">AVERAGE(OFFSET($R$3,0,0,'Données projet'!$E$9+1,1))-AVERAGE(OFFSET($H$3,0,0,'Données projet'!$E$9+1,1))</f>
        <v>287.69656598881124</v>
      </c>
      <c r="T12" s="62">
        <f t="shared" si="34"/>
        <v>221.9773436301067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5.5909090909090908</v>
      </c>
      <c r="N13" s="14">
        <f>IF('Données projet'!$A$36&gt;35,N12+M13-V12,IF(A13&lt;'Données projet'!$A$36,$K$205^A13,IF(A13='Données projet'!$A$36,'Données projet'!$B$36,N12+M13-V12)))</f>
        <v>8.9116242956840761</v>
      </c>
      <c r="O13" s="14">
        <f>N13*VLOOKUP('Données projet'!$B$9,Paramètres!$A$1:$I$89,3,0)*VLOOKUP('Données projet'!$B$9,Paramètres!$A$1:$I$89,5,0)</f>
        <v>5.3291513288190782</v>
      </c>
      <c r="P13" s="14">
        <f t="shared" si="33"/>
        <v>2.0212829858817885</v>
      </c>
      <c r="Q13" s="22">
        <f t="shared" si="2"/>
        <v>12.802006431437341</v>
      </c>
      <c r="R13" s="62">
        <f t="shared" si="0"/>
        <v>306.13533976477066</v>
      </c>
      <c r="S13" s="62">
        <f ca="1">AVERAGE(OFFSET($R$3,0,0,'Données projet'!$E$9+1,1))-AVERAGE(OFFSET($H$3,0,0,'Données projet'!$E$9+1,1))</f>
        <v>287.69656598881124</v>
      </c>
      <c r="T13" s="62">
        <f t="shared" si="34"/>
        <v>221.9773436301067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5.5909090909090908</v>
      </c>
      <c r="N14" s="14">
        <f>IF('Données projet'!$A$36&gt;35,N13+M14-V13,IF(A14&lt;'Données projet'!$A$36,$K$205^A14,IF(A14='Données projet'!$A$36,'Données projet'!$B$36,N13+M14-V13)))</f>
        <v>11.090536506409412</v>
      </c>
      <c r="O14" s="14">
        <f>N14*VLOOKUP('Données projet'!$B$9,Paramètres!$A$1:$I$89,3,0)*VLOOKUP('Données projet'!$B$9,Paramètres!$A$1:$I$89,5,0)</f>
        <v>6.6321408308328289</v>
      </c>
      <c r="P14" s="14">
        <f t="shared" si="33"/>
        <v>2.4522531963221348</v>
      </c>
      <c r="Q14" s="22">
        <f t="shared" si="2"/>
        <v>15.821986263961561</v>
      </c>
      <c r="R14" s="62">
        <f t="shared" si="0"/>
        <v>309.15531959729486</v>
      </c>
      <c r="S14" s="62">
        <f ca="1">AVERAGE(OFFSET($R$3,0,0,'Données projet'!$E$9+1,1))-AVERAGE(OFFSET($H$3,0,0,'Données projet'!$E$9+1,1))</f>
        <v>287.69656598881124</v>
      </c>
      <c r="T14" s="62">
        <f t="shared" si="34"/>
        <v>221.9773436301067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5.5909090909090908</v>
      </c>
      <c r="N15" s="14">
        <f>IF('Données projet'!$A$36&gt;35,N14+M15-V14,IF(A15&lt;'Données projet'!$A$36,$K$205^A15,IF(A15='Données projet'!$A$36,'Données projet'!$B$36,N14+M15-V14)))</f>
        <v>13.802197659922571</v>
      </c>
      <c r="O15" s="14">
        <f>N15*VLOOKUP('Données projet'!$B$9,Paramètres!$A$1:$I$89,3,0)*VLOOKUP('Données projet'!$B$9,Paramètres!$A$1:$I$89,5,0)</f>
        <v>8.2537142006336985</v>
      </c>
      <c r="P15" s="14">
        <f t="shared" si="33"/>
        <v>2.9751132230743558</v>
      </c>
      <c r="Q15" s="22">
        <f t="shared" si="2"/>
        <v>19.556874429624859</v>
      </c>
      <c r="R15" s="62">
        <f t="shared" si="0"/>
        <v>312.8902077629582</v>
      </c>
      <c r="S15" s="62">
        <f ca="1">AVERAGE(OFFSET($R$3,0,0,'Données projet'!$E$9+1,1))-AVERAGE(OFFSET($H$3,0,0,'Données projet'!$E$9+1,1))</f>
        <v>287.69656598881124</v>
      </c>
      <c r="T15" s="62">
        <f t="shared" si="34"/>
        <v>221.9773436301067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5.5909090909090908</v>
      </c>
      <c r="N16" s="14">
        <f>IF('Données projet'!$A$36&gt;35,N15+M16-V15,IF(A16&lt;'Données projet'!$A$36,$K$205^A16,IF(A16='Données projet'!$A$36,'Données projet'!$B$36,N15+M16-V15)))</f>
        <v>17.17686607257264</v>
      </c>
      <c r="O16" s="14">
        <f>N16*VLOOKUP('Données projet'!$B$9,Paramètres!$A$1:$I$89,3,0)*VLOOKUP('Données projet'!$B$9,Paramètres!$A$1:$I$89,5,0)</f>
        <v>10.27176591139844</v>
      </c>
      <c r="P16" s="14">
        <f t="shared" si="33"/>
        <v>3.609455460548272</v>
      </c>
      <c r="Q16" s="22">
        <f t="shared" si="2"/>
        <v>24.176460556140523</v>
      </c>
      <c r="R16" s="62">
        <f t="shared" si="0"/>
        <v>317.50979388947383</v>
      </c>
      <c r="S16" s="62">
        <f ca="1">AVERAGE(OFFSET($R$3,0,0,'Données projet'!$E$9+1,1))-AVERAGE(OFFSET($H$3,0,0,'Données projet'!$E$9+1,1))</f>
        <v>287.69656598881124</v>
      </c>
      <c r="T16" s="62">
        <f t="shared" si="34"/>
        <v>221.9773436301067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5.5909090909090908</v>
      </c>
      <c r="N17" s="14">
        <f>IF('Données projet'!$A$36&gt;35,N16+M17-V16,IF(A17&lt;'Données projet'!$A$36,$K$205^A17,IF(A17='Données projet'!$A$36,'Données projet'!$B$36,N16+M17-V16)))</f>
        <v>21.376648512419013</v>
      </c>
      <c r="O17" s="14">
        <f>N17*VLOOKUP('Données projet'!$B$9,Paramètres!$A$1:$I$89,3,0)*VLOOKUP('Données projet'!$B$9,Paramètres!$A$1:$I$89,5,0)</f>
        <v>12.783235810426572</v>
      </c>
      <c r="P17" s="14">
        <f t="shared" si="33"/>
        <v>4.3790497183898731</v>
      </c>
      <c r="Q17" s="22">
        <f t="shared" si="2"/>
        <v>29.890980629355308</v>
      </c>
      <c r="R17" s="62">
        <f t="shared" si="0"/>
        <v>323.2243139626886</v>
      </c>
      <c r="S17" s="62">
        <f ca="1">AVERAGE(OFFSET($R$3,0,0,'Données projet'!$E$9+1,1))-AVERAGE(OFFSET($H$3,0,0,'Données projet'!$E$9+1,1))</f>
        <v>287.69656598881124</v>
      </c>
      <c r="T17" s="62">
        <f t="shared" si="34"/>
        <v>221.9773436301067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5.5909090909090908</v>
      </c>
      <c r="N18" s="14">
        <f>IF('Données projet'!$A$36&gt;35,N17+M18-V17,IF(A18&lt;'Données projet'!$A$36,$K$205^A18,IF(A18='Données projet'!$A$36,'Données projet'!$B$36,N17+M18-V17)))</f>
        <v>26.603287217402478</v>
      </c>
      <c r="O18" s="14">
        <f>N18*VLOOKUP('Données projet'!$B$9,Paramètres!$A$1:$I$89,3,0)*VLOOKUP('Données projet'!$B$9,Paramètres!$A$1:$I$89,5,0)</f>
        <v>15.908765756006684</v>
      </c>
      <c r="P18" s="14">
        <f t="shared" si="33"/>
        <v>5.312733913945455</v>
      </c>
      <c r="Q18" s="22">
        <f t="shared" si="2"/>
        <v>36.960778591833304</v>
      </c>
      <c r="R18" s="62">
        <f t="shared" si="0"/>
        <v>330.29411192516659</v>
      </c>
      <c r="S18" s="62">
        <f ca="1">AVERAGE(OFFSET($R$3,0,0,'Données projet'!$E$9+1,1))-AVERAGE(OFFSET($H$3,0,0,'Données projet'!$E$9+1,1))</f>
        <v>287.69656598881124</v>
      </c>
      <c r="T18" s="62">
        <f t="shared" si="34"/>
        <v>221.9773436301067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5.5909090909090908</v>
      </c>
      <c r="N19" s="14">
        <f>IF('Données projet'!$A$36&gt;35,N18+M19-V18,IF(A19&lt;'Données projet'!$A$36,$K$205^A19,IF(A19='Données projet'!$A$36,'Données projet'!$B$36,N18+M19-V18)))</f>
        <v>33.107850856996748</v>
      </c>
      <c r="O19" s="14">
        <f>N19*VLOOKUP('Données projet'!$B$9,Paramètres!$A$1:$I$89,3,0)*VLOOKUP('Données projet'!$B$9,Paramètres!$A$1:$I$89,5,0)</f>
        <v>19.798494812484059</v>
      </c>
      <c r="P19" s="14">
        <f t="shared" si="33"/>
        <v>6.4454946747588586</v>
      </c>
      <c r="Q19" s="22">
        <f t="shared" si="2"/>
        <v>45.70828169028141</v>
      </c>
      <c r="R19" s="62">
        <f t="shared" si="0"/>
        <v>339.04161502361472</v>
      </c>
      <c r="S19" s="62">
        <f ca="1">AVERAGE(OFFSET($R$3,0,0,'Données projet'!$E$9+1,1))-AVERAGE(OFFSET($H$3,0,0,'Données projet'!$E$9+1,1))</f>
        <v>287.69656598881124</v>
      </c>
      <c r="T19" s="62">
        <f t="shared" si="34"/>
        <v>221.9773436301067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5.5909090909090908</v>
      </c>
      <c r="N20" s="14">
        <f>IF('Données projet'!$A$36&gt;35,N19+M20-V19,IF(A20&lt;'Données projet'!$A$36,$K$205^A20,IF(A20='Données projet'!$A$36,'Données projet'!$B$36,N19+M20-V19)))</f>
        <v>41.202794955809431</v>
      </c>
      <c r="O20" s="14">
        <f>N20*VLOOKUP('Données projet'!$B$9,Paramètres!$A$1:$I$89,3,0)*VLOOKUP('Données projet'!$B$9,Paramètres!$A$1:$I$89,5,0)</f>
        <v>24.639271383574041</v>
      </c>
      <c r="P20" s="14">
        <f t="shared" si="33"/>
        <v>7.8197783429910519</v>
      </c>
      <c r="Q20" s="22">
        <f t="shared" si="2"/>
        <v>56.532844940434195</v>
      </c>
      <c r="R20" s="62">
        <f t="shared" si="0"/>
        <v>349.8661782737675</v>
      </c>
      <c r="S20" s="62">
        <f ca="1">AVERAGE(OFFSET($R$3,0,0,'Données projet'!$E$9+1,1))-AVERAGE(OFFSET($H$3,0,0,'Données projet'!$E$9+1,1))</f>
        <v>287.69656598881124</v>
      </c>
      <c r="T20" s="62">
        <f t="shared" si="34"/>
        <v>221.9773436301067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5.5909090909090908</v>
      </c>
      <c r="N21" s="14">
        <f>IF('Données projet'!$A$36&gt;35,N20+M21-V20,IF(A21&lt;'Données projet'!$A$36,$K$205^A21,IF(A21='Données projet'!$A$36,'Données projet'!$B$36,N20+M21-V20)))</f>
        <v>51.276971117915458</v>
      </c>
      <c r="O21" s="14">
        <f>N21*VLOOKUP('Données projet'!$B$9,Paramètres!$A$1:$I$89,3,0)*VLOOKUP('Données projet'!$B$9,Paramètres!$A$1:$I$89,5,0)</f>
        <v>30.663628728513448</v>
      </c>
      <c r="P21" s="14">
        <f t="shared" si="33"/>
        <v>9.4870815071768995</v>
      </c>
      <c r="Q21" s="22">
        <f t="shared" si="2"/>
        <v>69.929153660494023</v>
      </c>
      <c r="R21" s="62">
        <f t="shared" si="0"/>
        <v>363.26248699382734</v>
      </c>
      <c r="S21" s="62">
        <f ca="1">AVERAGE(OFFSET($R$3,0,0,'Données projet'!$E$9+1,1))-AVERAGE(OFFSET($H$3,0,0,'Données projet'!$E$9+1,1))</f>
        <v>287.69656598881124</v>
      </c>
      <c r="T21" s="62">
        <f t="shared" si="34"/>
        <v>221.9773436301067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5.5909090909090908</v>
      </c>
      <c r="N22" s="14">
        <f>IF('Données projet'!$A$36&gt;35,N21+M22-V21,IF(A22&lt;'Données projet'!$A$36,$K$205^A22,IF(A22='Données projet'!$A$36,'Données projet'!$B$36,N21+M22-V21)))</f>
        <v>63.814306040343304</v>
      </c>
      <c r="O22" s="14">
        <f>N22*VLOOKUP('Données projet'!$B$9,Paramètres!$A$1:$I$89,3,0)*VLOOKUP('Données projet'!$B$9,Paramètres!$A$1:$I$89,5,0)</f>
        <v>38.160955012125299</v>
      </c>
      <c r="P22" s="14">
        <f t="shared" si="33"/>
        <v>11.509880661066306</v>
      </c>
      <c r="Q22" s="22">
        <f t="shared" si="2"/>
        <v>86.510038797475374</v>
      </c>
      <c r="R22" s="62">
        <f t="shared" si="0"/>
        <v>379.84337213080869</v>
      </c>
      <c r="S22" s="62">
        <f ca="1">AVERAGE(OFFSET($R$3,0,0,'Données projet'!$E$9+1,1))-AVERAGE(OFFSET($H$3,0,0,'Données projet'!$E$9+1,1))</f>
        <v>287.69656598881124</v>
      </c>
      <c r="T22" s="62">
        <f t="shared" si="34"/>
        <v>221.9773436301067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5.5909090909090908</v>
      </c>
      <c r="N23" s="14">
        <f>IF('Données projet'!$A$36&gt;35,N22+M23-V22,IF(A23&lt;'Données projet'!$A$36,$K$205^A23,IF(A23='Données projet'!$A$36,'Données projet'!$B$36,N22+M23-V22)))</f>
        <v>79.417047587426694</v>
      </c>
      <c r="O23" s="14">
        <f>N23*VLOOKUP('Données projet'!$B$9,Paramètres!$A$1:$I$89,3,0)*VLOOKUP('Données projet'!$B$9,Paramètres!$A$1:$I$89,5,0)</f>
        <v>47.49139445728116</v>
      </c>
      <c r="P23" s="14">
        <f t="shared" si="33"/>
        <v>13.96397329692701</v>
      </c>
      <c r="Q23" s="22">
        <f t="shared" si="2"/>
        <v>107.03476550524589</v>
      </c>
      <c r="R23" s="62">
        <f t="shared" si="0"/>
        <v>400.36809883857921</v>
      </c>
      <c r="S23" s="62">
        <f ca="1">AVERAGE(OFFSET($R$3,0,0,'Données projet'!$E$9+1,1))-AVERAGE(OFFSET($H$3,0,0,'Données projet'!$E$9+1,1))</f>
        <v>287.69656598881124</v>
      </c>
      <c r="T23" s="62">
        <f t="shared" si="34"/>
        <v>221.9773436301067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5.5909090909090908</v>
      </c>
      <c r="N24" s="14">
        <f>IF('Données projet'!$A$36&gt;35,N23+M24-V23,IF(A24&lt;'Données projet'!$A$36,$K$205^A24,IF(A24='Données projet'!$A$36,'Données projet'!$B$36,N23+M24-V23)))</f>
        <v>98.834694582689295</v>
      </c>
      <c r="O24" s="14">
        <f>N24*VLOOKUP('Données projet'!$B$9,Paramètres!$A$1:$I$89,3,0)*VLOOKUP('Données projet'!$B$9,Paramètres!$A$1:$I$89,5,0)</f>
        <v>59.103147360448204</v>
      </c>
      <c r="P24" s="14">
        <f t="shared" si="33"/>
        <v>16.94131815778756</v>
      </c>
      <c r="Q24" s="22">
        <f t="shared" si="2"/>
        <v>132.44411077759398</v>
      </c>
      <c r="R24" s="62">
        <f t="shared" si="0"/>
        <v>425.77744411092726</v>
      </c>
      <c r="S24" s="62">
        <f ca="1">AVERAGE(OFFSET($R$3,0,0,'Données projet'!$E$9+1,1))-AVERAGE(OFFSET($H$3,0,0,'Données projet'!$E$9+1,1))</f>
        <v>287.69656598881124</v>
      </c>
      <c r="T24" s="62">
        <f t="shared" si="34"/>
        <v>221.9773436301067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123</v>
      </c>
      <c r="L25" s="13">
        <f>VLOOKUP(A25,'Données projet'!$A$35:$I$55,9,0)</f>
        <v>5.5909090909090908</v>
      </c>
      <c r="M25" s="13">
        <f t="array" ref="M25">INDEX(L:L,MIN(IF(ISNUMBER(L25:L221),ROW(L25:L221),"")))</f>
        <v>5.5909090909090908</v>
      </c>
      <c r="N25" s="14">
        <f>IF('Données projet'!$A$36&gt;35,N24+M25-V24,IF(A25&lt;'Données projet'!$A$36,$K$205^A25,IF(A25='Données projet'!$A$36,'Données projet'!$B$36,N24+M25-V24)))</f>
        <v>123</v>
      </c>
      <c r="O25" s="14">
        <f>N25*VLOOKUP('Données projet'!$B$9,Paramètres!$A$1:$I$89,3,0)*VLOOKUP('Données projet'!$B$9,Paramètres!$A$1:$I$89,5,0)</f>
        <v>73.554000000000016</v>
      </c>
      <c r="P25" s="14">
        <f t="shared" si="33"/>
        <v>20.553481077376691</v>
      </c>
      <c r="Q25" s="22">
        <f t="shared" si="2"/>
        <v>163.90386287643108</v>
      </c>
      <c r="R25" s="62">
        <f t="shared" si="0"/>
        <v>457.23719620976442</v>
      </c>
      <c r="S25" s="62">
        <f ca="1">AVERAGE(OFFSET($R$3,0,0,'Données projet'!$E$9+1,1))-AVERAGE(OFFSET($H$3,0,0,'Données projet'!$E$9+1,1))</f>
        <v>287.69656598881124</v>
      </c>
      <c r="T25" s="62">
        <f t="shared" si="34"/>
        <v>221.9773436301067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16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1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10.833198622733226</v>
      </c>
      <c r="AC25" s="24">
        <f t="shared" si="3"/>
        <v>10.833198622733226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12.333333333333334</v>
      </c>
      <c r="N26" s="14">
        <f>IF('Données projet'!$A$36&gt;35,N25+M26-V25,IF(A26&lt;'Données projet'!$A$36,$K$205^A26,IF(A26='Données projet'!$A$36,'Données projet'!$B$36,N25+M26-V25)))</f>
        <v>119.33333333333334</v>
      </c>
      <c r="O26" s="14">
        <f>N26*VLOOKUP('Données projet'!$B$9,Paramètres!$A$1:$I$89,3,0)*VLOOKUP('Données projet'!$B$9,Paramètres!$A$1:$I$89,5,0)</f>
        <v>71.361333333333349</v>
      </c>
      <c r="P26" s="14">
        <f t="shared" si="33"/>
        <v>20.011144716858571</v>
      </c>
      <c r="Q26" s="22">
        <f t="shared" si="2"/>
        <v>159.14039927075092</v>
      </c>
      <c r="R26" s="62">
        <f t="shared" si="0"/>
        <v>452.47373260408426</v>
      </c>
      <c r="S26" s="62">
        <f ca="1">AVERAGE(OFFSET($R$3,0,0,'Données projet'!$E$9+1,1))-AVERAGE(OFFSET($H$3,0,0,'Données projet'!$E$9+1,1))</f>
        <v>287.69656598881124</v>
      </c>
      <c r="T26" s="62">
        <f t="shared" si="34"/>
        <v>221.9773436301067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7.6602282080754316</v>
      </c>
      <c r="AC26" s="24">
        <f t="shared" si="3"/>
        <v>7.6602282080754316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12.333333333333334</v>
      </c>
      <c r="N27" s="14">
        <f>IF('Données projet'!$A$36&gt;35,N26+M27-V26,IF(A27&lt;'Données projet'!$A$36,$K$205^A27,IF(A27='Données projet'!$A$36,'Données projet'!$B$36,N26+M27-V26)))</f>
        <v>131.66666666666669</v>
      </c>
      <c r="O27" s="14">
        <f>N27*VLOOKUP('Données projet'!$B$9,Paramètres!$A$1:$I$89,3,0)*VLOOKUP('Données projet'!$B$9,Paramètres!$A$1:$I$89,5,0)</f>
        <v>78.736666666666679</v>
      </c>
      <c r="P27" s="14">
        <f t="shared" si="33"/>
        <v>21.828006984037064</v>
      </c>
      <c r="Q27" s="22">
        <f t="shared" si="2"/>
        <v>175.15013994164235</v>
      </c>
      <c r="R27" s="62">
        <f t="shared" si="0"/>
        <v>468.48347327497567</v>
      </c>
      <c r="S27" s="62">
        <f ca="1">AVERAGE(OFFSET($R$3,0,0,'Données projet'!$E$9+1,1))-AVERAGE(OFFSET($H$3,0,0,'Données projet'!$E$9+1,1))</f>
        <v>287.69656598881124</v>
      </c>
      <c r="T27" s="62">
        <f t="shared" si="34"/>
        <v>221.9773436301067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5.416599311366614</v>
      </c>
      <c r="AC27" s="24">
        <f t="shared" si="3"/>
        <v>5.416599311366614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144</v>
      </c>
      <c r="L28" s="13">
        <f>VLOOKUP(A28,'Données projet'!$A$35:$I$55,9,0)</f>
        <v>12.333333333333334</v>
      </c>
      <c r="M28" s="13">
        <f t="array" ref="M28">INDEX(L:L,MIN(IF(ISNUMBER(L28:L224),ROW(L28:L224),"")))</f>
        <v>12.333333333333334</v>
      </c>
      <c r="N28" s="14">
        <f>IF('Données projet'!$A$36&gt;35,N27+M28-V27,IF(A28&lt;'Données projet'!$A$36,$K$205^A28,IF(A28='Données projet'!$A$36,'Données projet'!$B$36,N27+M28-V27)))</f>
        <v>144.00000000000003</v>
      </c>
      <c r="O28" s="14">
        <f>N28*VLOOKUP('Données projet'!$B$9,Paramètres!$A$1:$I$89,3,0)*VLOOKUP('Données projet'!$B$9,Paramètres!$A$1:$I$89,5,0)</f>
        <v>86.112000000000009</v>
      </c>
      <c r="P28" s="14">
        <f t="shared" si="33"/>
        <v>23.625136642852297</v>
      </c>
      <c r="Q28" s="22">
        <f t="shared" si="2"/>
        <v>191.12551298630106</v>
      </c>
      <c r="R28" s="62">
        <f t="shared" si="0"/>
        <v>484.4588463196344</v>
      </c>
      <c r="S28" s="62">
        <f ca="1">AVERAGE(OFFSET($R$3,0,0,'Données projet'!$E$9+1,1))-AVERAGE(OFFSET($H$3,0,0,'Données projet'!$E$9+1,1))</f>
        <v>287.69656598881124</v>
      </c>
      <c r="T28" s="62">
        <f t="shared" si="34"/>
        <v>221.9773436301067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17</v>
      </c>
      <c r="W28" s="17">
        <f>IF(ISNA(VLOOKUP(A28,'Données projet'!$A$35:$I$55,5,0)),0%,VLOOKUP(A28,'Données projet'!$A$35:$I$55,5,0)*VLOOKUP('Données projet'!$B$9,Paramètres!$A$1:$I$89,7,0))</f>
        <v>9.0000000000000011E-2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1.2137268828598531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13.038332933360959</v>
      </c>
      <c r="AC28" s="24">
        <f t="shared" si="3"/>
        <v>14.252059816220811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13.4</v>
      </c>
      <c r="N29" s="14">
        <f>IF('Données projet'!$A$36&gt;35,N28+M29-V28,IF(A29&lt;'Données projet'!$A$36,$K$205^A29,IF(A29='Données projet'!$A$36,'Données projet'!$B$36,N28+M29-V28)))</f>
        <v>140.40000000000003</v>
      </c>
      <c r="O29" s="14">
        <f>N29*VLOOKUP('Données projet'!$B$9,Paramètres!$A$1:$I$89,3,0)*VLOOKUP('Données projet'!$B$9,Paramètres!$A$1:$I$89,5,0)</f>
        <v>83.959200000000024</v>
      </c>
      <c r="P29" s="14">
        <f t="shared" si="33"/>
        <v>23.102490880810642</v>
      </c>
      <c r="Q29" s="22">
        <f t="shared" si="2"/>
        <v>186.46577828407854</v>
      </c>
      <c r="R29" s="62">
        <f t="shared" si="0"/>
        <v>479.79911161741188</v>
      </c>
      <c r="S29" s="62">
        <f ca="1">AVERAGE(OFFSET($R$3,0,0,'Données projet'!$E$9+1,1))-AVERAGE(OFFSET($H$3,0,0,'Données projet'!$E$9+1,1))</f>
        <v>287.69656598881124</v>
      </c>
      <c r="T29" s="62">
        <f t="shared" si="34"/>
        <v>221.9773436301067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1.1899264389872712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9.2194936325474242</v>
      </c>
      <c r="AC29" s="24">
        <f t="shared" si="3"/>
        <v>10.409420071534695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13.4</v>
      </c>
      <c r="N30" s="14">
        <f>IF('Données projet'!$A$36&gt;35,N29+M30-V29,IF(A30&lt;'Données projet'!$A$36,$K$205^A30,IF(A30='Données projet'!$A$36,'Données projet'!$B$36,N29+M30-V29)))</f>
        <v>153.80000000000004</v>
      </c>
      <c r="O30" s="14">
        <f>N30*VLOOKUP('Données projet'!$B$9,Paramètres!$A$1:$I$89,3,0)*VLOOKUP('Données projet'!$B$9,Paramètres!$A$1:$I$89,5,0)</f>
        <v>91.972400000000022</v>
      </c>
      <c r="P30" s="14">
        <f t="shared" si="33"/>
        <v>25.040318527820091</v>
      </c>
      <c r="Q30" s="22">
        <f t="shared" si="2"/>
        <v>203.79715143595334</v>
      </c>
      <c r="R30" s="62">
        <f t="shared" si="0"/>
        <v>497.13048476928668</v>
      </c>
      <c r="S30" s="62">
        <f ca="1">AVERAGE(OFFSET($R$3,0,0,'Données projet'!$E$9+1,1))-AVERAGE(OFFSET($H$3,0,0,'Données projet'!$E$9+1,1))</f>
        <v>287.69656598881124</v>
      </c>
      <c r="T30" s="62">
        <f t="shared" si="34"/>
        <v>221.9773436301067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1.1665927073021936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6.5191664666804803</v>
      </c>
      <c r="AC30" s="24">
        <f t="shared" si="3"/>
        <v>7.6857591739826736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13.4</v>
      </c>
      <c r="N31" s="14">
        <f>IF('Données projet'!$A$36&gt;35,N30+M31-V30,IF(A31&lt;'Données projet'!$A$36,$K$205^A31,IF(A31='Données projet'!$A$36,'Données projet'!$B$36,N30+M31-V30)))</f>
        <v>167.20000000000005</v>
      </c>
      <c r="O31" s="14">
        <f>N31*VLOOKUP('Données projet'!$B$9,Paramètres!$A$1:$I$89,3,0)*VLOOKUP('Données projet'!$B$9,Paramètres!$A$1:$I$89,5,0)</f>
        <v>99.985600000000034</v>
      </c>
      <c r="P31" s="14">
        <f t="shared" si="33"/>
        <v>26.958566918169435</v>
      </c>
      <c r="Q31" s="22">
        <f t="shared" si="2"/>
        <v>221.09442404914515</v>
      </c>
      <c r="R31" s="62">
        <f t="shared" si="0"/>
        <v>514.42775738247849</v>
      </c>
      <c r="S31" s="62">
        <f ca="1">AVERAGE(OFFSET($R$3,0,0,'Données projet'!$E$9+1,1))-AVERAGE(OFFSET($H$3,0,0,'Données projet'!$E$9+1,1))</f>
        <v>287.69656598881124</v>
      </c>
      <c r="T31" s="62">
        <f t="shared" si="34"/>
        <v>221.9773436301067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1.143716535863289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4.609746816273713</v>
      </c>
      <c r="AC31" s="24">
        <f t="shared" si="3"/>
        <v>5.7534633521370022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13.4</v>
      </c>
      <c r="N32" s="14">
        <f>IF('Données projet'!$A$36&gt;35,N31+M32-V31,IF(A32&lt;'Données projet'!$A$36,$K$205^A32,IF(A32='Données projet'!$A$36,'Données projet'!$B$36,N31+M32-V31)))</f>
        <v>180.60000000000005</v>
      </c>
      <c r="O32" s="14">
        <f>N32*VLOOKUP('Données projet'!$B$9,Paramètres!$A$1:$I$89,3,0)*VLOOKUP('Données projet'!$B$9,Paramètres!$A$1:$I$89,5,0)</f>
        <v>107.99880000000003</v>
      </c>
      <c r="P32" s="14">
        <f t="shared" si="33"/>
        <v>28.85898360070161</v>
      </c>
      <c r="Q32" s="22">
        <f t="shared" si="2"/>
        <v>238.36063977122203</v>
      </c>
      <c r="R32" s="62">
        <f t="shared" si="0"/>
        <v>531.69397310455531</v>
      </c>
      <c r="S32" s="62">
        <f ca="1">AVERAGE(OFFSET($R$3,0,0,'Données projet'!$E$9+1,1))-AVERAGE(OFFSET($H$3,0,0,'Données projet'!$E$9+1,1))</f>
        <v>287.69656598881124</v>
      </c>
      <c r="T32" s="62">
        <f t="shared" si="34"/>
        <v>221.9773436301067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1.1212889521932148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3.2595832333402406</v>
      </c>
      <c r="AC32" s="24">
        <f t="shared" si="3"/>
        <v>4.3808721855334554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194</v>
      </c>
      <c r="L33" s="13">
        <f>VLOOKUP(A33,'Données projet'!$A$35:$I$55,9,0)</f>
        <v>13.4</v>
      </c>
      <c r="M33" s="13">
        <f t="array" ref="M33">INDEX(L:L,MIN(IF(ISNUMBER(L33:L229),ROW(L33:L229),"")))</f>
        <v>13.4</v>
      </c>
      <c r="N33" s="14">
        <f>IF('Données projet'!$A$36&gt;35,N32+M33-V32,IF(A33&lt;'Données projet'!$A$36,$K$205^A33,IF(A33='Données projet'!$A$36,'Données projet'!$B$36,N32+M33-V32)))</f>
        <v>194.00000000000006</v>
      </c>
      <c r="O33" s="14">
        <f>N33*VLOOKUP('Données projet'!$B$9,Paramètres!$A$1:$I$89,3,0)*VLOOKUP('Données projet'!$B$9,Paramètres!$A$1:$I$89,5,0)</f>
        <v>116.01200000000003</v>
      </c>
      <c r="P33" s="14">
        <f t="shared" si="33"/>
        <v>30.743042086238173</v>
      </c>
      <c r="Q33" s="22">
        <f t="shared" si="2"/>
        <v>255.59836496686489</v>
      </c>
      <c r="R33" s="62">
        <f t="shared" si="0"/>
        <v>548.93169830019815</v>
      </c>
      <c r="S33" s="62">
        <f ca="1">AVERAGE(OFFSET($R$3,0,0,'Données projet'!$E$9+1,1))-AVERAGE(OFFSET($H$3,0,0,'Données projet'!$E$9+1,1))</f>
        <v>287.69656598881124</v>
      </c>
      <c r="T33" s="62">
        <f t="shared" si="34"/>
        <v>221.9773436301067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34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5.9542086911988479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16.117201652121722</v>
      </c>
      <c r="AC33" s="24">
        <f t="shared" si="3"/>
        <v>22.071410343320569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174.60000000000005</v>
      </c>
      <c r="O34" s="14">
        <f>N34*VLOOKUP('Données projet'!$B$9,Paramètres!$A$1:$I$89,3,0)*VLOOKUP('Données projet'!$B$9,Paramètres!$A$1:$I$89,5,0)</f>
        <v>104.41080000000004</v>
      </c>
      <c r="P34" s="14">
        <f t="shared" si="33"/>
        <v>28.010155571424168</v>
      </c>
      <c r="Q34" s="22">
        <f t="shared" si="2"/>
        <v>230.63316428689714</v>
      </c>
      <c r="R34" s="62">
        <f t="shared" si="0"/>
        <v>523.96649762023048</v>
      </c>
      <c r="S34" s="62">
        <f ca="1">AVERAGE(OFFSET($R$3,0,0,'Données projet'!$E$9+1,1))-AVERAGE(OFFSET($H$3,0,0,'Données projet'!$E$9+1,1))</f>
        <v>287.69656598881124</v>
      </c>
      <c r="T34" s="62">
        <f t="shared" si="34"/>
        <v>221.9773436301067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5.8374502904731385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11.396582581966298</v>
      </c>
      <c r="AC34" s="24">
        <f t="shared" si="3"/>
        <v>17.234032872439435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189.20000000000005</v>
      </c>
      <c r="O35" s="14">
        <f>N35*VLOOKUP('Données projet'!$B$9,Paramètres!$A$1:$I$89,3,0)*VLOOKUP('Données projet'!$B$9,Paramètres!$A$1:$I$89,5,0)</f>
        <v>113.14160000000004</v>
      </c>
      <c r="P35" s="14">
        <f t="shared" si="33"/>
        <v>30.069952587742019</v>
      </c>
      <c r="Q35" s="22">
        <f t="shared" ref="Q35:Q66" si="53">(O35+P35)*0.475*44/12</f>
        <v>249.42678742365072</v>
      </c>
      <c r="R35" s="62">
        <f t="shared" si="0"/>
        <v>542.76012075698407</v>
      </c>
      <c r="S35" s="62">
        <f ca="1">AVERAGE(OFFSET($R$3,0,0,'Données projet'!$E$9+1,1))-AVERAGE(OFFSET($H$3,0,0,'Données projet'!$E$9+1,1))</f>
        <v>287.69656598881124</v>
      </c>
      <c r="T35" s="62">
        <f t="shared" si="34"/>
        <v>221.9773436301067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5.7229814507700683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8.0586008260608626</v>
      </c>
      <c r="AC35" s="24">
        <f t="shared" si="3"/>
        <v>13.781582276830932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203.80000000000004</v>
      </c>
      <c r="O36" s="14">
        <f>N36*VLOOKUP('Données projet'!$B$9,Paramètres!$A$1:$I$89,3,0)*VLOOKUP('Données projet'!$B$9,Paramètres!$A$1:$I$89,5,0)</f>
        <v>121.87240000000003</v>
      </c>
      <c r="P36" s="14">
        <f t="shared" si="33"/>
        <v>32.111311550408985</v>
      </c>
      <c r="Q36" s="22">
        <f t="shared" si="53"/>
        <v>268.1882976169623</v>
      </c>
      <c r="R36" s="62">
        <f t="shared" si="0"/>
        <v>561.52163095029562</v>
      </c>
      <c r="S36" s="62">
        <f ca="1">AVERAGE(OFFSET($R$3,0,0,'Données projet'!$E$9+1,1))-AVERAGE(OFFSET($H$3,0,0,'Données projet'!$E$9+1,1))</f>
        <v>287.69656598881124</v>
      </c>
      <c r="T36" s="62">
        <f t="shared" si="34"/>
        <v>221.9773436301067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5.6107572751944765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5.6982912909831498</v>
      </c>
      <c r="AC36" s="24">
        <f t="shared" si="3"/>
        <v>11.309048566177626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218.40000000000003</v>
      </c>
      <c r="O37" s="14">
        <f>N37*VLOOKUP('Données projet'!$B$9,Paramètres!$A$1:$I$89,3,0)*VLOOKUP('Données projet'!$B$9,Paramètres!$A$1:$I$89,5,0)</f>
        <v>130.60320000000004</v>
      </c>
      <c r="P37" s="14">
        <f t="shared" si="33"/>
        <v>34.135703567016428</v>
      </c>
      <c r="Q37" s="22">
        <f t="shared" si="53"/>
        <v>286.92025704588701</v>
      </c>
      <c r="R37" s="62">
        <f t="shared" si="0"/>
        <v>580.25359037922033</v>
      </c>
      <c r="S37" s="62">
        <f ca="1">AVERAGE(OFFSET($R$3,0,0,'Données projet'!$E$9+1,1))-AVERAGE(OFFSET($H$3,0,0,'Données projet'!$E$9+1,1))</f>
        <v>287.69656598881124</v>
      </c>
      <c r="T37" s="62">
        <f t="shared" si="34"/>
        <v>221.9773436301067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5.5007337472519344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4.0293004130304322</v>
      </c>
      <c r="AC37" s="24">
        <f t="shared" si="3"/>
        <v>9.5300341602823657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233</v>
      </c>
      <c r="L38" s="13">
        <f>VLOOKUP(A38,'Données projet'!$A$35:$I$55,9,0)</f>
        <v>14.6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233.00000000000003</v>
      </c>
      <c r="O38" s="14">
        <f>N38*VLOOKUP('Données projet'!$B$9,Paramètres!$A$1:$I$89,3,0)*VLOOKUP('Données projet'!$B$9,Paramètres!$A$1:$I$89,5,0)</f>
        <v>139.33400000000003</v>
      </c>
      <c r="P38" s="14">
        <f t="shared" si="33"/>
        <v>36.144391930570897</v>
      </c>
      <c r="Q38" s="22">
        <f t="shared" si="53"/>
        <v>305.62486594574438</v>
      </c>
      <c r="R38" s="62">
        <f t="shared" si="0"/>
        <v>598.95819927907769</v>
      </c>
      <c r="S38" s="62">
        <f ca="1">AVERAGE(OFFSET($R$3,0,0,'Données projet'!$E$9+1,1))-AVERAGE(OFFSET($H$3,0,0,'Données projet'!$E$9+1,1))</f>
        <v>287.69656598881124</v>
      </c>
      <c r="T38" s="62">
        <f t="shared" si="34"/>
        <v>221.9773436301067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41</v>
      </c>
      <c r="W38" s="17">
        <f>IF(ISNA(VLOOKUP(A38,'Données projet'!$A$35:$I$55,5,0)),0%,VLOOKUP(A38,'Données projet'!$A$35:$I$55,5,0)*VLOOKUP('Données projet'!$B$9,Paramètres!$A$1:$I$89,7,0))</f>
        <v>0.20250000000000001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0.55000000000000004</v>
      </c>
      <c r="Z38" s="23">
        <f>EXP(-LN(2)/35)*Z37+(1-EXP(-LN(2)/35))/(LN(2)/35)*V38*W38*VLOOKUP('Données projet'!$B$9,Paramètres!$A$1:$I$89,3,0)*0.475*44/12</f>
        <v>11.979120945574117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18.11718495440622</v>
      </c>
      <c r="AC38" s="24">
        <f t="shared" si="3"/>
        <v>30.096305899980337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14.4</v>
      </c>
      <c r="N39" s="14">
        <f>IF('Données projet'!$A$36&gt;35,N38+M39-V38,IF(A39&lt;'Données projet'!$A$36,$K$205^A39,IF(A39='Données projet'!$A$36,'Données projet'!$B$36,N38+M39-V38)))</f>
        <v>206.40000000000003</v>
      </c>
      <c r="O39" s="14">
        <f>N39*VLOOKUP('Données projet'!$B$9,Paramètres!$A$1:$I$89,3,0)*VLOOKUP('Données projet'!$B$9,Paramètres!$A$1:$I$89,5,0)</f>
        <v>123.42720000000003</v>
      </c>
      <c r="P39" s="14">
        <f t="shared" si="33"/>
        <v>32.473022671122074</v>
      </c>
      <c r="Q39" s="22">
        <f t="shared" si="53"/>
        <v>271.5262211522043</v>
      </c>
      <c r="R39" s="62">
        <f t="shared" si="0"/>
        <v>564.85955448553761</v>
      </c>
      <c r="S39" s="62">
        <f ca="1">AVERAGE(OFFSET($R$3,0,0,'Données projet'!$E$9+1,1))-AVERAGE(OFFSET($H$3,0,0,'Données projet'!$E$9+1,1))</f>
        <v>287.69656598881124</v>
      </c>
      <c r="T39" s="62">
        <f t="shared" si="34"/>
        <v>221.9773436301067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11.744217690373723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12.810784337271532</v>
      </c>
      <c r="AC39" s="24">
        <f t="shared" si="3"/>
        <v>24.555002027645255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14.4</v>
      </c>
      <c r="N40" s="14">
        <f>IF('Données projet'!$A$36&gt;35,N39+M40-V39,IF(A40&lt;'Données projet'!$A$36,$K$205^A40,IF(A40='Données projet'!$A$36,'Données projet'!$B$36,N39+M40-V39)))</f>
        <v>220.80000000000004</v>
      </c>
      <c r="O40" s="14">
        <f>N40*VLOOKUP('Données projet'!$B$9,Paramètres!$A$1:$I$89,3,0)*VLOOKUP('Données projet'!$B$9,Paramètres!$A$1:$I$89,5,0)</f>
        <v>132.03840000000005</v>
      </c>
      <c r="P40" s="14">
        <f t="shared" si="33"/>
        <v>34.466946374534373</v>
      </c>
      <c r="Q40" s="22">
        <f t="shared" si="53"/>
        <v>289.99681160231415</v>
      </c>
      <c r="R40" s="62">
        <f t="shared" si="0"/>
        <v>583.33014493564747</v>
      </c>
      <c r="S40" s="62">
        <f ca="1">AVERAGE(OFFSET($R$3,0,0,'Données projet'!$E$9+1,1))-AVERAGE(OFFSET($H$3,0,0,'Données projet'!$E$9+1,1))</f>
        <v>287.69656598881124</v>
      </c>
      <c r="T40" s="62">
        <f t="shared" si="34"/>
        <v>221.9773436301067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11.513920744730973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9.0585924772031117</v>
      </c>
      <c r="AC40" s="24">
        <f t="shared" si="3"/>
        <v>20.572513221934084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14.4</v>
      </c>
      <c r="N41" s="14">
        <f>IF('Données projet'!$A$36&gt;35,N40+M41-V40,IF(A41&lt;'Données projet'!$A$36,$K$205^A41,IF(A41='Données projet'!$A$36,'Données projet'!$B$36,N40+M41-V40)))</f>
        <v>235.20000000000005</v>
      </c>
      <c r="O41" s="14">
        <f>N41*VLOOKUP('Données projet'!$B$9,Paramètres!$A$1:$I$89,3,0)*VLOOKUP('Données projet'!$B$9,Paramètres!$A$1:$I$89,5,0)</f>
        <v>140.64960000000002</v>
      </c>
      <c r="P41" s="14">
        <f t="shared" si="33"/>
        <v>36.445779615258601</v>
      </c>
      <c r="Q41" s="22">
        <f t="shared" si="53"/>
        <v>308.44111949657542</v>
      </c>
      <c r="R41" s="62">
        <f t="shared" si="0"/>
        <v>601.7744528299088</v>
      </c>
      <c r="S41" s="62">
        <f ca="1">AVERAGE(OFFSET($R$3,0,0,'Données projet'!$E$9+1,1))-AVERAGE(OFFSET($H$3,0,0,'Données projet'!$E$9+1,1))</f>
        <v>287.69656598881124</v>
      </c>
      <c r="T41" s="62">
        <f t="shared" si="34"/>
        <v>221.9773436301067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11.288139781725009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6.4053921686357667</v>
      </c>
      <c r="AC41" s="24">
        <f t="shared" si="3"/>
        <v>17.693531950360775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14.4</v>
      </c>
      <c r="N42" s="14">
        <f>IF('Données projet'!$A$36&gt;35,N41+M42-V41,IF(A42&lt;'Données projet'!$A$36,$K$205^A42,IF(A42='Données projet'!$A$36,'Données projet'!$B$36,N41+M42-V41)))</f>
        <v>249.60000000000005</v>
      </c>
      <c r="O42" s="14">
        <f>N42*VLOOKUP('Données projet'!$B$9,Paramètres!$A$1:$I$89,3,0)*VLOOKUP('Données projet'!$B$9,Paramètres!$A$1:$I$89,5,0)</f>
        <v>149.26080000000005</v>
      </c>
      <c r="P42" s="14">
        <f t="shared" si="33"/>
        <v>38.410551499792909</v>
      </c>
      <c r="Q42" s="22">
        <f t="shared" si="53"/>
        <v>326.86093719547273</v>
      </c>
      <c r="R42" s="62">
        <f t="shared" si="0"/>
        <v>620.1942705288061</v>
      </c>
      <c r="S42" s="62">
        <f ca="1">AVERAGE(OFFSET($R$3,0,0,'Données projet'!$E$9+1,1))-AVERAGE(OFFSET($H$3,0,0,'Données projet'!$E$9+1,1))</f>
        <v>287.69656598881124</v>
      </c>
      <c r="T42" s="62">
        <f t="shared" si="34"/>
        <v>221.9773436301067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11.066786245690803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4.5292962386015567</v>
      </c>
      <c r="AC42" s="24">
        <f t="shared" si="3"/>
        <v>15.59608248429236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264</v>
      </c>
      <c r="L43" s="13">
        <f>VLOOKUP(A43,'Données projet'!$A$35:$I$55,9,0)</f>
        <v>14.4</v>
      </c>
      <c r="M43" s="13">
        <f t="array" ref="M43">INDEX(L:L,MIN(IF(ISNUMBER(L43:L239),ROW(L43:L239),"")))</f>
        <v>14.4</v>
      </c>
      <c r="N43" s="14">
        <f>IF('Données projet'!$A$36&gt;35,N42+M43-V42,IF(A43&lt;'Données projet'!$A$36,$K$205^A43,IF(A43='Données projet'!$A$36,'Données projet'!$B$36,N42+M43-V42)))</f>
        <v>264.00000000000006</v>
      </c>
      <c r="O43" s="14">
        <f>N43*VLOOKUP('Données projet'!$B$9,Paramètres!$A$1:$I$89,3,0)*VLOOKUP('Données projet'!$B$9,Paramètres!$A$1:$I$89,5,0)</f>
        <v>157.87200000000004</v>
      </c>
      <c r="P43" s="14">
        <f t="shared" si="33"/>
        <v>40.362165684361159</v>
      </c>
      <c r="Q43" s="22">
        <f t="shared" si="53"/>
        <v>345.25783856692902</v>
      </c>
      <c r="R43" s="62">
        <f t="shared" si="0"/>
        <v>638.59117190026234</v>
      </c>
      <c r="S43" s="62">
        <f ca="1">AVERAGE(OFFSET($R$3,0,0,'Données projet'!$E$9+1,1))-AVERAGE(OFFSET($H$3,0,0,'Données projet'!$E$9+1,1))</f>
        <v>287.69656598881124</v>
      </c>
      <c r="T43" s="62">
        <f t="shared" si="34"/>
        <v>221.9773436301067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10.849773317485901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3.2026960843178838</v>
      </c>
      <c r="AC43" s="24">
        <f t="shared" si="3"/>
        <v>14.052469401803785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16.600000000000001</v>
      </c>
      <c r="N44" s="14">
        <f>IF('Données projet'!$A$36&gt;35,N43+M44-V43,IF(A44&lt;'Données projet'!$A$36,$K$205^A44,IF(A44='Données projet'!$A$36,'Données projet'!$B$36,N43+M44-V43)))</f>
        <v>239.60000000000008</v>
      </c>
      <c r="O44" s="14">
        <f>N44*VLOOKUP('Données projet'!$B$9,Paramètres!$A$1:$I$89,3,0)*VLOOKUP('Données projet'!$B$9,Paramètres!$A$1:$I$89,5,0)</f>
        <v>143.28080000000006</v>
      </c>
      <c r="P44" s="14">
        <f t="shared" si="33"/>
        <v>37.047574465948976</v>
      </c>
      <c r="Q44" s="22">
        <f t="shared" si="53"/>
        <v>314.07191886152788</v>
      </c>
      <c r="R44" s="62">
        <f t="shared" si="0"/>
        <v>607.40525219486119</v>
      </c>
      <c r="S44" s="62">
        <f ca="1">AVERAGE(OFFSET($R$3,0,0,'Données projet'!$E$9+1,1))-AVERAGE(OFFSET($H$3,0,0,'Données projet'!$E$9+1,1))</f>
        <v>287.69656598881124</v>
      </c>
      <c r="T44" s="62">
        <f t="shared" si="34"/>
        <v>221.9773436301067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10.637015880438282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2.2646481193007784</v>
      </c>
      <c r="AC44" s="24">
        <f t="shared" si="3"/>
        <v>12.901663999739061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16.600000000000001</v>
      </c>
      <c r="N45" s="14">
        <f>IF('Données projet'!$A$36&gt;35,N44+M45-V44,IF(A45&lt;'Données projet'!$A$36,$K$205^A45,IF(A45='Données projet'!$A$36,'Données projet'!$B$36,N44+M45-V44)))</f>
        <v>256.2000000000001</v>
      </c>
      <c r="O45" s="14">
        <f>N45*VLOOKUP('Données projet'!$B$9,Paramètres!$A$1:$I$89,3,0)*VLOOKUP('Données projet'!$B$9,Paramètres!$A$1:$I$89,5,0)</f>
        <v>153.20760000000007</v>
      </c>
      <c r="P45" s="14">
        <f t="shared" si="33"/>
        <v>39.306624169832133</v>
      </c>
      <c r="Q45" s="22">
        <f t="shared" si="53"/>
        <v>335.29560709579107</v>
      </c>
      <c r="R45" s="62">
        <f t="shared" si="0"/>
        <v>628.62894042912444</v>
      </c>
      <c r="S45" s="62">
        <f ca="1">AVERAGE(OFFSET($R$3,0,0,'Données projet'!$E$9+1,1))-AVERAGE(OFFSET($H$3,0,0,'Données projet'!$E$9+1,1))</f>
        <v>287.69656598881124</v>
      </c>
      <c r="T45" s="62">
        <f t="shared" si="34"/>
        <v>221.9773436301067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10.428430486961943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1.6013480421589419</v>
      </c>
      <c r="AC45" s="24">
        <f t="shared" si="3"/>
        <v>12.029778529120886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16.600000000000001</v>
      </c>
      <c r="N46" s="14">
        <f>IF('Données projet'!$A$36&gt;35,N45+M46-V45,IF(A46&lt;'Données projet'!$A$36,$K$205^A46,IF(A46='Données projet'!$A$36,'Données projet'!$B$36,N45+M46-V45)))</f>
        <v>272.80000000000013</v>
      </c>
      <c r="O46" s="14">
        <f>N46*VLOOKUP('Données projet'!$B$9,Paramètres!$A$1:$I$89,3,0)*VLOOKUP('Données projet'!$B$9,Paramètres!$A$1:$I$89,5,0)</f>
        <v>163.13440000000008</v>
      </c>
      <c r="P46" s="14">
        <f t="shared" si="33"/>
        <v>41.548687845426002</v>
      </c>
      <c r="Q46" s="22">
        <f t="shared" si="53"/>
        <v>356.48971133078379</v>
      </c>
      <c r="R46" s="62">
        <f t="shared" si="0"/>
        <v>649.82304466411711</v>
      </c>
      <c r="S46" s="62">
        <f ca="1">AVERAGE(OFFSET($R$3,0,0,'Données projet'!$E$9+1,1))-AVERAGE(OFFSET($H$3,0,0,'Données projet'!$E$9+1,1))</f>
        <v>287.69656598881124</v>
      </c>
      <c r="T46" s="62">
        <f t="shared" si="34"/>
        <v>221.9773436301067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10.223935325827147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1.1323240596503892</v>
      </c>
      <c r="AC46" s="24">
        <f t="shared" si="3"/>
        <v>11.356259385477536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16.600000000000001</v>
      </c>
      <c r="N47" s="14">
        <f>IF('Données projet'!$A$36&gt;35,N46+M47-V46,IF(A47&lt;'Données projet'!$A$36,$K$205^A47,IF(A47='Données projet'!$A$36,'Données projet'!$B$36,N46+M47-V46)))</f>
        <v>289.40000000000015</v>
      </c>
      <c r="O47" s="14">
        <f>N47*VLOOKUP('Données projet'!$B$9,Paramètres!$A$1:$I$89,3,0)*VLOOKUP('Données projet'!$B$9,Paramètres!$A$1:$I$89,5,0)</f>
        <v>173.0612000000001</v>
      </c>
      <c r="P47" s="14">
        <f t="shared" si="33"/>
        <v>43.774916798471111</v>
      </c>
      <c r="Q47" s="22">
        <f t="shared" si="53"/>
        <v>377.65623675733735</v>
      </c>
      <c r="R47" s="62">
        <f t="shared" si="0"/>
        <v>670.98957009067067</v>
      </c>
      <c r="S47" s="62">
        <f ca="1">AVERAGE(OFFSET($R$3,0,0,'Données projet'!$E$9+1,1))-AVERAGE(OFFSET($H$3,0,0,'Données projet'!$E$9+1,1))</f>
        <v>287.69656598881124</v>
      </c>
      <c r="T47" s="62">
        <f t="shared" si="34"/>
        <v>221.9773436301067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10.023450190072474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0.80067402107947094</v>
      </c>
      <c r="AC47" s="24">
        <f t="shared" si="3"/>
        <v>10.824124211151945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306</v>
      </c>
      <c r="L48" s="13">
        <f>VLOOKUP(A48,'Données projet'!$A$35:$I$55,9,0)</f>
        <v>16.600000000000001</v>
      </c>
      <c r="M48" s="13">
        <f t="array" ref="M48">INDEX(L:L,MIN(IF(ISNUMBER(L48:L244),ROW(L48:L244),"")))</f>
        <v>16.600000000000001</v>
      </c>
      <c r="N48" s="14">
        <f>IF('Données projet'!$A$36&gt;35,N47+M48-V47,IF(A48&lt;'Données projet'!$A$36,$K$205^A48,IF(A48='Données projet'!$A$36,'Données projet'!$B$36,N47+M48-V47)))</f>
        <v>306.00000000000017</v>
      </c>
      <c r="O48" s="14">
        <f>N48*VLOOKUP('Données projet'!$B$9,Paramètres!$A$1:$I$89,3,0)*VLOOKUP('Données projet'!$B$9,Paramètres!$A$1:$I$89,5,0)</f>
        <v>182.98800000000011</v>
      </c>
      <c r="P48" s="14">
        <f t="shared" si="33"/>
        <v>45.986322796524874</v>
      </c>
      <c r="Q48" s="22">
        <f t="shared" si="53"/>
        <v>398.79694553728103</v>
      </c>
      <c r="R48" s="62">
        <f t="shared" si="0"/>
        <v>692.13027887061435</v>
      </c>
      <c r="S48" s="62">
        <f ca="1">AVERAGE(OFFSET($R$3,0,0,'Données projet'!$E$9+1,1))-AVERAGE(OFFSET($H$3,0,0,'Données projet'!$E$9+1,1))</f>
        <v>287.69656598881124</v>
      </c>
      <c r="T48" s="62">
        <f t="shared" si="34"/>
        <v>221.9773436301067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9.8268964455460903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0.56616202982519459</v>
      </c>
      <c r="AC48" s="24">
        <f t="shared" si="3"/>
        <v>10.393058475371285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270.40000000000015</v>
      </c>
      <c r="O49" s="14">
        <f>N49*VLOOKUP('Données projet'!$B$9,Paramètres!$A$1:$I$89,3,0)*VLOOKUP('Données projet'!$B$9,Paramètres!$A$1:$I$89,5,0)</f>
        <v>161.6992000000001</v>
      </c>
      <c r="P49" s="14">
        <f t="shared" si="33"/>
        <v>41.225538754249229</v>
      </c>
      <c r="Q49" s="22">
        <f t="shared" si="53"/>
        <v>353.42725333031763</v>
      </c>
      <c r="R49" s="62">
        <f t="shared" si="0"/>
        <v>646.76058666365088</v>
      </c>
      <c r="S49" s="62">
        <f ca="1">AVERAGE(OFFSET($R$3,0,0,'Données projet'!$E$9+1,1))-AVERAGE(OFFSET($H$3,0,0,'Données projet'!$E$9+1,1))</f>
        <v>287.69656598881124</v>
      </c>
      <c r="T49" s="62">
        <f t="shared" si="34"/>
        <v>221.9773436301067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9.6341970000639225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0.40033701053973547</v>
      </c>
      <c r="AC49" s="24">
        <f t="shared" si="3"/>
        <v>10.034534010603657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287.80000000000013</v>
      </c>
      <c r="O50" s="14">
        <f>N50*VLOOKUP('Données projet'!$B$9,Paramètres!$A$1:$I$89,3,0)*VLOOKUP('Données projet'!$B$9,Paramètres!$A$1:$I$89,5,0)</f>
        <v>172.10440000000008</v>
      </c>
      <c r="P50" s="14">
        <f t="shared" si="33"/>
        <v>43.561001176960559</v>
      </c>
      <c r="Q50" s="22">
        <f t="shared" si="53"/>
        <v>375.61724038320648</v>
      </c>
      <c r="R50" s="62">
        <f t="shared" si="0"/>
        <v>668.95057371653979</v>
      </c>
      <c r="S50" s="62">
        <f ca="1">AVERAGE(OFFSET($R$3,0,0,'Données projet'!$E$9+1,1))-AVERAGE(OFFSET($H$3,0,0,'Données projet'!$E$9+1,1))</f>
        <v>287.69656598881124</v>
      </c>
      <c r="T50" s="62">
        <f t="shared" si="34"/>
        <v>221.9773436301067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9.4452762731726043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0.2830810149125973</v>
      </c>
      <c r="AC50" s="24">
        <f t="shared" si="3"/>
        <v>9.7283572880852009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305.2000000000001</v>
      </c>
      <c r="O51" s="14">
        <f>N51*VLOOKUP('Données projet'!$B$9,Paramètres!$A$1:$I$89,3,0)*VLOOKUP('Données projet'!$B$9,Paramètres!$A$1:$I$89,5,0)</f>
        <v>182.50960000000006</v>
      </c>
      <c r="P51" s="14">
        <f t="shared" si="33"/>
        <v>45.880075205637056</v>
      </c>
      <c r="Q51" s="22">
        <f t="shared" si="53"/>
        <v>397.77868431648454</v>
      </c>
      <c r="R51" s="62">
        <f t="shared" si="0"/>
        <v>691.11201764981786</v>
      </c>
      <c r="S51" s="62">
        <f ca="1">AVERAGE(OFFSET($R$3,0,0,'Données projet'!$E$9+1,1))-AVERAGE(OFFSET($H$3,0,0,'Données projet'!$E$9+1,1))</f>
        <v>287.69656598881124</v>
      </c>
      <c r="T51" s="62">
        <f t="shared" si="34"/>
        <v>221.9773436301067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9.2600601665053599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0.20016850526986774</v>
      </c>
      <c r="AC51" s="24">
        <f t="shared" si="3"/>
        <v>9.4602286717752282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322.60000000000008</v>
      </c>
      <c r="O52" s="14">
        <f>N52*VLOOKUP('Données projet'!$B$9,Paramètres!$A$1:$I$89,3,0)*VLOOKUP('Données projet'!$B$9,Paramètres!$A$1:$I$89,5,0)</f>
        <v>192.91480000000007</v>
      </c>
      <c r="P52" s="14">
        <f t="shared" si="33"/>
        <v>48.18380163388656</v>
      </c>
      <c r="Q52" s="22">
        <f t="shared" si="53"/>
        <v>419.91339784568589</v>
      </c>
      <c r="R52" s="62">
        <f t="shared" si="0"/>
        <v>713.24673117901921</v>
      </c>
      <c r="S52" s="62">
        <f ca="1">AVERAGE(OFFSET($R$3,0,0,'Données projet'!$E$9+1,1))-AVERAGE(OFFSET($H$3,0,0,'Données projet'!$E$9+1,1))</f>
        <v>287.69656598881124</v>
      </c>
      <c r="T52" s="62">
        <f t="shared" si="34"/>
        <v>221.9773436301067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9.0784760347191895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0.14154050745629865</v>
      </c>
      <c r="AC52" s="24">
        <f t="shared" si="3"/>
        <v>9.2200165421754878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340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340.00000000000006</v>
      </c>
      <c r="O53" s="14">
        <f>N53*VLOOKUP('Données projet'!$B$9,Paramètres!$A$1:$I$89,3,0)*VLOOKUP('Données projet'!$B$9,Paramètres!$A$1:$I$89,5,0)</f>
        <v>203.32000000000005</v>
      </c>
      <c r="P53" s="14">
        <f t="shared" si="33"/>
        <v>50.473102640215579</v>
      </c>
      <c r="Q53" s="22">
        <f t="shared" si="53"/>
        <v>442.02298709837555</v>
      </c>
      <c r="R53" s="62">
        <f t="shared" si="0"/>
        <v>735.35632043170881</v>
      </c>
      <c r="S53" s="62">
        <f ca="1">AVERAGE(OFFSET($R$3,0,0,'Données projet'!$E$9+1,1))-AVERAGE(OFFSET($H$3,0,0,'Données projet'!$E$9+1,1))</f>
        <v>287.69656598881124</v>
      </c>
      <c r="T53" s="62">
        <f t="shared" si="34"/>
        <v>221.9773436301067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53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8.9004526570019618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0.10008425263493387</v>
      </c>
      <c r="AC53" s="24">
        <f t="shared" si="3"/>
        <v>9.0005369096368959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17.625</v>
      </c>
      <c r="N54" s="14">
        <f>IF('Données projet'!$A$36&gt;35,N53+M54-V53,IF(A54&lt;'Données projet'!$A$36,$K$205^A54,IF(A54='Données projet'!$A$36,'Données projet'!$B$36,N53+M54-V53)))</f>
        <v>304.62500000000006</v>
      </c>
      <c r="O54" s="14">
        <f>N54*VLOOKUP('Données projet'!$B$9,Paramètres!$A$1:$I$89,3,0)*VLOOKUP('Données projet'!$B$9,Paramètres!$A$1:$I$89,5,0)</f>
        <v>182.16575000000003</v>
      </c>
      <c r="P54" s="14">
        <f t="shared" si="33"/>
        <v>45.803689728693968</v>
      </c>
      <c r="Q54" s="22">
        <f t="shared" si="53"/>
        <v>397.04677419414202</v>
      </c>
      <c r="R54" s="62">
        <f t="shared" si="0"/>
        <v>690.38010752747527</v>
      </c>
      <c r="S54" s="62">
        <f ca="1">AVERAGE(OFFSET($R$3,0,0,'Données projet'!$E$9+1,1))-AVERAGE(OFFSET($H$3,0,0,'Données projet'!$E$9+1,1))</f>
        <v>287.69656598881124</v>
      </c>
      <c r="T54" s="62">
        <f t="shared" si="34"/>
        <v>221.9773436301067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8.7259202091382306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7.0770253728149324E-2</v>
      </c>
      <c r="AC54" s="24">
        <f t="shared" si="3"/>
        <v>8.7966904628663798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17.625</v>
      </c>
      <c r="N55" s="14">
        <f>IF('Données projet'!$A$36&gt;35,N54+M55-V54,IF(A55&lt;'Données projet'!$A$36,$K$205^A55,IF(A55='Données projet'!$A$36,'Données projet'!$B$36,N54+M55-V54)))</f>
        <v>322.25000000000006</v>
      </c>
      <c r="O55" s="14">
        <f>N55*VLOOKUP('Données projet'!$B$9,Paramètres!$A$1:$I$89,3,0)*VLOOKUP('Données projet'!$B$9,Paramètres!$A$1:$I$89,5,0)</f>
        <v>192.70550000000006</v>
      </c>
      <c r="P55" s="14">
        <f t="shared" si="33"/>
        <v>48.137607387789963</v>
      </c>
      <c r="Q55" s="22">
        <f t="shared" si="53"/>
        <v>419.46841203373424</v>
      </c>
      <c r="R55" s="62">
        <f t="shared" si="0"/>
        <v>712.8017453670675</v>
      </c>
      <c r="S55" s="62">
        <f ca="1">AVERAGE(OFFSET($R$3,0,0,'Données projet'!$E$9+1,1))-AVERAGE(OFFSET($H$3,0,0,'Données projet'!$E$9+1,1))</f>
        <v>287.69656598881124</v>
      </c>
      <c r="T55" s="62">
        <f t="shared" si="34"/>
        <v>221.9773436301067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8.554810236122826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5.0042126317466934E-2</v>
      </c>
      <c r="AC55" s="24">
        <f t="shared" si="3"/>
        <v>8.6048523624402922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17.625</v>
      </c>
      <c r="N56" s="14">
        <f>IF('Données projet'!$A$36&gt;35,N55+M56-V55,IF(A56&lt;'Données projet'!$A$36,$K$205^A56,IF(A56='Données projet'!$A$36,'Données projet'!$B$36,N55+M56-V55)))</f>
        <v>339.87500000000006</v>
      </c>
      <c r="O56" s="14">
        <f>N56*VLOOKUP('Données projet'!$B$9,Paramètres!$A$1:$I$89,3,0)*VLOOKUP('Données projet'!$B$9,Paramètres!$A$1:$I$89,5,0)</f>
        <v>203.24525000000006</v>
      </c>
      <c r="P56" s="14">
        <f t="shared" si="33"/>
        <v>50.45670595349123</v>
      </c>
      <c r="Q56" s="22">
        <f t="shared" si="53"/>
        <v>441.86423995233059</v>
      </c>
      <c r="R56" s="62">
        <f t="shared" si="0"/>
        <v>735.19757328566391</v>
      </c>
      <c r="S56" s="62">
        <f ca="1">AVERAGE(OFFSET($R$3,0,0,'Données projet'!$E$9+1,1))-AVERAGE(OFFSET($H$3,0,0,'Données projet'!$E$9+1,1))</f>
        <v>287.69656598881124</v>
      </c>
      <c r="T56" s="62">
        <f t="shared" si="34"/>
        <v>221.9773436301067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8.3870556253114739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3.5385126864074662E-2</v>
      </c>
      <c r="AC56" s="24">
        <f t="shared" si="3"/>
        <v>8.4224407521755484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17.625</v>
      </c>
      <c r="N57" s="14">
        <f>IF('Données projet'!$A$36&gt;35,N56+M57-V56,IF(A57&lt;'Données projet'!$A$36,$K$205^A57,IF(A57='Données projet'!$A$36,'Données projet'!$B$36,N56+M57-V56)))</f>
        <v>357.50000000000006</v>
      </c>
      <c r="O57" s="14">
        <f>N57*VLOOKUP('Données projet'!$B$9,Paramètres!$A$1:$I$89,3,0)*VLOOKUP('Données projet'!$B$9,Paramètres!$A$1:$I$89,5,0)</f>
        <v>213.78500000000005</v>
      </c>
      <c r="P57" s="14">
        <f t="shared" si="33"/>
        <v>52.761841557402377</v>
      </c>
      <c r="Q57" s="22">
        <f t="shared" si="53"/>
        <v>464.2357490458092</v>
      </c>
      <c r="R57" s="62">
        <f t="shared" si="0"/>
        <v>757.56908237914251</v>
      </c>
      <c r="S57" s="62">
        <f ca="1">AVERAGE(OFFSET($R$3,0,0,'Données projet'!$E$9+1,1))-AVERAGE(OFFSET($H$3,0,0,'Données projet'!$E$9+1,1))</f>
        <v>287.69656598881124</v>
      </c>
      <c r="T57" s="62">
        <f t="shared" si="34"/>
        <v>221.9773436301067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8.2225905800979238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2.5021063158733467E-2</v>
      </c>
      <c r="AC57" s="24">
        <f t="shared" si="3"/>
        <v>8.2476116432566577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17.625</v>
      </c>
      <c r="N58" s="14">
        <f>IF('Données projet'!$A$36&gt;35,N57+M58-V57,IF(A58&lt;'Données projet'!$A$36,$K$205^A58,IF(A58='Données projet'!$A$36,'Données projet'!$B$36,N57+M58-V57)))</f>
        <v>375.12500000000006</v>
      </c>
      <c r="O58" s="14">
        <f>N58*VLOOKUP('Données projet'!$B$9,Paramètres!$A$1:$I$89,3,0)*VLOOKUP('Données projet'!$B$9,Paramètres!$A$1:$I$89,5,0)</f>
        <v>224.32475000000005</v>
      </c>
      <c r="P58" s="14">
        <f t="shared" si="33"/>
        <v>55.053781146410472</v>
      </c>
      <c r="Q58" s="22">
        <f t="shared" si="53"/>
        <v>486.58427507999835</v>
      </c>
      <c r="R58" s="62">
        <f t="shared" si="0"/>
        <v>779.91760841333166</v>
      </c>
      <c r="S58" s="62">
        <f ca="1">AVERAGE(OFFSET($R$3,0,0,'Données projet'!$E$9+1,1))-AVERAGE(OFFSET($H$3,0,0,'Données projet'!$E$9+1,1))</f>
        <v>287.69656598881124</v>
      </c>
      <c r="T58" s="62">
        <f t="shared" si="34"/>
        <v>221.9773436301067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8.061350594107239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1.7692563432037331E-2</v>
      </c>
      <c r="AC58" s="24">
        <f t="shared" si="3"/>
        <v>8.0790431575392763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17.625</v>
      </c>
      <c r="N59" s="14">
        <f>IF('Données projet'!$A$36&gt;35,N58+M59-V58,IF(A59&lt;'Données projet'!$A$36,$K$205^A59,IF(A59='Données projet'!$A$36,'Données projet'!$B$36,N58+M59-V58)))</f>
        <v>392.75000000000006</v>
      </c>
      <c r="O59" s="14">
        <f>N59*VLOOKUP('Données projet'!$B$9,Paramètres!$A$1:$I$89,3,0)*VLOOKUP('Données projet'!$B$9,Paramètres!$A$1:$I$89,5,0)</f>
        <v>234.86450000000002</v>
      </c>
      <c r="P59" s="14">
        <f t="shared" si="33"/>
        <v>57.33321552572081</v>
      </c>
      <c r="Q59" s="22">
        <f t="shared" si="53"/>
        <v>508.9110212072971</v>
      </c>
      <c r="R59" s="62">
        <f t="shared" si="0"/>
        <v>802.24435454063041</v>
      </c>
      <c r="S59" s="62">
        <f ca="1">AVERAGE(OFFSET($R$3,0,0,'Données projet'!$E$9+1,1))-AVERAGE(OFFSET($H$3,0,0,'Données projet'!$E$9+1,1))</f>
        <v>287.69656598881124</v>
      </c>
      <c r="T59" s="62">
        <f t="shared" si="34"/>
        <v>221.9773436301067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7.9032724258951514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1.2510531579366733E-2</v>
      </c>
      <c r="AC59" s="24">
        <f t="shared" si="3"/>
        <v>7.9157829574745184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17.625</v>
      </c>
      <c r="N60" s="14">
        <f>IF('Données projet'!$A$36&gt;35,N59+M60-V59,IF(A60&lt;'Données projet'!$A$36,$K$205^A60,IF(A60='Données projet'!$A$36,'Données projet'!$B$36,N59+M60-V59)))</f>
        <v>410.37500000000006</v>
      </c>
      <c r="O60" s="14">
        <f>N60*VLOOKUP('Données projet'!$B$9,Paramètres!$A$1:$I$89,3,0)*VLOOKUP('Données projet'!$B$9,Paramètres!$A$1:$I$89,5,0)</f>
        <v>245.40425000000005</v>
      </c>
      <c r="P60" s="14">
        <f t="shared" si="33"/>
        <v>59.60076999447687</v>
      </c>
      <c r="Q60" s="22">
        <f t="shared" si="53"/>
        <v>531.21707649038069</v>
      </c>
      <c r="R60" s="62">
        <f t="shared" si="0"/>
        <v>824.55040982371406</v>
      </c>
      <c r="S60" s="62">
        <f ca="1">AVERAGE(OFFSET($R$3,0,0,'Données projet'!$E$9+1,1))-AVERAGE(OFFSET($H$3,0,0,'Données projet'!$E$9+1,1))</f>
        <v>287.69656598881124</v>
      </c>
      <c r="T60" s="62">
        <f t="shared" si="34"/>
        <v>221.9773436301067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7.7482940741435407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8.8462817160186655E-3</v>
      </c>
      <c r="AC60" s="24">
        <f t="shared" si="3"/>
        <v>7.7571403558595593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428</v>
      </c>
      <c r="L61" s="13">
        <f>VLOOKUP(A61,'Données projet'!$A$35:$I$55,9,0)</f>
        <v>17.625</v>
      </c>
      <c r="M61" s="13">
        <f t="array" ref="M61">INDEX(L:L,MIN(IF(ISNUMBER(L61:L257),ROW(L61:L257),"")))</f>
        <v>17.625</v>
      </c>
      <c r="N61" s="14">
        <f>IF('Données projet'!$A$36&gt;35,N60+M61-V60,IF(A61&lt;'Données projet'!$A$36,$K$205^A61,IF(A61='Données projet'!$A$36,'Données projet'!$B$36,N60+M61-V60)))</f>
        <v>428.00000000000006</v>
      </c>
      <c r="O61" s="14">
        <f>N61*VLOOKUP('Données projet'!$B$9,Paramètres!$A$1:$I$89,3,0)*VLOOKUP('Données projet'!$B$9,Paramètres!$A$1:$I$89,5,0)</f>
        <v>255.94400000000005</v>
      </c>
      <c r="P61" s="14">
        <f t="shared" si="33"/>
        <v>61.857013102708898</v>
      </c>
      <c r="Q61" s="22">
        <f t="shared" si="53"/>
        <v>553.50343115388478</v>
      </c>
      <c r="R61" s="62">
        <f t="shared" si="0"/>
        <v>846.83676448721803</v>
      </c>
      <c r="S61" s="62">
        <f ca="1">AVERAGE(OFFSET($R$3,0,0,'Données projet'!$E$9+1,1))-AVERAGE(OFFSET($H$3,0,0,'Données projet'!$E$9+1,1))</f>
        <v>287.69656598881124</v>
      </c>
      <c r="T61" s="62">
        <f t="shared" si="34"/>
        <v>221.9773436301067</v>
      </c>
      <c r="U61" s="16">
        <f>IF(ISNA(VLOOKUP(A61,'Données projet'!$A$35:$I$55,3,0)),0,VLOOKUP(A61,'Données projet'!$A$35:$I$55,3,0))</f>
        <v>8</v>
      </c>
      <c r="V61" s="16">
        <f>IF(ISNA(VLOOKUP(A61,'Données projet'!$A$35:$I$55,4,0)),0,VLOOKUP(A61,'Données projet'!$A$35:$I$55,4,0))</f>
        <v>78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7.5963547533423181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6.2552657896833667E-3</v>
      </c>
      <c r="AC61" s="24">
        <f t="shared" si="3"/>
        <v>7.6026100191320012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16.625</v>
      </c>
      <c r="N62" s="14">
        <f>IF('Données projet'!$A$36&gt;35,N61+M62-V61,IF(A62&lt;'Données projet'!$A$36,$K$205^A62,IF(A62='Données projet'!$A$36,'Données projet'!$B$36,N61+M62-V61)))</f>
        <v>366.62500000000006</v>
      </c>
      <c r="O62" s="14">
        <f>N62*VLOOKUP('Données projet'!$B$9,Paramètres!$A$1:$I$89,3,0)*VLOOKUP('Données projet'!$B$9,Paramètres!$A$1:$I$89,5,0)</f>
        <v>219.24175000000005</v>
      </c>
      <c r="P62" s="14">
        <f t="shared" si="33"/>
        <v>53.950050729111297</v>
      </c>
      <c r="Q62" s="22">
        <f t="shared" si="53"/>
        <v>475.80905293653558</v>
      </c>
      <c r="R62" s="62">
        <f t="shared" si="0"/>
        <v>769.14238626986889</v>
      </c>
      <c r="S62" s="62">
        <f ca="1">AVERAGE(OFFSET($R$3,0,0,'Données projet'!$E$9+1,1))-AVERAGE(OFFSET($H$3,0,0,'Données projet'!$E$9+1,1))</f>
        <v>287.69656598881124</v>
      </c>
      <c r="T62" s="62">
        <f t="shared" si="34"/>
        <v>221.9773436301067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7.4473948699481722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4.4231408580093327E-3</v>
      </c>
      <c r="AC62" s="24">
        <f t="shared" si="3"/>
        <v>7.451818010806182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16.625</v>
      </c>
      <c r="N63" s="14">
        <f>IF('Données projet'!$A$36&gt;35,N62+M63-V62,IF(A63&lt;'Données projet'!$A$36,$K$205^A63,IF(A63='Données projet'!$A$36,'Données projet'!$B$36,N62+M63-V62)))</f>
        <v>383.25000000000006</v>
      </c>
      <c r="O63" s="14">
        <f>N63*VLOOKUP('Données projet'!$B$9,Paramètres!$A$1:$I$89,3,0)*VLOOKUP('Données projet'!$B$9,Paramètres!$A$1:$I$89,5,0)</f>
        <v>229.18350000000007</v>
      </c>
      <c r="P63" s="14">
        <f t="shared" si="33"/>
        <v>56.106098616839645</v>
      </c>
      <c r="Q63" s="22">
        <f t="shared" si="53"/>
        <v>496.87938425766248</v>
      </c>
      <c r="R63" s="62">
        <f t="shared" si="0"/>
        <v>790.21271759099579</v>
      </c>
      <c r="S63" s="62">
        <f ca="1">AVERAGE(OFFSET($R$3,0,0,'Données projet'!$E$9+1,1))-AVERAGE(OFFSET($H$3,0,0,'Données projet'!$E$9+1,1))</f>
        <v>287.69656598881124</v>
      </c>
      <c r="T63" s="62">
        <f t="shared" si="34"/>
        <v>221.9773436301067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7.3013559990108288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3.1276328948416834E-3</v>
      </c>
      <c r="AC63" s="24">
        <f t="shared" si="3"/>
        <v>7.3044836319056703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16.625</v>
      </c>
      <c r="N64" s="14">
        <f>IF('Données projet'!$A$36&gt;35,N63+M64-V63,IF(A64&lt;'Données projet'!$A$36,$K$205^A64,IF(A64='Données projet'!$A$36,'Données projet'!$B$36,N63+M64-V63)))</f>
        <v>399.87500000000006</v>
      </c>
      <c r="O64" s="14">
        <f>N64*VLOOKUP('Données projet'!$B$9,Paramètres!$A$1:$I$89,3,0)*VLOOKUP('Données projet'!$B$9,Paramètres!$A$1:$I$89,5,0)</f>
        <v>239.12525000000005</v>
      </c>
      <c r="P64" s="14">
        <f t="shared" si="33"/>
        <v>58.251283780505084</v>
      </c>
      <c r="Q64" s="22">
        <f t="shared" si="53"/>
        <v>517.93079633437981</v>
      </c>
      <c r="R64" s="62">
        <f t="shared" si="0"/>
        <v>811.26412966771318</v>
      </c>
      <c r="S64" s="62">
        <f ca="1">AVERAGE(OFFSET($R$3,0,0,'Données projet'!$E$9+1,1))-AVERAGE(OFFSET($H$3,0,0,'Données projet'!$E$9+1,1))</f>
        <v>287.69656598881124</v>
      </c>
      <c r="T64" s="62">
        <f t="shared" si="34"/>
        <v>221.9773436301067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7.1581808612576507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2.2115704290046664E-3</v>
      </c>
      <c r="AC64" s="24">
        <f t="shared" si="3"/>
        <v>7.1603924316866552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16.625</v>
      </c>
      <c r="N65" s="14">
        <f>IF('Données projet'!$A$36&gt;35,N64+M65-V64,IF(A65&lt;'Données projet'!$A$36,$K$205^A65,IF(A65='Données projet'!$A$36,'Données projet'!$B$36,N64+M65-V64)))</f>
        <v>416.50000000000006</v>
      </c>
      <c r="O65" s="14">
        <f>N65*VLOOKUP('Données projet'!$B$9,Paramètres!$A$1:$I$89,3,0)*VLOOKUP('Données projet'!$B$9,Paramètres!$A$1:$I$89,5,0)</f>
        <v>249.06700000000004</v>
      </c>
      <c r="P65" s="14">
        <f t="shared" si="33"/>
        <v>60.386109489804014</v>
      </c>
      <c r="Q65" s="22">
        <f t="shared" si="53"/>
        <v>538.96416569474195</v>
      </c>
      <c r="R65" s="62">
        <f t="shared" si="0"/>
        <v>832.29749902807521</v>
      </c>
      <c r="S65" s="62">
        <f ca="1">AVERAGE(OFFSET($R$3,0,0,'Données projet'!$E$9+1,1))-AVERAGE(OFFSET($H$3,0,0,'Données projet'!$E$9+1,1))</f>
        <v>287.69656598881124</v>
      </c>
      <c r="T65" s="62">
        <f t="shared" si="34"/>
        <v>221.9773436301067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7.0178133006276013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1.5638164474208417E-3</v>
      </c>
      <c r="AC65" s="24">
        <f t="shared" si="3"/>
        <v>7.0193771170750221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16.625</v>
      </c>
      <c r="N66" s="14">
        <f>IF('Données projet'!$A$36&gt;35,N65+M66-V65,IF(A66&lt;'Données projet'!$A$36,$K$205^A66,IF(A66='Données projet'!$A$36,'Données projet'!$B$36,N65+M66-V65)))</f>
        <v>433.12500000000006</v>
      </c>
      <c r="O66" s="14">
        <f>N66*VLOOKUP('Données projet'!$B$9,Paramètres!$A$1:$I$89,3,0)*VLOOKUP('Données projet'!$B$9,Paramètres!$A$1:$I$89,5,0)</f>
        <v>259.00875000000008</v>
      </c>
      <c r="P66" s="14">
        <f t="shared" si="33"/>
        <v>62.511036563235727</v>
      </c>
      <c r="Q66" s="22">
        <f t="shared" si="53"/>
        <v>559.98029493096897</v>
      </c>
      <c r="R66" s="62">
        <f t="shared" si="0"/>
        <v>853.31362826430222</v>
      </c>
      <c r="S66" s="62">
        <f ca="1">AVERAGE(OFFSET($R$3,0,0,'Données projet'!$E$9+1,1))-AVERAGE(OFFSET($H$3,0,0,'Données projet'!$E$9+1,1))</f>
        <v>287.69656598881124</v>
      </c>
      <c r="T66" s="62">
        <f t="shared" si="34"/>
        <v>221.9773436301067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6.8801982622457487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1.1057852145023332E-3</v>
      </c>
      <c r="AC66" s="24">
        <f t="shared" si="3"/>
        <v>6.8813040474602509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16.625</v>
      </c>
      <c r="N67" s="14">
        <f>IF('Données projet'!$A$36&gt;35,N66+M67-V66,IF(A67&lt;'Données projet'!$A$36,$K$205^A67,IF(A67='Données projet'!$A$36,'Données projet'!$B$36,N66+M67-V66)))</f>
        <v>449.75000000000006</v>
      </c>
      <c r="O67" s="14">
        <f>N67*VLOOKUP('Données projet'!$B$9,Paramètres!$A$1:$I$89,3,0)*VLOOKUP('Données projet'!$B$9,Paramètres!$A$1:$I$89,5,0)</f>
        <v>268.95050000000009</v>
      </c>
      <c r="P67" s="14">
        <f t="shared" si="33"/>
        <v>64.626488439895155</v>
      </c>
      <c r="Q67" s="22">
        <f t="shared" ref="Q67:Q98" si="54">(O67+P67)*0.475*44/12</f>
        <v>580.97992153281746</v>
      </c>
      <c r="R67" s="62">
        <f t="shared" ref="R67:R130" si="55">Q67+(I67+J67)*44/12</f>
        <v>874.31325486615083</v>
      </c>
      <c r="S67" s="62">
        <f ca="1">AVERAGE(OFFSET($R$3,0,0,'Données projet'!$E$9+1,1))-AVERAGE(OFFSET($H$3,0,0,'Données projet'!$E$9+1,1))</f>
        <v>287.69656598881124</v>
      </c>
      <c r="T67" s="62">
        <f t="shared" si="34"/>
        <v>221.9773436301067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6.7452817708296786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7.8190822371042084E-4</v>
      </c>
      <c r="AC67" s="24">
        <f t="shared" si="3"/>
        <v>6.746063679053389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16.625</v>
      </c>
      <c r="N68" s="14">
        <f>IF('Données projet'!$A$36&gt;35,N67+M68-V67,IF(A68&lt;'Données projet'!$A$36,$K$205^A68,IF(A68='Données projet'!$A$36,'Données projet'!$B$36,N67+M68-V67)))</f>
        <v>466.37500000000006</v>
      </c>
      <c r="O68" s="14">
        <f>N68*VLOOKUP('Données projet'!$B$9,Paramètres!$A$1:$I$89,3,0)*VLOOKUP('Données projet'!$B$9,Paramètres!$A$1:$I$89,5,0)</f>
        <v>278.89225000000005</v>
      </c>
      <c r="P68" s="14">
        <f t="shared" si="33"/>
        <v>66.732855480271084</v>
      </c>
      <c r="Q68" s="22">
        <f t="shared" si="54"/>
        <v>601.96372537813886</v>
      </c>
      <c r="R68" s="62">
        <f t="shared" si="55"/>
        <v>895.29705871147212</v>
      </c>
      <c r="S68" s="62">
        <f ca="1">AVERAGE(OFFSET($R$3,0,0,'Données projet'!$E$9+1,1))-AVERAGE(OFFSET($H$3,0,0,'Données projet'!$E$9+1,1))</f>
        <v>287.69656598881124</v>
      </c>
      <c r="T68" s="62">
        <f t="shared" si="34"/>
        <v>221.9773436301067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6.6130109095193434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5.5289260725116659E-4</v>
      </c>
      <c r="AC68" s="24">
        <f t="shared" ref="AC68:AC131" si="57">SUM(Z68:AB68)</f>
        <v>6.6135638021265946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483</v>
      </c>
      <c r="L69" s="13">
        <f>VLOOKUP(A69,'Données projet'!$A$35:$I$55,9,0)</f>
        <v>16.625</v>
      </c>
      <c r="M69" s="13">
        <f t="array" ref="M69">INDEX(L:L,MIN(IF(ISNUMBER(L69:L265),ROW(L69:L265),"")))</f>
        <v>16.625</v>
      </c>
      <c r="N69" s="14">
        <f>IF('Données projet'!$A$36&gt;35,N68+M69-V68,IF(A69&lt;'Données projet'!$A$36,$K$205^A69,IF(A69='Données projet'!$A$36,'Données projet'!$B$36,N68+M69-V68)))</f>
        <v>483.00000000000006</v>
      </c>
      <c r="O69" s="14">
        <f>N69*VLOOKUP('Données projet'!$B$9,Paramètres!$A$1:$I$89,3,0)*VLOOKUP('Données projet'!$B$9,Paramètres!$A$1:$I$89,5,0)</f>
        <v>288.83400000000006</v>
      </c>
      <c r="P69" s="14">
        <f t="shared" ref="P69:P132" si="87">EXP(-1.0587+0.8836*LN(O69)+0.284)</f>
        <v>68.830498636563377</v>
      </c>
      <c r="Q69" s="22">
        <f t="shared" si="54"/>
        <v>622.932335125348</v>
      </c>
      <c r="R69" s="62">
        <f t="shared" si="55"/>
        <v>916.26566845868138</v>
      </c>
      <c r="S69" s="62">
        <f ca="1">AVERAGE(OFFSET($R$3,0,0,'Données projet'!$E$9+1,1))-AVERAGE(OFFSET($H$3,0,0,'Données projet'!$E$9+1,1))</f>
        <v>287.69656598881124</v>
      </c>
      <c r="T69" s="62">
        <f t="shared" ref="T69:T132" si="88">$T$3</f>
        <v>221.9773436301067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65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6.483333799122045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3.9095411185521042E-4</v>
      </c>
      <c r="AC69" s="24">
        <f t="shared" si="57"/>
        <v>6.4837247532339006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12.875</v>
      </c>
      <c r="N70" s="14">
        <f>IF('Données projet'!$A$36&gt;35,N69+M70-V69,IF(A70&lt;'Données projet'!$A$36,$K$205^A70,IF(A70='Données projet'!$A$36,'Données projet'!$B$36,N69+M70-V69)))</f>
        <v>430.87500000000006</v>
      </c>
      <c r="O70" s="14">
        <f>N70*VLOOKUP('Données projet'!$B$9,Paramètres!$A$1:$I$89,3,0)*VLOOKUP('Données projet'!$B$9,Paramètres!$A$1:$I$89,5,0)</f>
        <v>257.66325000000006</v>
      </c>
      <c r="P70" s="14">
        <f t="shared" si="87"/>
        <v>62.224015868041043</v>
      </c>
      <c r="Q70" s="22">
        <f t="shared" si="54"/>
        <v>557.13698805350487</v>
      </c>
      <c r="R70" s="62">
        <f t="shared" si="55"/>
        <v>850.47032138683812</v>
      </c>
      <c r="S70" s="62">
        <f ca="1">AVERAGE(OFFSET($R$3,0,0,'Données projet'!$E$9+1,1))-AVERAGE(OFFSET($H$3,0,0,'Données projet'!$E$9+1,1))</f>
        <v>287.69656598881124</v>
      </c>
      <c r="T70" s="62">
        <f t="shared" si="88"/>
        <v>221.9773436301067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6.3561995777644107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2.764463036255833E-4</v>
      </c>
      <c r="AC70" s="24">
        <f t="shared" si="57"/>
        <v>6.3564760240680362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12.875</v>
      </c>
      <c r="N71" s="14">
        <f>IF('Données projet'!$A$36&gt;35,N70+M71-V70,IF(A71&lt;'Données projet'!$A$36,$K$205^A71,IF(A71='Données projet'!$A$36,'Données projet'!$B$36,N70+M71-V70)))</f>
        <v>443.75000000000006</v>
      </c>
      <c r="O71" s="14">
        <f>N71*VLOOKUP('Données projet'!$B$9,Paramètres!$A$1:$I$89,3,0)*VLOOKUP('Données projet'!$B$9,Paramètres!$A$1:$I$89,5,0)</f>
        <v>265.36250000000007</v>
      </c>
      <c r="P71" s="14">
        <f t="shared" si="87"/>
        <v>63.864084559847946</v>
      </c>
      <c r="Q71" s="22">
        <f t="shared" si="54"/>
        <v>573.40296810840198</v>
      </c>
      <c r="R71" s="62">
        <f t="shared" si="55"/>
        <v>866.73630144173535</v>
      </c>
      <c r="S71" s="62">
        <f ca="1">AVERAGE(OFFSET($R$3,0,0,'Données projet'!$E$9+1,1))-AVERAGE(OFFSET($H$3,0,0,'Données projet'!$E$9+1,1))</f>
        <v>287.69656598881124</v>
      </c>
      <c r="T71" s="62">
        <f t="shared" si="88"/>
        <v>221.9773436301067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6.2315583809433814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1.9547705592760521E-4</v>
      </c>
      <c r="AC71" s="24">
        <f t="shared" si="57"/>
        <v>6.2317538579993093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12.875</v>
      </c>
      <c r="N72" s="14">
        <f>IF('Données projet'!$A$36&gt;35,N71+M72-V71,IF(A72&lt;'Données projet'!$A$36,$K$205^A72,IF(A72='Données projet'!$A$36,'Données projet'!$B$36,N71+M72-V71)))</f>
        <v>456.62500000000006</v>
      </c>
      <c r="O72" s="14">
        <f>N72*VLOOKUP('Données projet'!$B$9,Paramètres!$A$1:$I$89,3,0)*VLOOKUP('Données projet'!$B$9,Paramètres!$A$1:$I$89,5,0)</f>
        <v>273.06175000000007</v>
      </c>
      <c r="P72" s="14">
        <f t="shared" si="87"/>
        <v>65.49862286970442</v>
      </c>
      <c r="Q72" s="22">
        <f t="shared" si="54"/>
        <v>589.65931608140193</v>
      </c>
      <c r="R72" s="62">
        <f t="shared" si="55"/>
        <v>882.9926494147353</v>
      </c>
      <c r="S72" s="62">
        <f ca="1">AVERAGE(OFFSET($R$3,0,0,'Données projet'!$E$9+1,1))-AVERAGE(OFFSET($H$3,0,0,'Données projet'!$E$9+1,1))</f>
        <v>287.69656598881124</v>
      </c>
      <c r="T72" s="62">
        <f t="shared" si="88"/>
        <v>221.9773436301067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6.1093613219683887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1.3822315181279165E-4</v>
      </c>
      <c r="AC72" s="24">
        <f t="shared" si="57"/>
        <v>6.1094995451202019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12.875</v>
      </c>
      <c r="N73" s="14">
        <f>IF('Données projet'!$A$36&gt;35,N72+M73-V72,IF(A73&lt;'Données projet'!$A$36,$K$205^A73,IF(A73='Données projet'!$A$36,'Données projet'!$B$36,N72+M73-V72)))</f>
        <v>469.50000000000006</v>
      </c>
      <c r="O73" s="14">
        <f>N73*VLOOKUP('Données projet'!$B$9,Paramètres!$A$1:$I$89,3,0)*VLOOKUP('Données projet'!$B$9,Paramètres!$A$1:$I$89,5,0)</f>
        <v>280.76100000000002</v>
      </c>
      <c r="P73" s="14">
        <f t="shared" si="87"/>
        <v>67.12780464438184</v>
      </c>
      <c r="Q73" s="22">
        <f t="shared" si="54"/>
        <v>605.90633475563175</v>
      </c>
      <c r="R73" s="62">
        <f t="shared" si="55"/>
        <v>899.23966808896512</v>
      </c>
      <c r="S73" s="62">
        <f ca="1">AVERAGE(OFFSET($R$3,0,0,'Données projet'!$E$9+1,1))-AVERAGE(OFFSET($H$3,0,0,'Données projet'!$E$9+1,1))</f>
        <v>287.69656598881124</v>
      </c>
      <c r="T73" s="62">
        <f t="shared" si="88"/>
        <v>221.9773436301067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5.9895604727870495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9.7738527963802605E-5</v>
      </c>
      <c r="AC73" s="24">
        <f t="shared" si="57"/>
        <v>5.989658211315013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12.875</v>
      </c>
      <c r="N74" s="14">
        <f>IF('Données projet'!$A$36&gt;35,N73+M74-V73,IF(A74&lt;'Données projet'!$A$36,$K$205^A74,IF(A74='Données projet'!$A$36,'Données projet'!$B$36,N73+M74-V73)))</f>
        <v>482.37500000000006</v>
      </c>
      <c r="O74" s="14">
        <f>N74*VLOOKUP('Données projet'!$B$9,Paramètres!$A$1:$I$89,3,0)*VLOOKUP('Données projet'!$B$9,Paramètres!$A$1:$I$89,5,0)</f>
        <v>288.46025000000009</v>
      </c>
      <c r="P74" s="14">
        <f t="shared" si="87"/>
        <v>68.75179365327233</v>
      </c>
      <c r="Q74" s="22">
        <f t="shared" si="54"/>
        <v>622.14430936278279</v>
      </c>
      <c r="R74" s="62">
        <f t="shared" si="55"/>
        <v>915.47764269611616</v>
      </c>
      <c r="S74" s="62">
        <f ca="1">AVERAGE(OFFSET($R$3,0,0,'Données projet'!$E$9+1,1))-AVERAGE(OFFSET($H$3,0,0,'Données projet'!$E$9+1,1))</f>
        <v>287.69656598881124</v>
      </c>
      <c r="T74" s="62">
        <f t="shared" si="88"/>
        <v>221.9773436301067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5.8721088451868537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6.9111575906395824E-5</v>
      </c>
      <c r="AC74" s="24">
        <f t="shared" si="57"/>
        <v>5.8721779567627603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12.875</v>
      </c>
      <c r="N75" s="14">
        <f>IF('Données projet'!$A$36&gt;35,N74+M75-V74,IF(A75&lt;'Données projet'!$A$36,$K$205^A75,IF(A75='Données projet'!$A$36,'Données projet'!$B$36,N74+M75-V74)))</f>
        <v>495.25000000000006</v>
      </c>
      <c r="O75" s="14">
        <f>N75*VLOOKUP('Données projet'!$B$9,Paramètres!$A$1:$I$89,3,0)*VLOOKUP('Données projet'!$B$9,Paramètres!$A$1:$I$89,5,0)</f>
        <v>296.15950000000004</v>
      </c>
      <c r="P75" s="14">
        <f t="shared" si="87"/>
        <v>70.370744425720076</v>
      </c>
      <c r="Q75" s="22">
        <f t="shared" si="54"/>
        <v>638.37350904146251</v>
      </c>
      <c r="R75" s="62">
        <f t="shared" si="55"/>
        <v>931.70684237479577</v>
      </c>
      <c r="S75" s="62">
        <f ca="1">AVERAGE(OFFSET($R$3,0,0,'Données projet'!$E$9+1,1))-AVERAGE(OFFSET($H$3,0,0,'Données projet'!$E$9+1,1))</f>
        <v>287.69656598881124</v>
      </c>
      <c r="T75" s="62">
        <f t="shared" si="88"/>
        <v>221.9773436301067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5.7569603723654783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4.8869263981901303E-5</v>
      </c>
      <c r="AC75" s="24">
        <f t="shared" si="57"/>
        <v>5.7570092416294605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12.875</v>
      </c>
      <c r="N76" s="14">
        <f>IF('Données projet'!$A$36&gt;35,N75+M76-V75,IF(A76&lt;'Données projet'!$A$36,$K$205^A76,IF(A76='Données projet'!$A$36,'Données projet'!$B$36,N75+M76-V75)))</f>
        <v>508.12500000000006</v>
      </c>
      <c r="O76" s="14">
        <f>N76*VLOOKUP('Données projet'!$B$9,Paramètres!$A$1:$I$89,3,0)*VLOOKUP('Données projet'!$B$9,Paramètres!$A$1:$I$89,5,0)</f>
        <v>303.85875000000004</v>
      </c>
      <c r="P76" s="14">
        <f t="shared" si="87"/>
        <v>71.984802998830631</v>
      </c>
      <c r="Q76" s="22">
        <f t="shared" si="54"/>
        <v>654.59418813963009</v>
      </c>
      <c r="R76" s="62">
        <f t="shared" si="55"/>
        <v>947.92752147296346</v>
      </c>
      <c r="S76" s="62">
        <f ca="1">AVERAGE(OFFSET($R$3,0,0,'Données projet'!$E$9+1,1))-AVERAGE(OFFSET($H$3,0,0,'Données projet'!$E$9+1,1))</f>
        <v>287.69656598881124</v>
      </c>
      <c r="T76" s="62">
        <f t="shared" si="88"/>
        <v>221.9773436301067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5.6440698908624967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3.4555787953197912E-5</v>
      </c>
      <c r="AC76" s="24">
        <f t="shared" si="57"/>
        <v>5.6441044466504495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521</v>
      </c>
      <c r="L77" s="13">
        <f>VLOOKUP(A77,'Données projet'!$A$35:$I$55,9,0)</f>
        <v>12.875</v>
      </c>
      <c r="M77" s="13">
        <f t="array" ref="M77">INDEX(L:L,MIN(IF(ISNUMBER(L77:L273),ROW(L77:L273),"")))</f>
        <v>12.875</v>
      </c>
      <c r="N77" s="14">
        <f>IF('Données projet'!$A$36&gt;35,N76+M77-V76,IF(A77&lt;'Données projet'!$A$36,$K$205^A77,IF(A77='Données projet'!$A$36,'Données projet'!$B$36,N76+M77-V76)))</f>
        <v>521</v>
      </c>
      <c r="O77" s="14">
        <f>N77*VLOOKUP('Données projet'!$B$9,Paramètres!$A$1:$I$89,3,0)*VLOOKUP('Données projet'!$B$9,Paramètres!$A$1:$I$89,5,0)</f>
        <v>311.55799999999999</v>
      </c>
      <c r="P77" s="14">
        <f t="shared" si="87"/>
        <v>73.594107587354372</v>
      </c>
      <c r="Q77" s="22">
        <f t="shared" si="54"/>
        <v>670.80658738130876</v>
      </c>
      <c r="R77" s="62">
        <f t="shared" si="55"/>
        <v>964.13992071464213</v>
      </c>
      <c r="S77" s="62">
        <f ca="1">AVERAGE(OFFSET($R$3,0,0,'Données projet'!$E$9+1,1))-AVERAGE(OFFSET($H$3,0,0,'Données projet'!$E$9+1,1))</f>
        <v>287.69656598881124</v>
      </c>
      <c r="T77" s="62">
        <f t="shared" si="88"/>
        <v>221.9773436301067</v>
      </c>
      <c r="U77" s="16">
        <f>IF(ISNA(VLOOKUP(A77,'Données projet'!$A$35:$I$55,3,0)),0,VLOOKUP(A77,'Données projet'!$A$35:$I$55,3,0))</f>
        <v>10</v>
      </c>
      <c r="V77" s="16">
        <f>IF(ISNA(VLOOKUP(A77,'Données projet'!$A$35:$I$55,4,0)),0,VLOOKUP(A77,'Données projet'!$A$35:$I$55,4,0))</f>
        <v>37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5.5333931228453936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2.4434631990950651E-5</v>
      </c>
      <c r="AC77" s="24">
        <f t="shared" si="57"/>
        <v>5.5334175574773843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8.875</v>
      </c>
      <c r="N78" s="14">
        <f>IF('Données projet'!$A$36&gt;35,N77+M78-V77,IF(A78&lt;'Données projet'!$A$36,$K$205^A78,IF(A78='Données projet'!$A$36,'Données projet'!$B$36,N77+M78-V77)))</f>
        <v>492.875</v>
      </c>
      <c r="O78" s="14">
        <f>N78*VLOOKUP('Données projet'!$B$9,Paramètres!$A$1:$I$89,3,0)*VLOOKUP('Données projet'!$B$9,Paramètres!$A$1:$I$89,5,0)</f>
        <v>294.73925000000003</v>
      </c>
      <c r="P78" s="14">
        <f t="shared" si="87"/>
        <v>70.072475236035828</v>
      </c>
      <c r="Q78" s="22">
        <f t="shared" si="54"/>
        <v>635.38042145276233</v>
      </c>
      <c r="R78" s="62">
        <f t="shared" si="55"/>
        <v>928.71375478609571</v>
      </c>
      <c r="S78" s="62">
        <f ca="1">AVERAGE(OFFSET($R$3,0,0,'Données projet'!$E$9+1,1))-AVERAGE(OFFSET($H$3,0,0,'Données projet'!$E$9+1,1))</f>
        <v>287.69656598881124</v>
      </c>
      <c r="T78" s="62">
        <f t="shared" si="88"/>
        <v>221.9773436301067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5.4248866587429436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1.7277893976598956E-5</v>
      </c>
      <c r="AC78" s="24">
        <f t="shared" si="57"/>
        <v>5.4249039366369205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8.875</v>
      </c>
      <c r="N79" s="14">
        <f>IF('Données projet'!$A$36&gt;35,N78+M79-V78,IF(A79&lt;'Données projet'!$A$36,$K$205^A79,IF(A79='Données projet'!$A$36,'Données projet'!$B$36,N78+M79-V78)))</f>
        <v>501.75</v>
      </c>
      <c r="O79" s="14">
        <f>N79*VLOOKUP('Données projet'!$B$9,Paramètres!$A$1:$I$89,3,0)*VLOOKUP('Données projet'!$B$9,Paramètres!$A$1:$I$89,5,0)</f>
        <v>300.04650000000004</v>
      </c>
      <c r="P79" s="14">
        <f t="shared" si="87"/>
        <v>71.186211573839699</v>
      </c>
      <c r="Q79" s="22">
        <f t="shared" si="54"/>
        <v>646.56363932443753</v>
      </c>
      <c r="R79" s="62">
        <f t="shared" si="55"/>
        <v>939.8969726577709</v>
      </c>
      <c r="S79" s="62">
        <f ca="1">AVERAGE(OFFSET($R$3,0,0,'Données projet'!$E$9+1,1))-AVERAGE(OFFSET($H$3,0,0,'Données projet'!$E$9+1,1))</f>
        <v>287.69656598881124</v>
      </c>
      <c r="T79" s="62">
        <f t="shared" si="88"/>
        <v>221.9773436301067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5.318507940219134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1.2217315995475326E-5</v>
      </c>
      <c r="AC79" s="24">
        <f t="shared" si="57"/>
        <v>5.3185201575351293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8.875</v>
      </c>
      <c r="N80" s="14">
        <f>IF('Données projet'!$A$36&gt;35,N79+M80-V79,IF(A80&lt;'Données projet'!$A$36,$K$205^A80,IF(A80='Données projet'!$A$36,'Données projet'!$B$36,N79+M80-V79)))</f>
        <v>510.625</v>
      </c>
      <c r="O80" s="14">
        <f>N80*VLOOKUP('Données projet'!$B$9,Paramètres!$A$1:$I$89,3,0)*VLOOKUP('Données projet'!$B$9,Paramètres!$A$1:$I$89,5,0)</f>
        <v>305.35375000000005</v>
      </c>
      <c r="P80" s="14">
        <f t="shared" si="87"/>
        <v>72.297657079406008</v>
      </c>
      <c r="Q80" s="22">
        <f t="shared" si="54"/>
        <v>657.74286732996552</v>
      </c>
      <c r="R80" s="62">
        <f t="shared" si="55"/>
        <v>951.07620066329878</v>
      </c>
      <c r="S80" s="62">
        <f ca="1">AVERAGE(OFFSET($R$3,0,0,'Données projet'!$E$9+1,1))-AVERAGE(OFFSET($H$3,0,0,'Données projet'!$E$9+1,1))</f>
        <v>287.69656598881124</v>
      </c>
      <c r="T80" s="62">
        <f t="shared" si="88"/>
        <v>221.9773436301067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5.2142152434809645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8.638946988299478E-6</v>
      </c>
      <c r="AC80" s="24">
        <f t="shared" si="57"/>
        <v>5.2142238824279525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8.875</v>
      </c>
      <c r="N81" s="14">
        <f>IF('Données projet'!$A$36&gt;35,N80+M81-V80,IF(A81&lt;'Données projet'!$A$36,$K$205^A81,IF(A81='Données projet'!$A$36,'Données projet'!$B$36,N80+M81-V80)))</f>
        <v>519.5</v>
      </c>
      <c r="O81" s="14">
        <f>N81*VLOOKUP('Données projet'!$B$9,Paramètres!$A$1:$I$89,3,0)*VLOOKUP('Données projet'!$B$9,Paramètres!$A$1:$I$89,5,0)</f>
        <v>310.661</v>
      </c>
      <c r="P81" s="14">
        <f t="shared" si="87"/>
        <v>73.406856163089444</v>
      </c>
      <c r="Q81" s="22">
        <f t="shared" si="54"/>
        <v>668.91818281738085</v>
      </c>
      <c r="R81" s="62">
        <f t="shared" si="55"/>
        <v>962.25151615071422</v>
      </c>
      <c r="S81" s="62">
        <f ca="1">AVERAGE(OFFSET($R$3,0,0,'Données projet'!$E$9+1,1))-AVERAGE(OFFSET($H$3,0,0,'Données projet'!$E$9+1,1))</f>
        <v>287.69656598881124</v>
      </c>
      <c r="T81" s="62">
        <f t="shared" si="88"/>
        <v>221.9773436301067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5.1119676629135675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6.1086579977376628E-6</v>
      </c>
      <c r="AC81" s="24">
        <f t="shared" si="57"/>
        <v>5.1119737715715656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8.875</v>
      </c>
      <c r="N82" s="14">
        <f>IF('Données projet'!$A$36&gt;35,N81+M82-V81,IF(A82&lt;'Données projet'!$A$36,$K$205^A82,IF(A82='Données projet'!$A$36,'Données projet'!$B$36,N81+M82-V81)))</f>
        <v>528.375</v>
      </c>
      <c r="O82" s="14">
        <f>N82*VLOOKUP('Données projet'!$B$9,Paramètres!$A$1:$I$89,3,0)*VLOOKUP('Données projet'!$B$9,Paramètres!$A$1:$I$89,5,0)</f>
        <v>315.96825000000001</v>
      </c>
      <c r="P82" s="14">
        <f t="shared" si="87"/>
        <v>74.513851630905478</v>
      </c>
      <c r="Q82" s="22">
        <f t="shared" si="54"/>
        <v>680.08966034049365</v>
      </c>
      <c r="R82" s="62">
        <f t="shared" si="55"/>
        <v>973.42299367382702</v>
      </c>
      <c r="S82" s="62">
        <f ca="1">AVERAGE(OFFSET($R$3,0,0,'Données projet'!$E$9+1,1))-AVERAGE(OFFSET($H$3,0,0,'Données projet'!$E$9+1,1))</f>
        <v>287.69656598881124</v>
      </c>
      <c r="T82" s="62">
        <f t="shared" si="88"/>
        <v>221.9773436301067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5.0117250950362306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4.319473494149739E-6</v>
      </c>
      <c r="AC82" s="24">
        <f t="shared" si="57"/>
        <v>5.0117294145097251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8.875</v>
      </c>
      <c r="N83" s="14">
        <f>IF('Données projet'!$A$36&gt;35,N82+M83-V82,IF(A83&lt;'Données projet'!$A$36,$K$205^A83,IF(A83='Données projet'!$A$36,'Données projet'!$B$36,N82+M83-V82)))</f>
        <v>537.25</v>
      </c>
      <c r="O83" s="14">
        <f>N83*VLOOKUP('Données projet'!$B$9,Paramètres!$A$1:$I$89,3,0)*VLOOKUP('Données projet'!$B$9,Paramètres!$A$1:$I$89,5,0)</f>
        <v>321.27550000000002</v>
      </c>
      <c r="P83" s="14">
        <f t="shared" si="87"/>
        <v>75.618684768443416</v>
      </c>
      <c r="Q83" s="22">
        <f t="shared" si="54"/>
        <v>691.25737180503893</v>
      </c>
      <c r="R83" s="62">
        <f t="shared" si="55"/>
        <v>984.59070513837219</v>
      </c>
      <c r="S83" s="62">
        <f ca="1">AVERAGE(OFFSET($R$3,0,0,'Données projet'!$E$9+1,1))-AVERAGE(OFFSET($H$3,0,0,'Données projet'!$E$9+1,1))</f>
        <v>287.69656598881124</v>
      </c>
      <c r="T83" s="62">
        <f t="shared" si="88"/>
        <v>221.9773436301067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4.9134482227730389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3.0543289988688314E-6</v>
      </c>
      <c r="AC83" s="24">
        <f t="shared" si="57"/>
        <v>4.9134512771020376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8.875</v>
      </c>
      <c r="N84" s="14">
        <f>IF('Données projet'!$A$36&gt;35,N83+M84-V83,IF(A84&lt;'Données projet'!$A$36,$K$205^A84,IF(A84='Données projet'!$A$36,'Données projet'!$B$36,N83+M84-V83)))</f>
        <v>546.125</v>
      </c>
      <c r="O84" s="14">
        <f>N84*VLOOKUP('Données projet'!$B$9,Paramètres!$A$1:$I$89,3,0)*VLOOKUP('Données projet'!$B$9,Paramètres!$A$1:$I$89,5,0)</f>
        <v>326.58275000000003</v>
      </c>
      <c r="P84" s="14">
        <f t="shared" si="87"/>
        <v>76.72139541907876</v>
      </c>
      <c r="Q84" s="22">
        <f t="shared" si="54"/>
        <v>702.42138660489547</v>
      </c>
      <c r="R84" s="62">
        <f t="shared" si="55"/>
        <v>995.75471993822885</v>
      </c>
      <c r="S84" s="62">
        <f ca="1">AVERAGE(OFFSET($R$3,0,0,'Données projet'!$E$9+1,1))-AVERAGE(OFFSET($H$3,0,0,'Données projet'!$E$9+1,1))</f>
        <v>287.69656598881124</v>
      </c>
      <c r="T84" s="62">
        <f t="shared" si="88"/>
        <v>221.9773436301067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4.8170985000319559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2.1597367470748695E-6</v>
      </c>
      <c r="AC84" s="24">
        <f t="shared" si="57"/>
        <v>4.8171006597687027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555</v>
      </c>
      <c r="L85" s="13">
        <f>VLOOKUP(A85,'Données projet'!$A$35:$I$55,9,0)</f>
        <v>8.875</v>
      </c>
      <c r="M85" s="13">
        <f t="array" ref="M85">INDEX(L:L,MIN(IF(ISNUMBER(L85:L281),ROW(L85:L281),"")))</f>
        <v>8.875</v>
      </c>
      <c r="N85" s="14">
        <f>IF('Données projet'!$A$36&gt;35,N84+M85-V84,IF(A85&lt;'Données projet'!$A$36,$K$205^A85,IF(A85='Données projet'!$A$36,'Données projet'!$B$36,N84+M85-V84)))</f>
        <v>555</v>
      </c>
      <c r="O85" s="14">
        <f>N85*VLOOKUP('Données projet'!$B$9,Paramètres!$A$1:$I$89,3,0)*VLOOKUP('Données projet'!$B$9,Paramètres!$A$1:$I$89,5,0)</f>
        <v>331.89000000000004</v>
      </c>
      <c r="P85" s="14">
        <f t="shared" si="87"/>
        <v>77.822022056956186</v>
      </c>
      <c r="Q85" s="22">
        <f t="shared" si="54"/>
        <v>713.58177174919865</v>
      </c>
      <c r="R85" s="62">
        <f t="shared" si="55"/>
        <v>1006.9151050825319</v>
      </c>
      <c r="S85" s="62">
        <f ca="1">AVERAGE(OFFSET($R$3,0,0,'Données projet'!$E$9+1,1))-AVERAGE(OFFSET($H$3,0,0,'Données projet'!$E$9+1,1))</f>
        <v>287.69656598881124</v>
      </c>
      <c r="T85" s="62">
        <f t="shared" si="88"/>
        <v>221.9773436301067</v>
      </c>
      <c r="U85" s="16">
        <f>IF(ISNA(VLOOKUP(A85,'Données projet'!$A$35:$I$55,3,0)),0,VLOOKUP(A85,'Données projet'!$A$35:$I$55,3,0))</f>
        <v>11</v>
      </c>
      <c r="V85" s="16">
        <f>IF(ISNA(VLOOKUP(A85,'Données projet'!$A$35:$I$55,4,0)),0,VLOOKUP(A85,'Données projet'!$A$35:$I$55,4,0))</f>
        <v>555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4.7226381365862968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1.5271644994344157E-6</v>
      </c>
      <c r="AC85" s="24">
        <f t="shared" si="57"/>
        <v>4.7226396637507966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287.69656598881124</v>
      </c>
      <c r="T86" s="62">
        <f t="shared" si="88"/>
        <v>221.9773436301067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4.6300300832526746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1.0798683735374348E-6</v>
      </c>
      <c r="AC86" s="24">
        <f t="shared" si="57"/>
        <v>4.630031163121048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287.69656598881124</v>
      </c>
      <c r="T87" s="62">
        <f t="shared" si="88"/>
        <v>221.9773436301067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4.5392380173595894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7.6358224971720785E-7</v>
      </c>
      <c r="AC87" s="24">
        <f t="shared" si="57"/>
        <v>4.5392387809418393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287.69656598881124</v>
      </c>
      <c r="T88" s="62">
        <f t="shared" si="88"/>
        <v>221.9773436301067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4.4502263285009755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5.3993418676871738E-7</v>
      </c>
      <c r="AC88" s="24">
        <f t="shared" si="57"/>
        <v>4.4502268684351627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287.69656598881124</v>
      </c>
      <c r="T89" s="62">
        <f t="shared" si="88"/>
        <v>221.9773436301067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4.36296010456911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3.8179112485860393E-7</v>
      </c>
      <c r="AC89" s="24">
        <f t="shared" si="57"/>
        <v>4.3629604863602349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287.69656598881124</v>
      </c>
      <c r="T90" s="62">
        <f t="shared" si="88"/>
        <v>221.9773436301067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4.2774051180614077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2.6996709338435869E-7</v>
      </c>
      <c r="AC90" s="24">
        <f t="shared" si="57"/>
        <v>4.2774053880285008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287.69656598881124</v>
      </c>
      <c r="T91" s="62">
        <f t="shared" si="88"/>
        <v>221.9773436301067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4.1935278126557325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1.9089556242930196E-7</v>
      </c>
      <c r="AC91" s="24">
        <f t="shared" si="57"/>
        <v>4.193528003551295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287.69656598881124</v>
      </c>
      <c r="T92" s="62">
        <f t="shared" si="88"/>
        <v>221.9773436301067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4.1112952900489574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1.3498354669217934E-7</v>
      </c>
      <c r="AC92" s="24">
        <f t="shared" si="57"/>
        <v>4.1112954250325044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287.69656598881124</v>
      </c>
      <c r="T93" s="62">
        <f t="shared" si="88"/>
        <v>221.9773436301067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4.030675297053615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9.5447781214650982E-8</v>
      </c>
      <c r="AC93" s="24">
        <f t="shared" si="57"/>
        <v>4.0306753925013963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287.69656598881124</v>
      </c>
      <c r="T94" s="62">
        <f t="shared" si="88"/>
        <v>221.9773436301067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3.9516362129475713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6.7491773346089672E-8</v>
      </c>
      <c r="AC94" s="24">
        <f t="shared" si="57"/>
        <v>3.9516362804393448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287.69656598881124</v>
      </c>
      <c r="T95" s="62">
        <f t="shared" si="88"/>
        <v>221.9773436301067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3.8741470370717659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4.7723890607325491E-8</v>
      </c>
      <c r="AC95" s="24">
        <f t="shared" si="57"/>
        <v>3.8741470847956565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287.69656598881124</v>
      </c>
      <c r="T96" s="62">
        <f t="shared" si="88"/>
        <v>221.9773436301067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3.7981773766711546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3.3745886673044836E-8</v>
      </c>
      <c r="AC96" s="24">
        <f t="shared" si="57"/>
        <v>3.7981774104170412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287.69656598881124</v>
      </c>
      <c r="T97" s="62">
        <f t="shared" si="88"/>
        <v>221.9773436301067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3.7236974349740821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2.3861945303662745E-8</v>
      </c>
      <c r="AC97" s="24">
        <f t="shared" si="57"/>
        <v>3.7236974588360274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287.69656598881124</v>
      </c>
      <c r="T98" s="62">
        <f t="shared" si="88"/>
        <v>221.9773436301067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3.6506779995054104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1.6872943336522418E-8</v>
      </c>
      <c r="AC98" s="24">
        <f t="shared" si="57"/>
        <v>3.6506780163783539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287.69656598881124</v>
      </c>
      <c r="T99" s="62">
        <f t="shared" si="88"/>
        <v>221.9773436301067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3.5790904306288214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1.1930972651831373E-8</v>
      </c>
      <c r="AC99" s="24">
        <f t="shared" si="57"/>
        <v>3.579090442559794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287.69656598881124</v>
      </c>
      <c r="T100" s="62">
        <f t="shared" si="88"/>
        <v>221.9773436301067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3.5089066503137967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8.436471668261209E-9</v>
      </c>
      <c r="AC100" s="24">
        <f t="shared" si="57"/>
        <v>3.5089066587502682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287.69656598881124</v>
      </c>
      <c r="T101" s="62">
        <f t="shared" si="88"/>
        <v>221.9773436301067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3.4400991311228704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5.9654863259156864E-9</v>
      </c>
      <c r="AC101" s="24">
        <f t="shared" si="57"/>
        <v>3.4400991370883567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287.69656598881124</v>
      </c>
      <c r="T102" s="62">
        <f t="shared" si="88"/>
        <v>221.9773436301067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3.3726408854148358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4.2182358341306045E-9</v>
      </c>
      <c r="AC102" s="24">
        <f t="shared" si="57"/>
        <v>3.3726408896330717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287.69656598881124</v>
      </c>
      <c r="T103" s="62">
        <f t="shared" si="88"/>
        <v>221.9773436301067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3.3065054547596686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2.9827431629578432E-9</v>
      </c>
      <c r="AC103" s="24">
        <f t="shared" si="57"/>
        <v>3.3065054577424116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287.69656598881124</v>
      </c>
      <c r="T104" s="62">
        <f t="shared" si="88"/>
        <v>221.9773436301067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3.2416668995610194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2.1091179170653022E-9</v>
      </c>
      <c r="AC104" s="24">
        <f t="shared" si="57"/>
        <v>3.2416669016701372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287.69656598881124</v>
      </c>
      <c r="T105" s="62">
        <f t="shared" si="88"/>
        <v>221.9773436301067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3.1780997888822022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1.4913715814789216E-9</v>
      </c>
      <c r="AC105" s="24">
        <f t="shared" si="57"/>
        <v>3.1780997903735737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287.69656598881124</v>
      </c>
      <c r="T106" s="62">
        <f t="shared" si="88"/>
        <v>221.9773436301067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3.1157791904716876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1.0545589585326511E-9</v>
      </c>
      <c r="AC106" s="24">
        <f t="shared" si="57"/>
        <v>3.1157791915262467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287.69656598881124</v>
      </c>
      <c r="T107" s="62">
        <f t="shared" si="88"/>
        <v>221.9773436301067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3.0546806609841912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7.456857907394608E-10</v>
      </c>
      <c r="AC107" s="24">
        <f t="shared" si="57"/>
        <v>3.054680661729877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287.69656598881124</v>
      </c>
      <c r="T108" s="62">
        <f t="shared" si="88"/>
        <v>221.9773436301067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2.9947802363935216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5.2727947926632556E-10</v>
      </c>
      <c r="AC108" s="24">
        <f t="shared" si="57"/>
        <v>2.9947802369208012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287.69656598881124</v>
      </c>
      <c r="T109" s="62">
        <f t="shared" si="88"/>
        <v>221.9773436301067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2.9360544225934238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3.728428953697304E-10</v>
      </c>
      <c r="AC109" s="24">
        <f t="shared" si="57"/>
        <v>2.9360544229662668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287.69656598881124</v>
      </c>
      <c r="T110" s="62">
        <f t="shared" si="88"/>
        <v>221.9773436301067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2.878480186182736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2.6363973963316278E-10</v>
      </c>
      <c r="AC110" s="24">
        <f t="shared" si="57"/>
        <v>2.8784801864463758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287.69656598881124</v>
      </c>
      <c r="T111" s="62">
        <f t="shared" si="88"/>
        <v>221.9773436301067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2.8220349454312452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1.864214476848652E-10</v>
      </c>
      <c r="AC111" s="24">
        <f t="shared" si="57"/>
        <v>2.8220349456176668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287.69656598881124</v>
      </c>
      <c r="T112" s="62">
        <f t="shared" si="88"/>
        <v>221.9773436301067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2.7666965614226937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1.3181986981658139E-10</v>
      </c>
      <c r="AC112" s="24">
        <f t="shared" si="57"/>
        <v>2.7666965615545136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287.69656598881124</v>
      </c>
      <c r="T113" s="62">
        <f t="shared" si="88"/>
        <v>221.9773436301067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2.7124433293714687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9.3210723842432599E-11</v>
      </c>
      <c r="AC113" s="24">
        <f t="shared" si="57"/>
        <v>2.7124433294646795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287.69656598881124</v>
      </c>
      <c r="T114" s="62">
        <f t="shared" si="88"/>
        <v>221.9773436301067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2.6592539701095639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6.5909934908290695E-11</v>
      </c>
      <c r="AC114" s="24">
        <f t="shared" si="57"/>
        <v>2.6592539701754738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287.69656598881124</v>
      </c>
      <c r="T115" s="62">
        <f t="shared" si="88"/>
        <v>221.9773436301067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2.6071076217404796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4.66053619212163E-11</v>
      </c>
      <c r="AC115" s="24">
        <f t="shared" si="57"/>
        <v>2.607107621787085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287.69656598881124</v>
      </c>
      <c r="T116" s="62">
        <f t="shared" si="88"/>
        <v>221.9773436301067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2.5559838314567811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3.2954967454145348E-11</v>
      </c>
      <c r="AC116" s="24">
        <f t="shared" si="57"/>
        <v>2.5559838314897361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287.69656598881124</v>
      </c>
      <c r="T117" s="62">
        <f t="shared" si="88"/>
        <v>221.9773436301067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2.5058625475181127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2.330268096060815E-11</v>
      </c>
      <c r="AC117" s="24">
        <f t="shared" si="57"/>
        <v>2.5058625475414154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287.69656598881124</v>
      </c>
      <c r="T118" s="62">
        <f t="shared" si="88"/>
        <v>221.9773436301067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2.4567241113865168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1.6477483727072674E-11</v>
      </c>
      <c r="AC118" s="24">
        <f t="shared" si="57"/>
        <v>2.4567241114029943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287.69656598881124</v>
      </c>
      <c r="T119" s="62">
        <f t="shared" si="88"/>
        <v>221.9773436301067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2.4085492500159753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1.1651340480304075E-11</v>
      </c>
      <c r="AC119" s="24">
        <f t="shared" si="57"/>
        <v>2.4085492500276264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287.69656598881124</v>
      </c>
      <c r="T120" s="62">
        <f t="shared" si="88"/>
        <v>221.9773436301067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2.3613190682931458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8.2387418635363369E-12</v>
      </c>
      <c r="AC120" s="24">
        <f t="shared" si="57"/>
        <v>2.3613190683013845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287.69656598881124</v>
      </c>
      <c r="T121" s="62">
        <f t="shared" si="88"/>
        <v>221.9773436301067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2.3150150416263346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5.8256702401520375E-12</v>
      </c>
      <c r="AC121" s="24">
        <f t="shared" si="57"/>
        <v>2.3150150416321602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287.69656598881124</v>
      </c>
      <c r="T122" s="62">
        <f t="shared" si="88"/>
        <v>221.9773436301067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2.269619008679792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4.1193709317681685E-12</v>
      </c>
      <c r="AC122" s="24">
        <f t="shared" si="57"/>
        <v>2.2696190086839114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287.69656598881124</v>
      </c>
      <c r="T123" s="62">
        <f t="shared" si="88"/>
        <v>221.9773436301067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2.2251131642504851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2.9128351200760187E-12</v>
      </c>
      <c r="AC123" s="24">
        <f t="shared" si="57"/>
        <v>2.2251131642533979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287.69656598881124</v>
      </c>
      <c r="T124" s="62">
        <f t="shared" si="88"/>
        <v>221.9773436301067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2.1814800522845523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2.0596854658840842E-12</v>
      </c>
      <c r="AC124" s="24">
        <f t="shared" si="57"/>
        <v>2.181480052286612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287.69656598881124</v>
      </c>
      <c r="T125" s="62">
        <f t="shared" si="88"/>
        <v>221.9773436301067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2.1387025590307012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1.4564175600380094E-12</v>
      </c>
      <c r="AC125" s="24">
        <f t="shared" si="57"/>
        <v>2.1387025590321578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287.69656598881124</v>
      </c>
      <c r="T126" s="62">
        <f t="shared" si="88"/>
        <v>221.9773436301067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2.0967639063278636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1.0298427329420421E-12</v>
      </c>
      <c r="AC126" s="24">
        <f t="shared" si="57"/>
        <v>2.0967639063288934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287.69656598881124</v>
      </c>
      <c r="T127" s="62">
        <f t="shared" si="88"/>
        <v>221.9773436301067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2.0556476450244761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7.2820878001900468E-13</v>
      </c>
      <c r="AC127" s="24">
        <f t="shared" si="57"/>
        <v>2.0556476450252044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287.69656598881124</v>
      </c>
      <c r="T128" s="62">
        <f t="shared" si="88"/>
        <v>221.9773436301067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2.0153376485268049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5.1492136647102106E-13</v>
      </c>
      <c r="AC128" s="24">
        <f t="shared" si="57"/>
        <v>2.0153376485273196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287.69656598881124</v>
      </c>
      <c r="T129" s="62">
        <f t="shared" si="88"/>
        <v>221.9773436301067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1.975818106473783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3.6410439000950234E-13</v>
      </c>
      <c r="AC129" s="24">
        <f t="shared" si="57"/>
        <v>1.9758181064741471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287.69656598881124</v>
      </c>
      <c r="T130" s="62">
        <f t="shared" si="88"/>
        <v>221.9773436301067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1.9370735185358803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2.5746068323551053E-13</v>
      </c>
      <c r="AC130" s="24">
        <f t="shared" si="57"/>
        <v>1.9370735185361379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287.69656598881124</v>
      </c>
      <c r="T131" s="62">
        <f t="shared" si="88"/>
        <v>221.9773436301067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1.8990886883355746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1.8205219500475117E-13</v>
      </c>
      <c r="AC131" s="24">
        <f t="shared" si="57"/>
        <v>1.8990886883357567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287.69656598881124</v>
      </c>
      <c r="T132" s="62">
        <f t="shared" si="88"/>
        <v>221.9773436301067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1.8618487174870384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1.2873034161775526E-13</v>
      </c>
      <c r="AC132" s="24">
        <f t="shared" ref="AC132:AC153" si="111">SUM(Z132:AB132)</f>
        <v>1.8618487174871672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287.69656598881124</v>
      </c>
      <c r="T133" s="62">
        <f t="shared" ref="T133:T196" si="142">$T$3</f>
        <v>221.9773436301067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1.8253389997527025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9.1026097502375585E-14</v>
      </c>
      <c r="AC133" s="24">
        <f t="shared" si="111"/>
        <v>1.8253389997527936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287.69656598881124</v>
      </c>
      <c r="T134" s="62">
        <f t="shared" si="142"/>
        <v>221.9773436301067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1.789545215314408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6.4365170808877632E-14</v>
      </c>
      <c r="AC134" s="24">
        <f t="shared" si="111"/>
        <v>1.7895452153144724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287.69656598881124</v>
      </c>
      <c r="T135" s="62">
        <f t="shared" si="142"/>
        <v>221.9773436301067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1.7544533251568957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4.5513048751187793E-14</v>
      </c>
      <c r="AC135" s="24">
        <f t="shared" si="111"/>
        <v>1.7544533251569412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287.69656598881124</v>
      </c>
      <c r="T136" s="62">
        <f t="shared" si="142"/>
        <v>221.9773436301067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1.7200495655614325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3.2182585404438816E-14</v>
      </c>
      <c r="AC136" s="24">
        <f t="shared" si="111"/>
        <v>1.7200495655614647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287.69656598881124</v>
      </c>
      <c r="T137" s="62">
        <f t="shared" si="142"/>
        <v>221.9773436301067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1.6863204427074152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2.2756524375593896E-14</v>
      </c>
      <c r="AC137" s="24">
        <f t="shared" si="111"/>
        <v>1.6863204427074379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287.69656598881124</v>
      </c>
      <c r="T138" s="62">
        <f t="shared" si="142"/>
        <v>221.9773436301067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1.6532527273798316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1.6091292702219408E-14</v>
      </c>
      <c r="AC138" s="24">
        <f t="shared" si="111"/>
        <v>1.6532527273798476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287.69656598881124</v>
      </c>
      <c r="T139" s="62">
        <f t="shared" si="142"/>
        <v>221.9773436301067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1.620833449780507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1.1378262187796948E-14</v>
      </c>
      <c r="AC139" s="24">
        <f t="shared" si="111"/>
        <v>1.6208334497805184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287.69656598881124</v>
      </c>
      <c r="T140" s="62">
        <f t="shared" si="142"/>
        <v>221.9773436301067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1.5890498944410985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8.045646351109704E-15</v>
      </c>
      <c r="AC140" s="24">
        <f t="shared" si="111"/>
        <v>1.5890498944411064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287.69656598881124</v>
      </c>
      <c r="T141" s="62">
        <f t="shared" si="142"/>
        <v>221.9773436301067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1.5578895952358411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5.6891310938984741E-15</v>
      </c>
      <c r="AC141" s="24">
        <f t="shared" si="111"/>
        <v>1.5578895952358469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287.69656598881124</v>
      </c>
      <c r="T142" s="62">
        <f t="shared" si="142"/>
        <v>221.9773436301067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1.5273403304920932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4.022823175554852E-15</v>
      </c>
      <c r="AC142" s="24">
        <f t="shared" si="111"/>
        <v>1.5273403304920972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287.69656598881124</v>
      </c>
      <c r="T143" s="62">
        <f t="shared" si="142"/>
        <v>221.9773436301067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1.4973901181967584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2.844565546949237E-15</v>
      </c>
      <c r="AC143" s="24">
        <f t="shared" si="111"/>
        <v>1.4973901181967613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287.69656598881124</v>
      </c>
      <c r="T144" s="62">
        <f t="shared" si="142"/>
        <v>221.9773436301067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1.4680272112967094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2.011411587777426E-15</v>
      </c>
      <c r="AC144" s="24">
        <f t="shared" si="111"/>
        <v>1.4680272112967114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287.69656598881124</v>
      </c>
      <c r="T145" s="62">
        <f t="shared" si="142"/>
        <v>221.9773436301067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1.4392400930913656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1.4222827734746185E-15</v>
      </c>
      <c r="AC145" s="24">
        <f t="shared" si="111"/>
        <v>1.4392400930913669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287.69656598881124</v>
      </c>
      <c r="T146" s="62">
        <f t="shared" si="142"/>
        <v>221.9773436301067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1.4110174727156202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1.005705793888713E-15</v>
      </c>
      <c r="AC146" s="24">
        <f t="shared" si="111"/>
        <v>1.4110174727156213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287.69656598881124</v>
      </c>
      <c r="T147" s="62">
        <f t="shared" si="142"/>
        <v>221.9773436301067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1.3833482807113444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7.1114138673730926E-16</v>
      </c>
      <c r="AC147" s="24">
        <f t="shared" si="111"/>
        <v>1.3833482807113451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287.69656598881124</v>
      </c>
      <c r="T148" s="62">
        <f t="shared" si="142"/>
        <v>221.9773436301067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1.3562216646857319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5.028528969443565E-16</v>
      </c>
      <c r="AC148" s="24">
        <f t="shared" si="111"/>
        <v>1.3562216646857324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287.69656598881124</v>
      </c>
      <c r="T149" s="62">
        <f t="shared" si="142"/>
        <v>221.9773436301067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1.3296269850547797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3.5557069336865463E-16</v>
      </c>
      <c r="AC149" s="24">
        <f t="shared" si="111"/>
        <v>1.3296269850547802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287.69656598881124</v>
      </c>
      <c r="T150" s="62">
        <f t="shared" si="142"/>
        <v>221.9773436301067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1.3035538108702376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2.5142644847217825E-16</v>
      </c>
      <c r="AC150" s="24">
        <f t="shared" si="111"/>
        <v>1.3035538108702378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287.69656598881124</v>
      </c>
      <c r="T151" s="62">
        <f t="shared" si="142"/>
        <v>221.9773436301067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1.2779919157283883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1.7778534668432732E-16</v>
      </c>
      <c r="AC151" s="24">
        <f t="shared" si="111"/>
        <v>1.2779919157283886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287.69656598881124</v>
      </c>
      <c r="T152" s="62">
        <f t="shared" si="142"/>
        <v>221.9773436301067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1.2529312737590541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1.2571322423608913E-16</v>
      </c>
      <c r="AC152" s="24">
        <f t="shared" si="111"/>
        <v>1.2529312737590543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287.69656598881124</v>
      </c>
      <c r="T153" s="62">
        <f t="shared" si="142"/>
        <v>221.9773436301067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1.2283620556932564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8.8892673342163658E-17</v>
      </c>
      <c r="AC153" s="24">
        <f t="shared" si="111"/>
        <v>1.2283620556932564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287.69656598881124</v>
      </c>
      <c r="T154" s="62">
        <f t="shared" si="142"/>
        <v>221.9773436301067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1.2042746250079857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6.2856612118044563E-17</v>
      </c>
      <c r="AC154" s="24">
        <f t="shared" ref="AC154:AC203" si="163">SUM(Z154:AB154)</f>
        <v>1.2042746250079857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287.69656598881124</v>
      </c>
      <c r="T155" s="62">
        <f t="shared" si="142"/>
        <v>221.9773436301067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1.1806595341465711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4.4446336671081829E-17</v>
      </c>
      <c r="AC155" s="24">
        <f t="shared" si="163"/>
        <v>1.1806595341465711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287.69656598881124</v>
      </c>
      <c r="T156" s="62">
        <f t="shared" si="142"/>
        <v>221.9773436301067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1.1575075208131655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3.1428306059022281E-17</v>
      </c>
      <c r="AC156" s="24">
        <f t="shared" si="163"/>
        <v>1.1575075208131655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287.69656598881124</v>
      </c>
      <c r="T157" s="62">
        <f t="shared" si="142"/>
        <v>221.9773436301067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1.1348095043398945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2.2223168335540914E-17</v>
      </c>
      <c r="AC157" s="24">
        <f t="shared" si="163"/>
        <v>1.1348095043398945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287.69656598881124</v>
      </c>
      <c r="T158" s="62">
        <f t="shared" si="142"/>
        <v>221.9773436301067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1.1125565821252412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1.5714153029511141E-17</v>
      </c>
      <c r="AC158" s="24">
        <f t="shared" si="163"/>
        <v>1.1125565821252412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287.69656598881124</v>
      </c>
      <c r="T159" s="62">
        <f t="shared" si="142"/>
        <v>221.9773436301067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1.0907400261422748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1.1111584167770457E-17</v>
      </c>
      <c r="AC159" s="24">
        <f t="shared" si="163"/>
        <v>1.0907400261422748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287.69656598881124</v>
      </c>
      <c r="T160" s="62">
        <f t="shared" si="142"/>
        <v>221.9773436301067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1.0693512795153493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7.8570765147555703E-18</v>
      </c>
      <c r="AC160" s="24">
        <f t="shared" si="163"/>
        <v>1.0693512795153493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287.69656598881124</v>
      </c>
      <c r="T161" s="62">
        <f t="shared" si="142"/>
        <v>221.9773436301067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1.0483819531639305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5.5557920838852286E-18</v>
      </c>
      <c r="AC161" s="24">
        <f t="shared" si="163"/>
        <v>1.0483819531639305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287.69656598881124</v>
      </c>
      <c r="T162" s="62">
        <f t="shared" si="142"/>
        <v>221.9773436301067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1.0278238225122367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3.9285382573777852E-18</v>
      </c>
      <c r="AC162" s="24">
        <f t="shared" si="163"/>
        <v>1.0278238225122367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287.69656598881124</v>
      </c>
      <c r="T163" s="62">
        <f t="shared" si="142"/>
        <v>221.9773436301067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1.0076688242634011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2.7778960419426143E-18</v>
      </c>
      <c r="AC163" s="24">
        <f t="shared" si="163"/>
        <v>1.0076688242634011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287.69656598881124</v>
      </c>
      <c r="T164" s="62">
        <f t="shared" si="142"/>
        <v>221.9773436301067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0.98790905323689016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1.9642691286888926E-18</v>
      </c>
      <c r="AC164" s="24">
        <f t="shared" si="163"/>
        <v>0.98790905323689016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287.69656598881124</v>
      </c>
      <c r="T165" s="62">
        <f t="shared" si="142"/>
        <v>221.9773436301067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0.96853675926793881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1.3889480209713072E-18</v>
      </c>
      <c r="AC165" s="24">
        <f t="shared" si="163"/>
        <v>0.96853675926793881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287.69656598881124</v>
      </c>
      <c r="T166" s="62">
        <f t="shared" si="142"/>
        <v>221.9773436301067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0.9495443441677861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9.8213456434444629E-19</v>
      </c>
      <c r="AC166" s="24">
        <f t="shared" si="163"/>
        <v>0.9495443441677861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287.69656598881124</v>
      </c>
      <c r="T167" s="62">
        <f t="shared" si="142"/>
        <v>221.9773436301067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0.93092435874351798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6.9447401048565358E-19</v>
      </c>
      <c r="AC167" s="24">
        <f t="shared" si="163"/>
        <v>0.93092435874351798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287.69656598881124</v>
      </c>
      <c r="T168" s="62">
        <f t="shared" si="142"/>
        <v>221.9773436301067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0.91266949987635004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4.9106728217222314E-19</v>
      </c>
      <c r="AC168" s="24">
        <f t="shared" si="163"/>
        <v>0.91266949987635004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287.69656598881124</v>
      </c>
      <c r="T169" s="62">
        <f t="shared" si="142"/>
        <v>221.9773436301067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0.89477260765720279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3.4723700524282679E-19</v>
      </c>
      <c r="AC169" s="24">
        <f t="shared" si="163"/>
        <v>0.89477260765720279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287.69656598881124</v>
      </c>
      <c r="T170" s="62">
        <f t="shared" si="142"/>
        <v>221.9773436301067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0.87722666257844661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2.4553364108611157E-19</v>
      </c>
      <c r="AC170" s="24">
        <f t="shared" si="163"/>
        <v>0.87722666257844661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287.69656598881124</v>
      </c>
      <c r="T171" s="62">
        <f t="shared" si="142"/>
        <v>221.9773436301067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0.86002478278071515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1.7361850262141339E-19</v>
      </c>
      <c r="AC171" s="24">
        <f t="shared" si="163"/>
        <v>0.86002478278071515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287.69656598881124</v>
      </c>
      <c r="T172" s="62">
        <f t="shared" si="142"/>
        <v>221.9773436301067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0.8431602213537065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1.2276682054305579E-19</v>
      </c>
      <c r="AC172" s="24">
        <f t="shared" si="163"/>
        <v>0.8431602213537065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287.69656598881124</v>
      </c>
      <c r="T173" s="62">
        <f t="shared" si="142"/>
        <v>221.9773436301067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0.82662636368991471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8.6809251310706697E-20</v>
      </c>
      <c r="AC173" s="24">
        <f t="shared" si="163"/>
        <v>0.82662636368991471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287.69656598881124</v>
      </c>
      <c r="T174" s="62">
        <f t="shared" si="142"/>
        <v>221.9773436301067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0.81041672489025252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6.1383410271527893E-20</v>
      </c>
      <c r="AC174" s="24">
        <f t="shared" si="163"/>
        <v>0.81041672489025252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287.69656598881124</v>
      </c>
      <c r="T175" s="62">
        <f t="shared" si="142"/>
        <v>221.9773436301067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0.79452494722054823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4.3404625655353348E-20</v>
      </c>
      <c r="AC175" s="24">
        <f t="shared" si="163"/>
        <v>0.79452494722054823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287.69656598881124</v>
      </c>
      <c r="T176" s="62">
        <f t="shared" si="142"/>
        <v>221.9773436301067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0.77894479761791957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3.0691705135763947E-20</v>
      </c>
      <c r="AC176" s="24">
        <f t="shared" si="163"/>
        <v>0.77894479761791957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287.69656598881124</v>
      </c>
      <c r="T177" s="62">
        <f t="shared" si="142"/>
        <v>221.9773436301067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0.76367016524604558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2.1702312827676674E-20</v>
      </c>
      <c r="AC177" s="24">
        <f t="shared" si="163"/>
        <v>0.76367016524604558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287.69656598881124</v>
      </c>
      <c r="T178" s="62">
        <f t="shared" si="142"/>
        <v>221.9773436301067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0.74869505909837819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1.5345852567881973E-20</v>
      </c>
      <c r="AC178" s="24">
        <f t="shared" si="163"/>
        <v>0.74869505909837819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287.69656598881124</v>
      </c>
      <c r="T179" s="62">
        <f t="shared" si="142"/>
        <v>221.9773436301067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0.73401360564835372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1.0851156413838337E-20</v>
      </c>
      <c r="AC179" s="24">
        <f t="shared" si="163"/>
        <v>0.73401360564835372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287.69656598881124</v>
      </c>
      <c r="T180" s="62">
        <f t="shared" si="142"/>
        <v>221.9773436301067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0.71962004654568179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7.6729262839409866E-21</v>
      </c>
      <c r="AC180" s="24">
        <f t="shared" si="163"/>
        <v>0.71962004654568179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287.69656598881124</v>
      </c>
      <c r="T181" s="62">
        <f t="shared" si="142"/>
        <v>221.9773436301067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0.70550873635780909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5.4255782069191686E-21</v>
      </c>
      <c r="AC181" s="24">
        <f t="shared" si="163"/>
        <v>0.70550873635780909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287.69656598881124</v>
      </c>
      <c r="T182" s="62">
        <f t="shared" si="142"/>
        <v>221.9773436301067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0.69167414035567132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3.8364631419704933E-21</v>
      </c>
      <c r="AC182" s="24">
        <f t="shared" si="163"/>
        <v>0.69167414035567132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287.69656598881124</v>
      </c>
      <c r="T183" s="62">
        <f t="shared" si="142"/>
        <v>221.9773436301067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0.67811083234286507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2.7127891034595843E-21</v>
      </c>
      <c r="AC183" s="24">
        <f t="shared" si="163"/>
        <v>0.67811083234286507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287.69656598881124</v>
      </c>
      <c r="T184" s="62">
        <f t="shared" si="142"/>
        <v>221.9773436301067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0.66481349252738897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1.9182315709852467E-21</v>
      </c>
      <c r="AC184" s="24">
        <f t="shared" si="163"/>
        <v>0.66481349252738897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287.69656598881124</v>
      </c>
      <c r="T185" s="62">
        <f t="shared" si="142"/>
        <v>221.9773436301067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0.6517769054351179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1.3563945517297921E-21</v>
      </c>
      <c r="AC185" s="24">
        <f t="shared" si="163"/>
        <v>0.6517769054351179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287.69656598881124</v>
      </c>
      <c r="T186" s="62">
        <f t="shared" si="142"/>
        <v>221.9773436301067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0.63899595786419328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9.5911578549262333E-22</v>
      </c>
      <c r="AC186" s="24">
        <f t="shared" si="163"/>
        <v>0.63899595786419328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287.69656598881124</v>
      </c>
      <c r="T187" s="62">
        <f t="shared" si="142"/>
        <v>221.9773436301067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0.62646563687952617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6.7819727586489607E-22</v>
      </c>
      <c r="AC187" s="24">
        <f t="shared" si="163"/>
        <v>0.62646563687952617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287.69656598881124</v>
      </c>
      <c r="T188" s="62">
        <f t="shared" si="142"/>
        <v>221.9773436301067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0.61418102784662731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4.7955789274631166E-22</v>
      </c>
      <c r="AC188" s="24">
        <f t="shared" si="163"/>
        <v>0.61418102784662731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287.69656598881124</v>
      </c>
      <c r="T189" s="62">
        <f t="shared" si="142"/>
        <v>221.9773436301067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0.60213731250399194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3.3909863793244803E-22</v>
      </c>
      <c r="AC189" s="24">
        <f t="shared" si="163"/>
        <v>0.60213731250399194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287.69656598881124</v>
      </c>
      <c r="T190" s="62">
        <f t="shared" si="142"/>
        <v>221.9773436301067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0.59032976707328466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2.3977894637315583E-22</v>
      </c>
      <c r="AC190" s="24">
        <f t="shared" si="163"/>
        <v>0.59032976707328466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287.69656598881124</v>
      </c>
      <c r="T191" s="62">
        <f t="shared" si="142"/>
        <v>221.9773436301067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0.57875376040658189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1.6954931896622402E-22</v>
      </c>
      <c r="AC191" s="24">
        <f t="shared" si="163"/>
        <v>0.57875376040658189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287.69656598881124</v>
      </c>
      <c r="T192" s="62">
        <f t="shared" si="142"/>
        <v>221.9773436301067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0.56740475216994635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1.1988947318657792E-22</v>
      </c>
      <c r="AC192" s="24">
        <f t="shared" si="163"/>
        <v>0.56740475216994635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287.69656598881124</v>
      </c>
      <c r="T193" s="62">
        <f t="shared" si="142"/>
        <v>221.9773436301067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0.55627829106261972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8.4774659483112009E-23</v>
      </c>
      <c r="AC193" s="24">
        <f t="shared" si="163"/>
        <v>0.55627829106261972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287.69656598881124</v>
      </c>
      <c r="T194" s="62">
        <f t="shared" si="142"/>
        <v>221.9773436301067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0.54537001307113653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5.9944736593288958E-23</v>
      </c>
      <c r="AC194" s="24">
        <f t="shared" si="163"/>
        <v>0.54537001307113653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287.69656598881124</v>
      </c>
      <c r="T195" s="62">
        <f t="shared" si="142"/>
        <v>221.9773436301067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0.53467563975767374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4.2387329741556004E-23</v>
      </c>
      <c r="AC195" s="24">
        <f t="shared" si="163"/>
        <v>0.53467563975767374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287.69656598881124</v>
      </c>
      <c r="T196" s="62">
        <f t="shared" si="142"/>
        <v>221.9773436301067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0.52419097658196434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2.9972368296644479E-23</v>
      </c>
      <c r="AC196" s="24">
        <f t="shared" si="163"/>
        <v>0.52419097658196434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287.69656598881124</v>
      </c>
      <c r="T197" s="62">
        <f t="shared" ref="T197:T203" si="204">$T$3</f>
        <v>221.9773436301067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0.51391191125611757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2.1193664870778002E-23</v>
      </c>
      <c r="AC197" s="24">
        <f t="shared" si="163"/>
        <v>0.51391191125611757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287.69656598881124</v>
      </c>
      <c r="T198" s="62">
        <f t="shared" si="204"/>
        <v>221.9773436301067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0.50383441213169988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1.498618414832224E-23</v>
      </c>
      <c r="AC198" s="24">
        <f t="shared" si="163"/>
        <v>0.50383441213169988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287.69656598881124</v>
      </c>
      <c r="T199" s="62">
        <f t="shared" si="204"/>
        <v>221.9773436301067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0.49395452661844447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1.0596832435389001E-23</v>
      </c>
      <c r="AC199" s="24">
        <f t="shared" si="163"/>
        <v>0.49395452661844447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287.69656598881124</v>
      </c>
      <c r="T200" s="62">
        <f t="shared" si="204"/>
        <v>221.9773436301067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0.48426837963396885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7.4930920741611198E-24</v>
      </c>
      <c r="AC200" s="24">
        <f t="shared" si="163"/>
        <v>0.48426837963396885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287.69656598881124</v>
      </c>
      <c r="T201" s="62">
        <f t="shared" si="204"/>
        <v>221.9773436301067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0.4747721720838925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5.2984162176945005E-24</v>
      </c>
      <c r="AC201" s="24">
        <f t="shared" si="163"/>
        <v>0.4747721720838925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287.69656598881124</v>
      </c>
      <c r="T202" s="62">
        <f t="shared" si="204"/>
        <v>221.9773436301067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0.46546217937175843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3.7465460370805599E-24</v>
      </c>
      <c r="AC202" s="24">
        <f t="shared" si="163"/>
        <v>0.46546217937175843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287.69656598881124</v>
      </c>
      <c r="T203" s="62">
        <f t="shared" si="204"/>
        <v>221.9773436301067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0.45633474993817447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2.6492081088472503E-24</v>
      </c>
      <c r="AC203" s="24">
        <f t="shared" si="163"/>
        <v>0.45633474993817447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1.244502252163008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F17" sqref="F17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2.35</v>
      </c>
      <c r="C6" s="156">
        <f ca="1">IF(OR('Données projet'!B9="",'Données projet'!C9="",'Données projet'!C9=0%),0,Calculateur!S3)</f>
        <v>287.69656598881124</v>
      </c>
      <c r="D6" s="156">
        <f>IF(OR('Données projet'!B9="",'Données projet'!C9="",'Données projet'!C9=0%),0,Calculateur!T3)</f>
        <v>221.9773436301067</v>
      </c>
      <c r="E6" s="156">
        <f ca="1">MIN(C6,D6)</f>
        <v>221.9773436301067</v>
      </c>
      <c r="F6" s="156">
        <f ca="1">E6*B6</f>
        <v>521.64675753075073</v>
      </c>
      <c r="G6" s="156">
        <f ca="1">F6*(100%-'Données projet'!$C$24)*(100%-'Données projet'!$C$25)*(100%-'Données projet'!$C$26)*(100%-'Données projet'!$C$27)</f>
        <v>399.05976951102429</v>
      </c>
      <c r="H6" s="157">
        <f>IF(OR('Données projet'!B9="",'Données projet'!C9="",'Données projet'!C9=0%),0,AVERAGE(Calculateur!$AC$3:$AC$33)*B6)</f>
        <v>6.7060669693395338</v>
      </c>
      <c r="I6" s="158">
        <f>H6*(100%-'Données projet'!$C$24)*(100%-'Données projet'!$C$25)*(100%-'Données projet'!$C$26)*(100%-'Données projet'!$C$27)</f>
        <v>5.1301412315447434</v>
      </c>
      <c r="J6" s="159">
        <f>IF(OR('Données projet'!B9="",'Données projet'!C9="",'Données projet'!C9=0%),0,SUM(Calculateur!$V$3:$V$33)*VLOOKUP('Données projet'!$B$9,Paramètres!$A$1:$I$89,9,0)*B6)</f>
        <v>67.703500000000005</v>
      </c>
      <c r="K6" s="160">
        <f>J6*(100%-'Données projet'!$C$24)*(100%-'Données projet'!$C$25)*(100%-'Données projet'!$C$26)*(100%-'Données projet'!$C$27)</f>
        <v>51.793177500000006</v>
      </c>
      <c r="L6" s="161">
        <f ca="1">G6+I6+K6</f>
        <v>455.98308824256907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521.64675753075073</v>
      </c>
      <c r="G16" s="175">
        <f t="shared" ca="1" si="3"/>
        <v>399.05976951102429</v>
      </c>
      <c r="H16" s="176">
        <f t="shared" si="3"/>
        <v>6.7060669693395338</v>
      </c>
      <c r="I16" s="176">
        <f t="shared" si="3"/>
        <v>5.1301412315447434</v>
      </c>
      <c r="J16" s="177">
        <f t="shared" si="3"/>
        <v>67.703500000000005</v>
      </c>
      <c r="K16" s="177">
        <f t="shared" si="3"/>
        <v>51.793177500000006</v>
      </c>
      <c r="L16" s="178">
        <f t="shared" ca="1" si="3"/>
        <v>455.98308824256907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H24" sqref="H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1997.5625420038677</v>
      </c>
      <c r="U10" s="190">
        <f>'Données projet'!D9</f>
        <v>2.35</v>
      </c>
      <c r="V10" s="189">
        <f>U10*T10</f>
        <v>4694.2719737090893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3707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615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22</v>
      </c>
      <c r="B23" s="193">
        <f>'Données projet'!D36</f>
        <v>16</v>
      </c>
      <c r="C23" s="206">
        <v>12</v>
      </c>
      <c r="D23" s="194">
        <f>B23*C23</f>
        <v>192</v>
      </c>
      <c r="E23" s="206"/>
      <c r="F23" s="261"/>
      <c r="H23" s="203">
        <v>3</v>
      </c>
      <c r="I23" s="204">
        <v>630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-7987.276157270745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17</v>
      </c>
      <c r="C24" s="206">
        <v>12</v>
      </c>
      <c r="D24" s="194">
        <f t="shared" ref="D24:D42" si="2">B24*C24</f>
        <v>204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302.05467533535847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34</v>
      </c>
      <c r="C25" s="206">
        <v>15</v>
      </c>
      <c r="D25" s="194">
        <f t="shared" si="2"/>
        <v>510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-8289.3308326061033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41</v>
      </c>
      <c r="C26" s="206">
        <v>17</v>
      </c>
      <c r="D26" s="194">
        <f t="shared" si="2"/>
        <v>697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41</v>
      </c>
      <c r="C27" s="206">
        <v>17</v>
      </c>
      <c r="D27" s="194">
        <f t="shared" si="2"/>
        <v>697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53</v>
      </c>
      <c r="C28" s="206">
        <v>17</v>
      </c>
      <c r="D28" s="194">
        <f t="shared" si="2"/>
        <v>901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53</v>
      </c>
      <c r="C29" s="206">
        <v>20</v>
      </c>
      <c r="D29" s="194">
        <f t="shared" si="2"/>
        <v>1060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58</v>
      </c>
      <c r="B30" s="193">
        <f>'Données projet'!D43</f>
        <v>78</v>
      </c>
      <c r="C30" s="206">
        <v>25</v>
      </c>
      <c r="D30" s="194">
        <f t="shared" si="2"/>
        <v>1950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65</v>
      </c>
      <c r="C31" s="206">
        <v>30</v>
      </c>
      <c r="D31" s="194">
        <f t="shared" si="2"/>
        <v>1950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37</v>
      </c>
      <c r="C32" s="206">
        <v>35</v>
      </c>
      <c r="D32" s="194">
        <f t="shared" si="2"/>
        <v>1295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555</v>
      </c>
      <c r="C33" s="206">
        <v>60</v>
      </c>
      <c r="D33" s="194">
        <f t="shared" si="2"/>
        <v>33300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2024-05-23T15:00:42Z</dcterms:modified>
</cp:coreProperties>
</file>